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1.xml" ContentType="application/vnd.openxmlformats-officedocument.spreadsheetml.comment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1.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comments2.xml" ContentType="application/vnd.openxmlformats-officedocument.spreadsheetml.comments+xml"/>
  <Override PartName="/xl/drawings/drawing2.xml" ContentType="application/vnd.openxmlformats-officedocument.drawing+xml"/>
  <Override PartName="/xl/tables/table16.xml" ContentType="application/vnd.openxmlformats-officedocument.spreadsheetml.table+xml"/>
  <Override PartName="/xl/drawings/drawing3.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altion.fi\Yhteiset tiedostot\VM\KAO\Kuntatalous\Kunnan pp vos\Laskelmat\2025\Julkaisut\"/>
    </mc:Choice>
  </mc:AlternateContent>
  <bookViews>
    <workbookView xWindow="-120" yWindow="-120" windowWidth="19320" windowHeight="6855" tabRatio="904"/>
  </bookViews>
  <sheets>
    <sheet name="INFO" sheetId="16" r:id="rId1"/>
    <sheet name="Yhteenveto" sheetId="7" r:id="rId2"/>
    <sheet name="Lask. kustannukset IKÄRAKENNE" sheetId="8" r:id="rId3"/>
    <sheet name="Lask. kustannukset MUUT" sheetId="9" r:id="rId4"/>
    <sheet name="Lisäosat" sheetId="10" r:id="rId5"/>
    <sheet name="Muut lis_väh" sheetId="11" r:id="rId6"/>
    <sheet name="Verotuloihin perust tasaus" sheetId="12" r:id="rId7"/>
    <sheet name="Verokorvaukset" sheetId="14" r:id="rId8"/>
    <sheet name="Kotikuntakorvaus" sheetId="24" r:id="rId9"/>
    <sheet name="TE25 Palveluiden rah, koko maa" sheetId="23" r:id="rId10"/>
    <sheet name="TE25 Palveluiden rah, kunnat" sheetId="22" r:id="rId11"/>
    <sheet name="TE25 Palveluiden kustannusarvio" sheetId="20" r:id="rId12"/>
    <sheet name="TE25 Etuuksien rahoitusvastuu" sheetId="19" r:id="rId13"/>
  </sheets>
  <definedNames>
    <definedName name="_xlnm.Print_Area" localSheetId="2">'Lask. kustannukset IKÄRAKENNE'!$A:$P</definedName>
    <definedName name="_xlnm.Print_Area" localSheetId="3">'Lask. kustannukset MUUT'!$A:$AF</definedName>
    <definedName name="_xlnm.Print_Area" localSheetId="4">Lisäosat!$A:$U</definedName>
    <definedName name="_xlnm.Print_Area" localSheetId="5">'Muut lis_väh'!$A:$O</definedName>
    <definedName name="_xlnm.Print_Area" localSheetId="1">Yhteenveto!$A:$S</definedName>
    <definedName name="_xlnm.Print_Titles" localSheetId="2">'Lask. kustannukset IKÄRAKENNE'!$4:$6</definedName>
    <definedName name="_xlnm.Print_Titles" localSheetId="3">'Lask. kustannukset MUUT'!$A:$B,'Lask. kustannukset MUUT'!$5:$11</definedName>
    <definedName name="_xlnm.Print_Titles" localSheetId="4">Lisäosat!$4:$7</definedName>
    <definedName name="_xlnm.Print_Titles" localSheetId="5">'Muut lis_väh'!$3:$4</definedName>
    <definedName name="_xlnm.Print_Titles" localSheetId="1">Yhteenveto!$5:$6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 i="19" l="1"/>
  <c r="I13" i="19" l="1"/>
  <c r="I14" i="19"/>
  <c r="I15" i="19"/>
  <c r="I16" i="19"/>
  <c r="I17" i="19"/>
  <c r="I18" i="19"/>
  <c r="I19" i="19"/>
  <c r="I20" i="19"/>
  <c r="I21" i="19"/>
  <c r="I22" i="19"/>
  <c r="I23" i="19"/>
  <c r="I24" i="19"/>
  <c r="I25" i="19"/>
  <c r="I26" i="19"/>
  <c r="I27" i="19"/>
  <c r="I28" i="19"/>
  <c r="I29" i="19"/>
  <c r="I30" i="19"/>
  <c r="I31" i="19"/>
  <c r="I32" i="19"/>
  <c r="I33" i="19"/>
  <c r="I34" i="19"/>
  <c r="I35" i="19"/>
  <c r="I36" i="19"/>
  <c r="I37" i="19"/>
  <c r="I38" i="19"/>
  <c r="I39" i="19"/>
  <c r="I40" i="19"/>
  <c r="I41" i="19"/>
  <c r="I42" i="19"/>
  <c r="I43" i="19"/>
  <c r="I44" i="19"/>
  <c r="I45" i="19"/>
  <c r="I46" i="19"/>
  <c r="I47" i="19"/>
  <c r="I48" i="19"/>
  <c r="I49" i="19"/>
  <c r="I50" i="19"/>
  <c r="I51" i="19"/>
  <c r="I52" i="19"/>
  <c r="I53" i="19"/>
  <c r="I54" i="19"/>
  <c r="I55" i="19"/>
  <c r="I56" i="19"/>
  <c r="I57" i="19"/>
  <c r="I58" i="19"/>
  <c r="I59" i="19"/>
  <c r="I60" i="19"/>
  <c r="I61" i="19"/>
  <c r="I62" i="19"/>
  <c r="I63" i="19"/>
  <c r="I64" i="19"/>
  <c r="I65" i="19"/>
  <c r="I66" i="19"/>
  <c r="I67" i="19"/>
  <c r="I68" i="19"/>
  <c r="I69" i="19"/>
  <c r="I70" i="19"/>
  <c r="I71" i="19"/>
  <c r="I72" i="19"/>
  <c r="I73" i="19"/>
  <c r="I74" i="19"/>
  <c r="I75" i="19"/>
  <c r="I76" i="19"/>
  <c r="I77" i="19"/>
  <c r="I78" i="19"/>
  <c r="I79" i="19"/>
  <c r="I80" i="19"/>
  <c r="I81" i="19"/>
  <c r="I82" i="19"/>
  <c r="I83" i="19"/>
  <c r="I84" i="19"/>
  <c r="I85" i="19"/>
  <c r="I86" i="19"/>
  <c r="I87" i="19"/>
  <c r="I88" i="19"/>
  <c r="I89" i="19"/>
  <c r="I90" i="19"/>
  <c r="I91" i="19"/>
  <c r="I92" i="19"/>
  <c r="I93" i="19"/>
  <c r="I94" i="19"/>
  <c r="I95" i="19"/>
  <c r="I96" i="19"/>
  <c r="I97" i="19"/>
  <c r="I98" i="19"/>
  <c r="I99" i="19"/>
  <c r="I100" i="19"/>
  <c r="I101" i="19"/>
  <c r="I102" i="19"/>
  <c r="I103" i="19"/>
  <c r="I104" i="19"/>
  <c r="I105" i="19"/>
  <c r="I106" i="19"/>
  <c r="I107" i="19"/>
  <c r="I108" i="19"/>
  <c r="I109" i="19"/>
  <c r="I110" i="19"/>
  <c r="I111" i="19"/>
  <c r="I112" i="19"/>
  <c r="I113" i="19"/>
  <c r="I114" i="19"/>
  <c r="I115" i="19"/>
  <c r="I116" i="19"/>
  <c r="I117" i="19"/>
  <c r="I118" i="19"/>
  <c r="I119" i="19"/>
  <c r="I120" i="19"/>
  <c r="I121" i="19"/>
  <c r="I122" i="19"/>
  <c r="I123" i="19"/>
  <c r="I124" i="19"/>
  <c r="I125" i="19"/>
  <c r="I126" i="19"/>
  <c r="I127" i="19"/>
  <c r="I128" i="19"/>
  <c r="I129" i="19"/>
  <c r="I130" i="19"/>
  <c r="I131" i="19"/>
  <c r="I132" i="19"/>
  <c r="I133" i="19"/>
  <c r="I134" i="19"/>
  <c r="I135" i="19"/>
  <c r="I136" i="19"/>
  <c r="I137" i="19"/>
  <c r="I138" i="19"/>
  <c r="I139" i="19"/>
  <c r="I140" i="19"/>
  <c r="I141" i="19"/>
  <c r="I142" i="19"/>
  <c r="I143" i="19"/>
  <c r="I144" i="19"/>
  <c r="I145" i="19"/>
  <c r="I146" i="19"/>
  <c r="I147" i="19"/>
  <c r="I148" i="19"/>
  <c r="I149" i="19"/>
  <c r="I150" i="19"/>
  <c r="I151" i="19"/>
  <c r="I152" i="19"/>
  <c r="I153" i="19"/>
  <c r="I154" i="19"/>
  <c r="I155" i="19"/>
  <c r="I156" i="19"/>
  <c r="I157" i="19"/>
  <c r="I158" i="19"/>
  <c r="I159" i="19"/>
  <c r="I160" i="19"/>
  <c r="I161" i="19"/>
  <c r="I162" i="19"/>
  <c r="I163" i="19"/>
  <c r="I164" i="19"/>
  <c r="I165" i="19"/>
  <c r="I166" i="19"/>
  <c r="I167" i="19"/>
  <c r="I168" i="19"/>
  <c r="I169" i="19"/>
  <c r="I170" i="19"/>
  <c r="I171" i="19"/>
  <c r="I172" i="19"/>
  <c r="I173" i="19"/>
  <c r="I174" i="19"/>
  <c r="I175" i="19"/>
  <c r="I176" i="19"/>
  <c r="I177" i="19"/>
  <c r="I178" i="19"/>
  <c r="I179" i="19"/>
  <c r="I180" i="19"/>
  <c r="I181" i="19"/>
  <c r="I182" i="19"/>
  <c r="I183" i="19"/>
  <c r="I184" i="19"/>
  <c r="I185" i="19"/>
  <c r="I186" i="19"/>
  <c r="I187" i="19"/>
  <c r="I188" i="19"/>
  <c r="I189" i="19"/>
  <c r="I190" i="19"/>
  <c r="I191" i="19"/>
  <c r="I192" i="19"/>
  <c r="I193" i="19"/>
  <c r="I194" i="19"/>
  <c r="I195" i="19"/>
  <c r="I196" i="19"/>
  <c r="I197" i="19"/>
  <c r="I198" i="19"/>
  <c r="I199" i="19"/>
  <c r="I200" i="19"/>
  <c r="I201" i="19"/>
  <c r="I202" i="19"/>
  <c r="I203" i="19"/>
  <c r="I204" i="19"/>
  <c r="I205" i="19"/>
  <c r="I206" i="19"/>
  <c r="I207" i="19"/>
  <c r="I208" i="19"/>
  <c r="I209" i="19"/>
  <c r="I210" i="19"/>
  <c r="I211" i="19"/>
  <c r="I212" i="19"/>
  <c r="I213" i="19"/>
  <c r="I214" i="19"/>
  <c r="I215" i="19"/>
  <c r="I216" i="19"/>
  <c r="I217" i="19"/>
  <c r="I218" i="19"/>
  <c r="I219" i="19"/>
  <c r="I220" i="19"/>
  <c r="I221" i="19"/>
  <c r="I222" i="19"/>
  <c r="I223" i="19"/>
  <c r="I224" i="19"/>
  <c r="I225" i="19"/>
  <c r="I226" i="19"/>
  <c r="I227" i="19"/>
  <c r="I228" i="19"/>
  <c r="I229" i="19"/>
  <c r="I230" i="19"/>
  <c r="I231" i="19"/>
  <c r="I232" i="19"/>
  <c r="I233" i="19"/>
  <c r="I234" i="19"/>
  <c r="I235" i="19"/>
  <c r="I236" i="19"/>
  <c r="I237" i="19"/>
  <c r="I238" i="19"/>
  <c r="I239" i="19"/>
  <c r="I240" i="19"/>
  <c r="I241" i="19"/>
  <c r="I242" i="19"/>
  <c r="I243" i="19"/>
  <c r="I244" i="19"/>
  <c r="I245" i="19"/>
  <c r="I246" i="19"/>
  <c r="I247" i="19"/>
  <c r="I248" i="19"/>
  <c r="I249" i="19"/>
  <c r="I250" i="19"/>
  <c r="I251" i="19"/>
  <c r="I252" i="19"/>
  <c r="I253" i="19"/>
  <c r="I254" i="19"/>
  <c r="I255" i="19"/>
  <c r="I256" i="19"/>
  <c r="I257" i="19"/>
  <c r="I258" i="19"/>
  <c r="I259" i="19"/>
  <c r="I260" i="19"/>
  <c r="I261" i="19"/>
  <c r="I262" i="19"/>
  <c r="I263" i="19"/>
  <c r="I264" i="19"/>
  <c r="I265" i="19"/>
  <c r="I266" i="19"/>
  <c r="I267" i="19"/>
  <c r="I268" i="19"/>
  <c r="I269" i="19"/>
  <c r="I270" i="19"/>
  <c r="I271" i="19"/>
  <c r="I272" i="19"/>
  <c r="I273" i="19"/>
  <c r="I274" i="19"/>
  <c r="I275" i="19"/>
  <c r="I276" i="19"/>
  <c r="I277" i="19"/>
  <c r="I278" i="19"/>
  <c r="I279" i="19"/>
  <c r="I280" i="19"/>
  <c r="I281" i="19"/>
  <c r="I282" i="19"/>
  <c r="I283" i="19"/>
  <c r="I284" i="19"/>
  <c r="I285" i="19"/>
  <c r="I286" i="19"/>
  <c r="I287" i="19"/>
  <c r="I288" i="19"/>
  <c r="I289" i="19"/>
  <c r="I290" i="19"/>
  <c r="I291" i="19"/>
  <c r="I292" i="19"/>
  <c r="I293" i="19"/>
  <c r="I294" i="19"/>
  <c r="I295" i="19"/>
  <c r="I296" i="19"/>
  <c r="I297" i="19"/>
  <c r="I298" i="19"/>
  <c r="I299" i="19"/>
  <c r="I300" i="19"/>
  <c r="I301" i="19"/>
  <c r="I302" i="19"/>
  <c r="I303" i="19"/>
  <c r="I304" i="19"/>
  <c r="I12" i="19"/>
  <c r="J12" i="19" s="1"/>
  <c r="F13" i="19"/>
  <c r="F14" i="19"/>
  <c r="F15" i="19"/>
  <c r="F16" i="19"/>
  <c r="F17" i="19"/>
  <c r="F18" i="19"/>
  <c r="F19" i="19"/>
  <c r="F20" i="19"/>
  <c r="F11" i="19" s="1"/>
  <c r="F21" i="19"/>
  <c r="F22" i="19"/>
  <c r="F23" i="19"/>
  <c r="F24" i="19"/>
  <c r="F25" i="19"/>
  <c r="F26" i="19"/>
  <c r="F27" i="19"/>
  <c r="F28" i="19"/>
  <c r="F29" i="19"/>
  <c r="F30" i="19"/>
  <c r="F31" i="19"/>
  <c r="F32" i="19"/>
  <c r="F33" i="19"/>
  <c r="F34" i="19"/>
  <c r="F35" i="19"/>
  <c r="F36" i="19"/>
  <c r="F37" i="19"/>
  <c r="F38" i="19"/>
  <c r="F39" i="19"/>
  <c r="F40" i="19"/>
  <c r="F41" i="19"/>
  <c r="F42" i="19"/>
  <c r="F43" i="19"/>
  <c r="F44" i="19"/>
  <c r="F45" i="19"/>
  <c r="F46" i="19"/>
  <c r="F47" i="19"/>
  <c r="F48" i="19"/>
  <c r="F49" i="19"/>
  <c r="F50" i="19"/>
  <c r="F51" i="19"/>
  <c r="F52" i="19"/>
  <c r="F53" i="19"/>
  <c r="F54" i="19"/>
  <c r="F55" i="19"/>
  <c r="F56" i="19"/>
  <c r="F57" i="19"/>
  <c r="F58" i="19"/>
  <c r="F59" i="19"/>
  <c r="F60" i="19"/>
  <c r="F61" i="19"/>
  <c r="F62" i="19"/>
  <c r="F63" i="19"/>
  <c r="F64" i="19"/>
  <c r="F65" i="19"/>
  <c r="F66" i="19"/>
  <c r="F67" i="19"/>
  <c r="F68" i="19"/>
  <c r="F69" i="19"/>
  <c r="F70" i="19"/>
  <c r="F71" i="19"/>
  <c r="F72" i="19"/>
  <c r="F73" i="19"/>
  <c r="F74" i="19"/>
  <c r="F75" i="19"/>
  <c r="F76" i="19"/>
  <c r="F77" i="19"/>
  <c r="F78" i="19"/>
  <c r="F79" i="19"/>
  <c r="F80" i="19"/>
  <c r="F81" i="19"/>
  <c r="F82" i="19"/>
  <c r="F83" i="19"/>
  <c r="F84" i="19"/>
  <c r="F85" i="19"/>
  <c r="F86" i="19"/>
  <c r="F87" i="19"/>
  <c r="F88" i="19"/>
  <c r="F89" i="19"/>
  <c r="F90" i="19"/>
  <c r="F91" i="19"/>
  <c r="F92" i="19"/>
  <c r="F93" i="19"/>
  <c r="F94" i="19"/>
  <c r="F95" i="19"/>
  <c r="F96" i="19"/>
  <c r="F97" i="19"/>
  <c r="F98" i="19"/>
  <c r="F99" i="19"/>
  <c r="F100" i="19"/>
  <c r="F101" i="19"/>
  <c r="F102" i="19"/>
  <c r="F103" i="19"/>
  <c r="F104" i="19"/>
  <c r="F105" i="19"/>
  <c r="F106" i="19"/>
  <c r="F107" i="19"/>
  <c r="F108" i="19"/>
  <c r="F109" i="19"/>
  <c r="F110" i="19"/>
  <c r="F111" i="19"/>
  <c r="F112" i="19"/>
  <c r="F113" i="19"/>
  <c r="F114" i="19"/>
  <c r="F115" i="19"/>
  <c r="F116" i="19"/>
  <c r="F117" i="19"/>
  <c r="F118" i="19"/>
  <c r="F119" i="19"/>
  <c r="F120" i="19"/>
  <c r="F121" i="19"/>
  <c r="F122" i="19"/>
  <c r="F123" i="19"/>
  <c r="F124" i="19"/>
  <c r="F125" i="19"/>
  <c r="F126" i="19"/>
  <c r="F127" i="19"/>
  <c r="F128" i="19"/>
  <c r="F129" i="19"/>
  <c r="F130" i="19"/>
  <c r="F131" i="19"/>
  <c r="F132" i="19"/>
  <c r="F133" i="19"/>
  <c r="F134" i="19"/>
  <c r="F135" i="19"/>
  <c r="F136" i="19"/>
  <c r="F137" i="19"/>
  <c r="F138" i="19"/>
  <c r="F139" i="19"/>
  <c r="F140" i="19"/>
  <c r="F141" i="19"/>
  <c r="F142" i="19"/>
  <c r="F143" i="19"/>
  <c r="F144" i="19"/>
  <c r="F145" i="19"/>
  <c r="F146" i="19"/>
  <c r="F147" i="19"/>
  <c r="F148" i="19"/>
  <c r="F149" i="19"/>
  <c r="F150" i="19"/>
  <c r="F151" i="19"/>
  <c r="F152" i="19"/>
  <c r="F153" i="19"/>
  <c r="F154" i="19"/>
  <c r="F155" i="19"/>
  <c r="F156" i="19"/>
  <c r="F157" i="19"/>
  <c r="F158" i="19"/>
  <c r="F159" i="19"/>
  <c r="F160" i="19"/>
  <c r="F161" i="19"/>
  <c r="F162" i="19"/>
  <c r="F163" i="19"/>
  <c r="F164" i="19"/>
  <c r="F165" i="19"/>
  <c r="F166" i="19"/>
  <c r="F167" i="19"/>
  <c r="F168" i="19"/>
  <c r="F169" i="19"/>
  <c r="F170" i="19"/>
  <c r="F171" i="19"/>
  <c r="F172" i="19"/>
  <c r="F173" i="19"/>
  <c r="F174" i="19"/>
  <c r="F175" i="19"/>
  <c r="F176" i="19"/>
  <c r="F177" i="19"/>
  <c r="F178" i="19"/>
  <c r="F179" i="19"/>
  <c r="F180" i="19"/>
  <c r="F181" i="19"/>
  <c r="F182" i="19"/>
  <c r="F183" i="19"/>
  <c r="F184" i="19"/>
  <c r="F185" i="19"/>
  <c r="F186" i="19"/>
  <c r="F187" i="19"/>
  <c r="F188" i="19"/>
  <c r="F189" i="19"/>
  <c r="F190" i="19"/>
  <c r="F191" i="19"/>
  <c r="F192" i="19"/>
  <c r="F193" i="19"/>
  <c r="F194" i="19"/>
  <c r="F195" i="19"/>
  <c r="F196" i="19"/>
  <c r="F197" i="19"/>
  <c r="F198" i="19"/>
  <c r="F199" i="19"/>
  <c r="F200" i="19"/>
  <c r="F201" i="19"/>
  <c r="F202" i="19"/>
  <c r="F203" i="19"/>
  <c r="F204" i="19"/>
  <c r="F205" i="19"/>
  <c r="F206" i="19"/>
  <c r="F207" i="19"/>
  <c r="F208" i="19"/>
  <c r="F209" i="19"/>
  <c r="F210" i="19"/>
  <c r="F211" i="19"/>
  <c r="F212" i="19"/>
  <c r="F213"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239" i="19"/>
  <c r="F240" i="19"/>
  <c r="F241" i="19"/>
  <c r="F242" i="19"/>
  <c r="F243" i="19"/>
  <c r="F244" i="19"/>
  <c r="F245" i="19"/>
  <c r="F246" i="19"/>
  <c r="F247" i="19"/>
  <c r="F248" i="19"/>
  <c r="F249" i="19"/>
  <c r="F250" i="19"/>
  <c r="F251" i="19"/>
  <c r="F252" i="19"/>
  <c r="F253" i="19"/>
  <c r="F254" i="19"/>
  <c r="F255" i="19"/>
  <c r="F256" i="19"/>
  <c r="F257" i="19"/>
  <c r="F258" i="19"/>
  <c r="F259" i="19"/>
  <c r="F260" i="19"/>
  <c r="F261" i="19"/>
  <c r="F262" i="19"/>
  <c r="F263" i="19"/>
  <c r="F264" i="19"/>
  <c r="F265" i="19"/>
  <c r="F266" i="19"/>
  <c r="F267" i="19"/>
  <c r="F268" i="19"/>
  <c r="F269" i="19"/>
  <c r="F270" i="19"/>
  <c r="F271" i="19"/>
  <c r="F272" i="19"/>
  <c r="F273" i="19"/>
  <c r="F274" i="19"/>
  <c r="F275" i="19"/>
  <c r="F276" i="19"/>
  <c r="F277" i="19"/>
  <c r="F278" i="19"/>
  <c r="F279" i="19"/>
  <c r="F280" i="19"/>
  <c r="F281" i="19"/>
  <c r="F282" i="19"/>
  <c r="F283" i="19"/>
  <c r="F284" i="19"/>
  <c r="F285" i="19"/>
  <c r="F286" i="19"/>
  <c r="F287" i="19"/>
  <c r="F288" i="19"/>
  <c r="F289" i="19"/>
  <c r="F290" i="19"/>
  <c r="F291" i="19"/>
  <c r="F292" i="19"/>
  <c r="F293" i="19"/>
  <c r="F294" i="19"/>
  <c r="F295" i="19"/>
  <c r="F296" i="19"/>
  <c r="F297" i="19"/>
  <c r="F298" i="19"/>
  <c r="F299" i="19"/>
  <c r="F300" i="19"/>
  <c r="F301" i="19"/>
  <c r="F302" i="19"/>
  <c r="F303" i="19"/>
  <c r="F304" i="19"/>
  <c r="F12" i="19"/>
  <c r="Q38" i="19"/>
  <c r="S38" i="19" s="1"/>
  <c r="Q13" i="19"/>
  <c r="S13" i="19" s="1"/>
  <c r="Q14" i="19"/>
  <c r="S14" i="19" s="1"/>
  <c r="Q15" i="19"/>
  <c r="S15" i="19" s="1"/>
  <c r="Q16" i="19"/>
  <c r="S16" i="19" s="1"/>
  <c r="Q17" i="19"/>
  <c r="S17" i="19" s="1"/>
  <c r="Q18" i="19"/>
  <c r="S18" i="19" s="1"/>
  <c r="Q19" i="19"/>
  <c r="S19" i="19" s="1"/>
  <c r="Q20" i="19"/>
  <c r="S20" i="19" s="1"/>
  <c r="Q21" i="19"/>
  <c r="S21" i="19" s="1"/>
  <c r="Q22" i="19"/>
  <c r="S22" i="19" s="1"/>
  <c r="Q23" i="19"/>
  <c r="S23" i="19" s="1"/>
  <c r="Q24" i="19"/>
  <c r="S24" i="19" s="1"/>
  <c r="Q25" i="19"/>
  <c r="S25" i="19" s="1"/>
  <c r="Q26" i="19"/>
  <c r="S26" i="19" s="1"/>
  <c r="Q27" i="19"/>
  <c r="S27" i="19" s="1"/>
  <c r="Q28" i="19"/>
  <c r="S28" i="19" s="1"/>
  <c r="Q29" i="19"/>
  <c r="S29" i="19" s="1"/>
  <c r="Q30" i="19"/>
  <c r="S30" i="19" s="1"/>
  <c r="Q31" i="19"/>
  <c r="S31" i="19" s="1"/>
  <c r="Q32" i="19"/>
  <c r="S32" i="19" s="1"/>
  <c r="Q33" i="19"/>
  <c r="S33" i="19" s="1"/>
  <c r="Q34" i="19"/>
  <c r="S34" i="19" s="1"/>
  <c r="Q35" i="19"/>
  <c r="S35" i="19" s="1"/>
  <c r="Q36" i="19"/>
  <c r="S36" i="19" s="1"/>
  <c r="Q37" i="19"/>
  <c r="S37" i="19" s="1"/>
  <c r="Q39" i="19"/>
  <c r="S39" i="19" s="1"/>
  <c r="Q40" i="19"/>
  <c r="S40" i="19" s="1"/>
  <c r="Q41" i="19"/>
  <c r="S41" i="19" s="1"/>
  <c r="Q42" i="19"/>
  <c r="S42" i="19" s="1"/>
  <c r="Q43" i="19"/>
  <c r="S43" i="19" s="1"/>
  <c r="Q44" i="19"/>
  <c r="S44" i="19" s="1"/>
  <c r="Q45" i="19"/>
  <c r="S45" i="19" s="1"/>
  <c r="Q46" i="19"/>
  <c r="S46" i="19" s="1"/>
  <c r="Q47" i="19"/>
  <c r="S47" i="19" s="1"/>
  <c r="Q48" i="19"/>
  <c r="S48" i="19" s="1"/>
  <c r="Q49" i="19"/>
  <c r="S49" i="19" s="1"/>
  <c r="Q50" i="19"/>
  <c r="S50" i="19" s="1"/>
  <c r="Q51" i="19"/>
  <c r="S51" i="19" s="1"/>
  <c r="Q52" i="19"/>
  <c r="S52" i="19" s="1"/>
  <c r="Q53" i="19"/>
  <c r="S53" i="19" s="1"/>
  <c r="Q54" i="19"/>
  <c r="S54" i="19" s="1"/>
  <c r="Q55" i="19"/>
  <c r="S55" i="19" s="1"/>
  <c r="Q56" i="19"/>
  <c r="S56" i="19" s="1"/>
  <c r="Q57" i="19"/>
  <c r="S57" i="19" s="1"/>
  <c r="Q58" i="19"/>
  <c r="S58" i="19" s="1"/>
  <c r="Q59" i="19"/>
  <c r="S59" i="19" s="1"/>
  <c r="Q60" i="19"/>
  <c r="S60" i="19" s="1"/>
  <c r="Q61" i="19"/>
  <c r="S61" i="19" s="1"/>
  <c r="Q62" i="19"/>
  <c r="S62" i="19" s="1"/>
  <c r="Q63" i="19"/>
  <c r="S63" i="19" s="1"/>
  <c r="Q64" i="19"/>
  <c r="S64" i="19" s="1"/>
  <c r="Q65" i="19"/>
  <c r="S65" i="19" s="1"/>
  <c r="Q66" i="19"/>
  <c r="S66" i="19" s="1"/>
  <c r="Q67" i="19"/>
  <c r="S67" i="19" s="1"/>
  <c r="Q68" i="19"/>
  <c r="S68" i="19" s="1"/>
  <c r="Q69" i="19"/>
  <c r="S69" i="19" s="1"/>
  <c r="Q70" i="19"/>
  <c r="S70" i="19" s="1"/>
  <c r="Q71" i="19"/>
  <c r="S71" i="19" s="1"/>
  <c r="Q72" i="19"/>
  <c r="S72" i="19" s="1"/>
  <c r="Q73" i="19"/>
  <c r="S73" i="19" s="1"/>
  <c r="Q74" i="19"/>
  <c r="S74" i="19" s="1"/>
  <c r="Q75" i="19"/>
  <c r="S75" i="19" s="1"/>
  <c r="Q76" i="19"/>
  <c r="S76" i="19" s="1"/>
  <c r="Q77" i="19"/>
  <c r="S77" i="19" s="1"/>
  <c r="Q78" i="19"/>
  <c r="S78" i="19" s="1"/>
  <c r="Q79" i="19"/>
  <c r="S79" i="19" s="1"/>
  <c r="Q80" i="19"/>
  <c r="S80" i="19" s="1"/>
  <c r="Q81" i="19"/>
  <c r="S81" i="19" s="1"/>
  <c r="Q82" i="19"/>
  <c r="S82" i="19" s="1"/>
  <c r="Q83" i="19"/>
  <c r="S83" i="19" s="1"/>
  <c r="Q84" i="19"/>
  <c r="S84" i="19" s="1"/>
  <c r="Q85" i="19"/>
  <c r="S85" i="19" s="1"/>
  <c r="Q86" i="19"/>
  <c r="S86" i="19" s="1"/>
  <c r="Q87" i="19"/>
  <c r="S87" i="19" s="1"/>
  <c r="Q88" i="19"/>
  <c r="S88" i="19" s="1"/>
  <c r="Q89" i="19"/>
  <c r="S89" i="19" s="1"/>
  <c r="Q90" i="19"/>
  <c r="S90" i="19" s="1"/>
  <c r="Q91" i="19"/>
  <c r="S91" i="19" s="1"/>
  <c r="Q92" i="19"/>
  <c r="S92" i="19" s="1"/>
  <c r="Q93" i="19"/>
  <c r="S93" i="19" s="1"/>
  <c r="Q94" i="19"/>
  <c r="S94" i="19" s="1"/>
  <c r="Q95" i="19"/>
  <c r="S95" i="19" s="1"/>
  <c r="Q96" i="19"/>
  <c r="S96" i="19" s="1"/>
  <c r="Q97" i="19"/>
  <c r="S97" i="19" s="1"/>
  <c r="Q98" i="19"/>
  <c r="S98" i="19" s="1"/>
  <c r="Q99" i="19"/>
  <c r="S99" i="19" s="1"/>
  <c r="Q100" i="19"/>
  <c r="S100" i="19" s="1"/>
  <c r="Q101" i="19"/>
  <c r="S101" i="19" s="1"/>
  <c r="Q102" i="19"/>
  <c r="S102" i="19" s="1"/>
  <c r="Q103" i="19"/>
  <c r="S103" i="19" s="1"/>
  <c r="Q104" i="19"/>
  <c r="S104" i="19" s="1"/>
  <c r="Q105" i="19"/>
  <c r="S105" i="19" s="1"/>
  <c r="Q106" i="19"/>
  <c r="S106" i="19" s="1"/>
  <c r="Q107" i="19"/>
  <c r="S107" i="19" s="1"/>
  <c r="Q108" i="19"/>
  <c r="S108" i="19" s="1"/>
  <c r="Q109" i="19"/>
  <c r="S109" i="19" s="1"/>
  <c r="Q110" i="19"/>
  <c r="S110" i="19" s="1"/>
  <c r="Q111" i="19"/>
  <c r="S111" i="19" s="1"/>
  <c r="Q112" i="19"/>
  <c r="S112" i="19" s="1"/>
  <c r="Q113" i="19"/>
  <c r="S113" i="19" s="1"/>
  <c r="Q114" i="19"/>
  <c r="S114" i="19" s="1"/>
  <c r="Q115" i="19"/>
  <c r="S115" i="19" s="1"/>
  <c r="Q116" i="19"/>
  <c r="S116" i="19" s="1"/>
  <c r="Q117" i="19"/>
  <c r="S117" i="19" s="1"/>
  <c r="Q118" i="19"/>
  <c r="S118" i="19" s="1"/>
  <c r="Q119" i="19"/>
  <c r="S119" i="19" s="1"/>
  <c r="Q120" i="19"/>
  <c r="S120" i="19" s="1"/>
  <c r="Q121" i="19"/>
  <c r="S121" i="19" s="1"/>
  <c r="Q122" i="19"/>
  <c r="S122" i="19" s="1"/>
  <c r="Q123" i="19"/>
  <c r="S123" i="19" s="1"/>
  <c r="Q124" i="19"/>
  <c r="S124" i="19" s="1"/>
  <c r="Q125" i="19"/>
  <c r="S125" i="19" s="1"/>
  <c r="Q126" i="19"/>
  <c r="S126" i="19" s="1"/>
  <c r="Q127" i="19"/>
  <c r="S127" i="19" s="1"/>
  <c r="Q128" i="19"/>
  <c r="S128" i="19" s="1"/>
  <c r="Q129" i="19"/>
  <c r="S129" i="19" s="1"/>
  <c r="Q130" i="19"/>
  <c r="S130" i="19" s="1"/>
  <c r="Q131" i="19"/>
  <c r="S131" i="19" s="1"/>
  <c r="Q132" i="19"/>
  <c r="S132" i="19" s="1"/>
  <c r="Q133" i="19"/>
  <c r="S133" i="19" s="1"/>
  <c r="Q134" i="19"/>
  <c r="S134" i="19" s="1"/>
  <c r="Q135" i="19"/>
  <c r="S135" i="19" s="1"/>
  <c r="Q136" i="19"/>
  <c r="S136" i="19" s="1"/>
  <c r="Q137" i="19"/>
  <c r="S137" i="19" s="1"/>
  <c r="Q138" i="19"/>
  <c r="S138" i="19" s="1"/>
  <c r="Q139" i="19"/>
  <c r="S139" i="19" s="1"/>
  <c r="Q140" i="19"/>
  <c r="S140" i="19" s="1"/>
  <c r="Q141" i="19"/>
  <c r="S141" i="19" s="1"/>
  <c r="Q142" i="19"/>
  <c r="S142" i="19" s="1"/>
  <c r="Q143" i="19"/>
  <c r="S143" i="19" s="1"/>
  <c r="Q144" i="19"/>
  <c r="S144" i="19" s="1"/>
  <c r="Q145" i="19"/>
  <c r="S145" i="19" s="1"/>
  <c r="Q146" i="19"/>
  <c r="S146" i="19" s="1"/>
  <c r="Q147" i="19"/>
  <c r="S147" i="19" s="1"/>
  <c r="Q148" i="19"/>
  <c r="S148" i="19" s="1"/>
  <c r="Q149" i="19"/>
  <c r="S149" i="19" s="1"/>
  <c r="Q150" i="19"/>
  <c r="S150" i="19" s="1"/>
  <c r="Q151" i="19"/>
  <c r="S151" i="19" s="1"/>
  <c r="Q152" i="19"/>
  <c r="S152" i="19" s="1"/>
  <c r="Q153" i="19"/>
  <c r="S153" i="19" s="1"/>
  <c r="Q154" i="19"/>
  <c r="S154" i="19" s="1"/>
  <c r="Q155" i="19"/>
  <c r="S155" i="19" s="1"/>
  <c r="Q156" i="19"/>
  <c r="S156" i="19" s="1"/>
  <c r="Q157" i="19"/>
  <c r="S157" i="19" s="1"/>
  <c r="Q158" i="19"/>
  <c r="S158" i="19" s="1"/>
  <c r="Q159" i="19"/>
  <c r="S159" i="19" s="1"/>
  <c r="Q160" i="19"/>
  <c r="S160" i="19" s="1"/>
  <c r="Q161" i="19"/>
  <c r="S161" i="19" s="1"/>
  <c r="Q162" i="19"/>
  <c r="S162" i="19" s="1"/>
  <c r="Q163" i="19"/>
  <c r="S163" i="19" s="1"/>
  <c r="Q164" i="19"/>
  <c r="S164" i="19" s="1"/>
  <c r="Q165" i="19"/>
  <c r="S165" i="19" s="1"/>
  <c r="Q166" i="19"/>
  <c r="S166" i="19" s="1"/>
  <c r="Q167" i="19"/>
  <c r="S167" i="19" s="1"/>
  <c r="Q168" i="19"/>
  <c r="S168" i="19" s="1"/>
  <c r="Q169" i="19"/>
  <c r="S169" i="19" s="1"/>
  <c r="Q170" i="19"/>
  <c r="S170" i="19" s="1"/>
  <c r="Q171" i="19"/>
  <c r="S171" i="19" s="1"/>
  <c r="Q172" i="19"/>
  <c r="S172" i="19" s="1"/>
  <c r="Q173" i="19"/>
  <c r="S173" i="19" s="1"/>
  <c r="Q174" i="19"/>
  <c r="S174" i="19" s="1"/>
  <c r="Q175" i="19"/>
  <c r="S175" i="19" s="1"/>
  <c r="Q176" i="19"/>
  <c r="S176" i="19" s="1"/>
  <c r="Q177" i="19"/>
  <c r="S177" i="19" s="1"/>
  <c r="Q178" i="19"/>
  <c r="S178" i="19" s="1"/>
  <c r="Q179" i="19"/>
  <c r="S179" i="19" s="1"/>
  <c r="Q180" i="19"/>
  <c r="S180" i="19" s="1"/>
  <c r="Q181" i="19"/>
  <c r="S181" i="19" s="1"/>
  <c r="Q182" i="19"/>
  <c r="S182" i="19" s="1"/>
  <c r="Q183" i="19"/>
  <c r="S183" i="19" s="1"/>
  <c r="Q184" i="19"/>
  <c r="S184" i="19" s="1"/>
  <c r="Q185" i="19"/>
  <c r="S185" i="19" s="1"/>
  <c r="Q186" i="19"/>
  <c r="S186" i="19" s="1"/>
  <c r="Q187" i="19"/>
  <c r="S187" i="19" s="1"/>
  <c r="Q188" i="19"/>
  <c r="S188" i="19" s="1"/>
  <c r="Q189" i="19"/>
  <c r="S189" i="19" s="1"/>
  <c r="Q190" i="19"/>
  <c r="S190" i="19" s="1"/>
  <c r="Q191" i="19"/>
  <c r="S191" i="19" s="1"/>
  <c r="Q192" i="19"/>
  <c r="S192" i="19" s="1"/>
  <c r="Q193" i="19"/>
  <c r="S193" i="19" s="1"/>
  <c r="Q194" i="19"/>
  <c r="S194" i="19" s="1"/>
  <c r="Q195" i="19"/>
  <c r="S195" i="19" s="1"/>
  <c r="Q196" i="19"/>
  <c r="S196" i="19" s="1"/>
  <c r="Q197" i="19"/>
  <c r="S197" i="19" s="1"/>
  <c r="Q198" i="19"/>
  <c r="S198" i="19" s="1"/>
  <c r="Q199" i="19"/>
  <c r="S199" i="19" s="1"/>
  <c r="Q200" i="19"/>
  <c r="S200" i="19" s="1"/>
  <c r="Q201" i="19"/>
  <c r="S201" i="19" s="1"/>
  <c r="Q202" i="19"/>
  <c r="S202" i="19" s="1"/>
  <c r="Q203" i="19"/>
  <c r="S203" i="19" s="1"/>
  <c r="Q204" i="19"/>
  <c r="S204" i="19" s="1"/>
  <c r="Q205" i="19"/>
  <c r="S205" i="19" s="1"/>
  <c r="Q206" i="19"/>
  <c r="S206" i="19" s="1"/>
  <c r="Q207" i="19"/>
  <c r="S207" i="19" s="1"/>
  <c r="Q208" i="19"/>
  <c r="S208" i="19" s="1"/>
  <c r="Q209" i="19"/>
  <c r="S209" i="19" s="1"/>
  <c r="Q210" i="19"/>
  <c r="S210" i="19" s="1"/>
  <c r="Q211" i="19"/>
  <c r="S211" i="19" s="1"/>
  <c r="Q212" i="19"/>
  <c r="S212" i="19" s="1"/>
  <c r="Q213" i="19"/>
  <c r="S213" i="19" s="1"/>
  <c r="Q214" i="19"/>
  <c r="S214" i="19" s="1"/>
  <c r="Q215" i="19"/>
  <c r="S215" i="19" s="1"/>
  <c r="Q216" i="19"/>
  <c r="S216" i="19" s="1"/>
  <c r="Q217" i="19"/>
  <c r="S217" i="19" s="1"/>
  <c r="Q218" i="19"/>
  <c r="S218" i="19" s="1"/>
  <c r="Q219" i="19"/>
  <c r="S219" i="19" s="1"/>
  <c r="Q220" i="19"/>
  <c r="S220" i="19" s="1"/>
  <c r="Q221" i="19"/>
  <c r="S221" i="19" s="1"/>
  <c r="Q222" i="19"/>
  <c r="S222" i="19" s="1"/>
  <c r="Q223" i="19"/>
  <c r="S223" i="19" s="1"/>
  <c r="Q224" i="19"/>
  <c r="S224" i="19" s="1"/>
  <c r="Q225" i="19"/>
  <c r="S225" i="19" s="1"/>
  <c r="Q226" i="19"/>
  <c r="S226" i="19" s="1"/>
  <c r="Q227" i="19"/>
  <c r="S227" i="19" s="1"/>
  <c r="Q228" i="19"/>
  <c r="S228" i="19" s="1"/>
  <c r="Q229" i="19"/>
  <c r="S229" i="19" s="1"/>
  <c r="Q230" i="19"/>
  <c r="S230" i="19" s="1"/>
  <c r="Q231" i="19"/>
  <c r="S231" i="19" s="1"/>
  <c r="Q232" i="19"/>
  <c r="S232" i="19" s="1"/>
  <c r="Q233" i="19"/>
  <c r="S233" i="19" s="1"/>
  <c r="Q234" i="19"/>
  <c r="S234" i="19" s="1"/>
  <c r="Q235" i="19"/>
  <c r="S235" i="19" s="1"/>
  <c r="Q236" i="19"/>
  <c r="S236" i="19" s="1"/>
  <c r="Q237" i="19"/>
  <c r="S237" i="19" s="1"/>
  <c r="Q238" i="19"/>
  <c r="S238" i="19" s="1"/>
  <c r="Q239" i="19"/>
  <c r="S239" i="19" s="1"/>
  <c r="Q240" i="19"/>
  <c r="S240" i="19" s="1"/>
  <c r="Q241" i="19"/>
  <c r="S241" i="19" s="1"/>
  <c r="Q242" i="19"/>
  <c r="S242" i="19" s="1"/>
  <c r="Q243" i="19"/>
  <c r="S243" i="19" s="1"/>
  <c r="Q244" i="19"/>
  <c r="S244" i="19" s="1"/>
  <c r="Q245" i="19"/>
  <c r="S245" i="19" s="1"/>
  <c r="Q246" i="19"/>
  <c r="S246" i="19" s="1"/>
  <c r="Q247" i="19"/>
  <c r="S247" i="19" s="1"/>
  <c r="Q248" i="19"/>
  <c r="S248" i="19" s="1"/>
  <c r="Q249" i="19"/>
  <c r="S249" i="19" s="1"/>
  <c r="Q250" i="19"/>
  <c r="S250" i="19" s="1"/>
  <c r="Q251" i="19"/>
  <c r="S251" i="19" s="1"/>
  <c r="Q252" i="19"/>
  <c r="S252" i="19" s="1"/>
  <c r="Q253" i="19"/>
  <c r="S253" i="19" s="1"/>
  <c r="Q254" i="19"/>
  <c r="S254" i="19" s="1"/>
  <c r="Q255" i="19"/>
  <c r="S255" i="19" s="1"/>
  <c r="Q256" i="19"/>
  <c r="S256" i="19" s="1"/>
  <c r="Q257" i="19"/>
  <c r="S257" i="19" s="1"/>
  <c r="Q258" i="19"/>
  <c r="S258" i="19" s="1"/>
  <c r="Q259" i="19"/>
  <c r="S259" i="19" s="1"/>
  <c r="Q260" i="19"/>
  <c r="S260" i="19" s="1"/>
  <c r="Q261" i="19"/>
  <c r="S261" i="19" s="1"/>
  <c r="Q262" i="19"/>
  <c r="S262" i="19" s="1"/>
  <c r="Q263" i="19"/>
  <c r="S263" i="19" s="1"/>
  <c r="Q264" i="19"/>
  <c r="S264" i="19" s="1"/>
  <c r="Q265" i="19"/>
  <c r="S265" i="19" s="1"/>
  <c r="Q266" i="19"/>
  <c r="S266" i="19" s="1"/>
  <c r="Q267" i="19"/>
  <c r="S267" i="19" s="1"/>
  <c r="Q268" i="19"/>
  <c r="S268" i="19" s="1"/>
  <c r="Q269" i="19"/>
  <c r="S269" i="19" s="1"/>
  <c r="Q270" i="19"/>
  <c r="S270" i="19" s="1"/>
  <c r="Q271" i="19"/>
  <c r="S271" i="19" s="1"/>
  <c r="Q272" i="19"/>
  <c r="S272" i="19" s="1"/>
  <c r="Q273" i="19"/>
  <c r="S273" i="19" s="1"/>
  <c r="Q274" i="19"/>
  <c r="S274" i="19" s="1"/>
  <c r="Q275" i="19"/>
  <c r="S275" i="19" s="1"/>
  <c r="Q276" i="19"/>
  <c r="S276" i="19" s="1"/>
  <c r="Q277" i="19"/>
  <c r="S277" i="19" s="1"/>
  <c r="Q278" i="19"/>
  <c r="S278" i="19" s="1"/>
  <c r="Q279" i="19"/>
  <c r="S279" i="19" s="1"/>
  <c r="Q280" i="19"/>
  <c r="S280" i="19" s="1"/>
  <c r="Q281" i="19"/>
  <c r="S281" i="19" s="1"/>
  <c r="Q282" i="19"/>
  <c r="S282" i="19" s="1"/>
  <c r="Q283" i="19"/>
  <c r="S283" i="19" s="1"/>
  <c r="Q284" i="19"/>
  <c r="S284" i="19" s="1"/>
  <c r="Q285" i="19"/>
  <c r="S285" i="19" s="1"/>
  <c r="Q286" i="19"/>
  <c r="S286" i="19" s="1"/>
  <c r="Q287" i="19"/>
  <c r="S287" i="19" s="1"/>
  <c r="Q288" i="19"/>
  <c r="S288" i="19" s="1"/>
  <c r="Q289" i="19"/>
  <c r="S289" i="19" s="1"/>
  <c r="Q290" i="19"/>
  <c r="S290" i="19" s="1"/>
  <c r="Q291" i="19"/>
  <c r="S291" i="19" s="1"/>
  <c r="Q292" i="19"/>
  <c r="S292" i="19" s="1"/>
  <c r="Q293" i="19"/>
  <c r="S293" i="19" s="1"/>
  <c r="Q294" i="19"/>
  <c r="S294" i="19" s="1"/>
  <c r="Q295" i="19"/>
  <c r="S295" i="19" s="1"/>
  <c r="Q296" i="19"/>
  <c r="S296" i="19" s="1"/>
  <c r="Q297" i="19"/>
  <c r="S297" i="19" s="1"/>
  <c r="Q298" i="19"/>
  <c r="S298" i="19" s="1"/>
  <c r="Q299" i="19"/>
  <c r="S299" i="19" s="1"/>
  <c r="Q300" i="19"/>
  <c r="S300" i="19" s="1"/>
  <c r="Q301" i="19"/>
  <c r="S301" i="19" s="1"/>
  <c r="Q302" i="19"/>
  <c r="S302" i="19" s="1"/>
  <c r="Q303" i="19"/>
  <c r="S303" i="19" s="1"/>
  <c r="Q304" i="19"/>
  <c r="S304" i="19" s="1"/>
  <c r="Q12" i="19"/>
  <c r="S12" i="19" s="1"/>
  <c r="P11" i="19"/>
  <c r="O11" i="19"/>
  <c r="S11" i="19" l="1"/>
  <c r="Q11" i="19"/>
  <c r="K8" i="7" l="1"/>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7" i="7"/>
  <c r="G168" i="12"/>
  <c r="J6" i="7" l="1"/>
  <c r="F161" i="14" l="1"/>
  <c r="F13" i="12" l="1"/>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6" i="12"/>
  <c r="F147" i="12"/>
  <c r="F148" i="12"/>
  <c r="F149" i="12"/>
  <c r="F150" i="12"/>
  <c r="F151" i="12"/>
  <c r="F152" i="12"/>
  <c r="F153" i="12"/>
  <c r="F154" i="12"/>
  <c r="F155" i="12"/>
  <c r="F156" i="12"/>
  <c r="F157" i="12"/>
  <c r="F158" i="12"/>
  <c r="F159" i="12"/>
  <c r="F160" i="12"/>
  <c r="F161" i="12"/>
  <c r="F162" i="12"/>
  <c r="F163" i="12"/>
  <c r="F164" i="12"/>
  <c r="F165" i="12"/>
  <c r="F166" i="12"/>
  <c r="F167" i="12"/>
  <c r="F169" i="12"/>
  <c r="F170" i="12"/>
  <c r="F171" i="12"/>
  <c r="F172" i="12"/>
  <c r="F173" i="12"/>
  <c r="F174" i="12"/>
  <c r="F175" i="12"/>
  <c r="F176" i="12"/>
  <c r="F177" i="12"/>
  <c r="F178" i="12"/>
  <c r="F179" i="12"/>
  <c r="F180" i="12"/>
  <c r="F181" i="12"/>
  <c r="F182" i="12"/>
  <c r="F183" i="12"/>
  <c r="F184" i="12"/>
  <c r="F185" i="12"/>
  <c r="F186" i="12"/>
  <c r="F187" i="12"/>
  <c r="F188" i="12"/>
  <c r="F189" i="12"/>
  <c r="F190" i="12"/>
  <c r="F191" i="12"/>
  <c r="F192" i="12"/>
  <c r="F193" i="12"/>
  <c r="F194" i="12"/>
  <c r="F195" i="12"/>
  <c r="F196" i="12"/>
  <c r="F197" i="12"/>
  <c r="F198" i="12"/>
  <c r="F199" i="12"/>
  <c r="F200" i="12"/>
  <c r="F201" i="12"/>
  <c r="F202" i="12"/>
  <c r="F203" i="12"/>
  <c r="F204" i="12"/>
  <c r="F205" i="12"/>
  <c r="F206" i="12"/>
  <c r="F207" i="12"/>
  <c r="F208" i="12"/>
  <c r="F209" i="12"/>
  <c r="F210" i="12"/>
  <c r="F211" i="12"/>
  <c r="F212" i="12"/>
  <c r="F213" i="12"/>
  <c r="F214" i="12"/>
  <c r="F215" i="12"/>
  <c r="F216" i="12"/>
  <c r="F217" i="12"/>
  <c r="F218" i="12"/>
  <c r="F219" i="12"/>
  <c r="F220" i="12"/>
  <c r="F221" i="12"/>
  <c r="F222" i="12"/>
  <c r="F223" i="12"/>
  <c r="F224" i="12"/>
  <c r="F225" i="12"/>
  <c r="F226" i="12"/>
  <c r="F227" i="12"/>
  <c r="F228" i="12"/>
  <c r="F229" i="12"/>
  <c r="F230" i="12"/>
  <c r="F231" i="12"/>
  <c r="F232" i="12"/>
  <c r="F233" i="12"/>
  <c r="F234" i="12"/>
  <c r="F235" i="12"/>
  <c r="F236" i="12"/>
  <c r="F237" i="12"/>
  <c r="F238" i="12"/>
  <c r="F239" i="12"/>
  <c r="F240" i="12"/>
  <c r="F241" i="12"/>
  <c r="F242" i="12"/>
  <c r="F243" i="12"/>
  <c r="F244" i="12"/>
  <c r="F245" i="12"/>
  <c r="F246" i="12"/>
  <c r="F247" i="12"/>
  <c r="F248" i="12"/>
  <c r="F249" i="12"/>
  <c r="F250" i="12"/>
  <c r="F251" i="12"/>
  <c r="F252" i="12"/>
  <c r="F253" i="12"/>
  <c r="F254" i="12"/>
  <c r="F255" i="12"/>
  <c r="F256" i="12"/>
  <c r="F257" i="12"/>
  <c r="F258" i="12"/>
  <c r="F259" i="12"/>
  <c r="F260" i="12"/>
  <c r="F261" i="12"/>
  <c r="F262" i="12"/>
  <c r="F263" i="12"/>
  <c r="F264" i="12"/>
  <c r="F265" i="12"/>
  <c r="F266" i="12"/>
  <c r="F267" i="12"/>
  <c r="F268" i="12"/>
  <c r="F269" i="12"/>
  <c r="F270" i="12"/>
  <c r="F271" i="12"/>
  <c r="F272" i="12"/>
  <c r="F273" i="12"/>
  <c r="F274" i="12"/>
  <c r="F275" i="12"/>
  <c r="F276" i="12"/>
  <c r="F277" i="12"/>
  <c r="F278" i="12"/>
  <c r="F279" i="12"/>
  <c r="F280" i="12"/>
  <c r="F281" i="12"/>
  <c r="F282" i="12"/>
  <c r="F283" i="12"/>
  <c r="F284" i="12"/>
  <c r="F285" i="12"/>
  <c r="F286" i="12"/>
  <c r="F287" i="12"/>
  <c r="F288" i="12"/>
  <c r="F289" i="12"/>
  <c r="F290" i="12"/>
  <c r="F291" i="12"/>
  <c r="F292" i="12"/>
  <c r="F293" i="12"/>
  <c r="F294" i="12"/>
  <c r="F295" i="12"/>
  <c r="F296" i="12"/>
  <c r="F297" i="12"/>
  <c r="F298" i="12"/>
  <c r="F299" i="12"/>
  <c r="F300" i="12"/>
  <c r="F301" i="12"/>
  <c r="F302" i="12"/>
  <c r="F303" i="12"/>
  <c r="F304" i="12"/>
  <c r="U162" i="10" l="1"/>
  <c r="M164" i="10"/>
  <c r="F375" i="24"/>
  <c r="F374" i="24"/>
  <c r="F373" i="24"/>
  <c r="F372" i="24"/>
  <c r="F371" i="24"/>
  <c r="F370" i="24"/>
  <c r="F369" i="24"/>
  <c r="F368" i="24"/>
  <c r="F367" i="24"/>
  <c r="F366" i="24"/>
  <c r="F365" i="24"/>
  <c r="F364" i="24"/>
  <c r="F363" i="24"/>
  <c r="F362" i="24"/>
  <c r="F361" i="24"/>
  <c r="F360" i="24"/>
  <c r="F359" i="24"/>
  <c r="F358" i="24"/>
  <c r="F357" i="24"/>
  <c r="F356" i="24"/>
  <c r="F355" i="24"/>
  <c r="F354" i="24"/>
  <c r="F353" i="24"/>
  <c r="F352" i="24"/>
  <c r="F351" i="24"/>
  <c r="F350" i="24"/>
  <c r="F349" i="24"/>
  <c r="F348" i="24"/>
  <c r="F347" i="24"/>
  <c r="F346" i="24"/>
  <c r="F345" i="24"/>
  <c r="F344" i="24"/>
  <c r="F343" i="24"/>
  <c r="F342" i="24"/>
  <c r="F341" i="24"/>
  <c r="F340" i="24"/>
  <c r="F339" i="24"/>
  <c r="F338" i="24"/>
  <c r="F337" i="24"/>
  <c r="F336" i="24"/>
  <c r="F335" i="24"/>
  <c r="F334" i="24"/>
  <c r="F333" i="24"/>
  <c r="F332" i="24"/>
  <c r="F331" i="24"/>
  <c r="F330" i="24"/>
  <c r="F329" i="24"/>
  <c r="F328" i="24"/>
  <c r="F327" i="24"/>
  <c r="F326" i="24"/>
  <c r="F325" i="24"/>
  <c r="F324" i="24"/>
  <c r="F323" i="24"/>
  <c r="F322" i="24"/>
  <c r="F321" i="24"/>
  <c r="F320" i="24"/>
  <c r="F319" i="24"/>
  <c r="F318" i="24"/>
  <c r="F317" i="24"/>
  <c r="F316" i="24"/>
  <c r="F315" i="24"/>
  <c r="F314" i="24"/>
  <c r="F313" i="24"/>
  <c r="F312" i="24"/>
  <c r="F311" i="24"/>
  <c r="F310" i="24"/>
  <c r="F309" i="24"/>
  <c r="F308" i="24"/>
  <c r="F307" i="24"/>
  <c r="F306" i="24"/>
  <c r="F305" i="24"/>
  <c r="F304" i="24"/>
  <c r="F303" i="24"/>
  <c r="F302" i="24"/>
  <c r="F301" i="24"/>
  <c r="F300" i="24"/>
  <c r="F299" i="24"/>
  <c r="F298" i="24"/>
  <c r="F297" i="24"/>
  <c r="F296" i="24"/>
  <c r="F295" i="24"/>
  <c r="F294" i="24"/>
  <c r="F293" i="24"/>
  <c r="F292" i="24"/>
  <c r="F291" i="24"/>
  <c r="F290" i="24"/>
  <c r="F289" i="24"/>
  <c r="F288" i="24"/>
  <c r="F287" i="24"/>
  <c r="F286" i="24"/>
  <c r="F285" i="24"/>
  <c r="F284" i="24"/>
  <c r="F283" i="24"/>
  <c r="F282" i="24"/>
  <c r="F281" i="24"/>
  <c r="F280" i="24"/>
  <c r="F279" i="24"/>
  <c r="F278" i="24"/>
  <c r="F277" i="24"/>
  <c r="F276" i="24"/>
  <c r="F275" i="24"/>
  <c r="F274" i="24"/>
  <c r="F273" i="24"/>
  <c r="F272" i="24"/>
  <c r="F271" i="24"/>
  <c r="F270" i="24"/>
  <c r="F269" i="24"/>
  <c r="F268" i="24"/>
  <c r="F267" i="24"/>
  <c r="F266" i="24"/>
  <c r="F265" i="24"/>
  <c r="F264" i="24"/>
  <c r="F263" i="24"/>
  <c r="F262" i="24"/>
  <c r="F261" i="24"/>
  <c r="F260" i="24"/>
  <c r="F259" i="24"/>
  <c r="F258" i="24"/>
  <c r="F257" i="24"/>
  <c r="F256" i="24"/>
  <c r="F255" i="24"/>
  <c r="F254" i="24"/>
  <c r="F253" i="24"/>
  <c r="F252" i="24"/>
  <c r="F251" i="24"/>
  <c r="F250" i="24"/>
  <c r="F249" i="24"/>
  <c r="F248" i="24"/>
  <c r="F247" i="24"/>
  <c r="F246" i="24"/>
  <c r="F245" i="24"/>
  <c r="F244" i="24"/>
  <c r="F243" i="24"/>
  <c r="F242" i="24"/>
  <c r="F241" i="24"/>
  <c r="F240" i="24"/>
  <c r="F239" i="24"/>
  <c r="F238" i="24"/>
  <c r="F237" i="24"/>
  <c r="F236" i="24"/>
  <c r="F235" i="24"/>
  <c r="F234" i="24"/>
  <c r="F233" i="24"/>
  <c r="F232" i="24"/>
  <c r="F231" i="24"/>
  <c r="F230" i="24"/>
  <c r="F229" i="24"/>
  <c r="F228" i="24"/>
  <c r="F227" i="24"/>
  <c r="F226" i="24"/>
  <c r="F225" i="24"/>
  <c r="F224" i="24"/>
  <c r="F223" i="24"/>
  <c r="F222" i="24"/>
  <c r="F221" i="24"/>
  <c r="F220" i="24"/>
  <c r="F219" i="24"/>
  <c r="F218" i="24"/>
  <c r="F217" i="24"/>
  <c r="F216" i="24"/>
  <c r="F215" i="24"/>
  <c r="F214" i="24"/>
  <c r="F213" i="24"/>
  <c r="F212" i="24"/>
  <c r="F211" i="24"/>
  <c r="F210" i="24"/>
  <c r="F209" i="24"/>
  <c r="F208" i="24"/>
  <c r="F207" i="24"/>
  <c r="F206" i="24"/>
  <c r="F205" i="24"/>
  <c r="F204" i="24"/>
  <c r="F203" i="24"/>
  <c r="F202" i="24"/>
  <c r="F201" i="24"/>
  <c r="F200" i="24"/>
  <c r="F199" i="24"/>
  <c r="F198" i="24"/>
  <c r="F197" i="24"/>
  <c r="F196" i="24"/>
  <c r="F195" i="24"/>
  <c r="F194" i="24"/>
  <c r="F193" i="24"/>
  <c r="F192" i="24"/>
  <c r="F191" i="24"/>
  <c r="F190" i="24"/>
  <c r="F189" i="24"/>
  <c r="F188" i="24"/>
  <c r="F187" i="24"/>
  <c r="F186" i="24"/>
  <c r="F185" i="24"/>
  <c r="F184" i="24"/>
  <c r="F183" i="24"/>
  <c r="F182" i="24"/>
  <c r="F181" i="24"/>
  <c r="F180" i="24"/>
  <c r="F179" i="24"/>
  <c r="F178" i="24"/>
  <c r="F177" i="24"/>
  <c r="F176" i="24"/>
  <c r="F175" i="24"/>
  <c r="F174" i="24"/>
  <c r="F173" i="24"/>
  <c r="F172" i="24"/>
  <c r="F171" i="24"/>
  <c r="F170" i="24"/>
  <c r="F169" i="24"/>
  <c r="F168" i="24"/>
  <c r="F167" i="24"/>
  <c r="F166" i="24"/>
  <c r="F165" i="24"/>
  <c r="F164" i="24"/>
  <c r="F163" i="24"/>
  <c r="F162" i="24"/>
  <c r="F161" i="24"/>
  <c r="F160" i="24"/>
  <c r="F159" i="24"/>
  <c r="F158" i="24"/>
  <c r="F157" i="24"/>
  <c r="F156" i="24"/>
  <c r="F155" i="24"/>
  <c r="F154" i="24"/>
  <c r="F153" i="24"/>
  <c r="F152" i="24"/>
  <c r="F151" i="24"/>
  <c r="F150" i="24"/>
  <c r="F149" i="24"/>
  <c r="F148" i="24"/>
  <c r="F147" i="24"/>
  <c r="F146" i="24"/>
  <c r="F145" i="24"/>
  <c r="F144" i="24"/>
  <c r="F143" i="24"/>
  <c r="F142" i="24"/>
  <c r="F141" i="24"/>
  <c r="F140" i="24"/>
  <c r="F139" i="24"/>
  <c r="F138" i="24"/>
  <c r="F137" i="24"/>
  <c r="F136" i="24"/>
  <c r="F135" i="24"/>
  <c r="F134" i="24"/>
  <c r="F133" i="24"/>
  <c r="F132" i="24"/>
  <c r="F131" i="24"/>
  <c r="F130" i="24"/>
  <c r="F129" i="24"/>
  <c r="F128" i="24"/>
  <c r="F127" i="24"/>
  <c r="F126" i="24"/>
  <c r="F125" i="24"/>
  <c r="F124" i="24"/>
  <c r="F123" i="24"/>
  <c r="F122" i="24"/>
  <c r="F121" i="24"/>
  <c r="F120" i="24"/>
  <c r="F119" i="24"/>
  <c r="F118" i="24"/>
  <c r="F117" i="24"/>
  <c r="F116" i="24"/>
  <c r="F115" i="24"/>
  <c r="F114" i="24"/>
  <c r="F113" i="24"/>
  <c r="F112" i="24"/>
  <c r="F111" i="24"/>
  <c r="F110" i="24"/>
  <c r="F109" i="24"/>
  <c r="F108" i="24"/>
  <c r="F107" i="24"/>
  <c r="F106" i="24"/>
  <c r="F105" i="24"/>
  <c r="F104" i="24"/>
  <c r="F103" i="24"/>
  <c r="F102" i="24"/>
  <c r="F101" i="24"/>
  <c r="F100" i="24"/>
  <c r="F99" i="24"/>
  <c r="F98" i="24"/>
  <c r="F97" i="24"/>
  <c r="F96" i="24"/>
  <c r="F95" i="24"/>
  <c r="F94" i="24"/>
  <c r="F93" i="24"/>
  <c r="F92" i="24"/>
  <c r="F91" i="24"/>
  <c r="F90" i="24"/>
  <c r="F89" i="24"/>
  <c r="F88" i="24"/>
  <c r="F87" i="24"/>
  <c r="F86" i="24"/>
  <c r="F85" i="24"/>
  <c r="F84" i="24"/>
  <c r="F83" i="24"/>
  <c r="F82" i="24"/>
  <c r="F81" i="24"/>
  <c r="F80" i="24"/>
  <c r="F79" i="24"/>
  <c r="F78" i="24"/>
  <c r="F77" i="24"/>
  <c r="F76" i="24"/>
  <c r="F75" i="24"/>
  <c r="F74" i="24"/>
  <c r="F73" i="24"/>
  <c r="F72" i="24"/>
  <c r="F71" i="24"/>
  <c r="F70" i="24"/>
  <c r="F69" i="24"/>
  <c r="F68" i="24"/>
  <c r="F67" i="24"/>
  <c r="F66" i="24"/>
  <c r="F65" i="24"/>
  <c r="F64" i="24"/>
  <c r="F63" i="24"/>
  <c r="F62" i="24"/>
  <c r="F61" i="24"/>
  <c r="F60" i="24"/>
  <c r="F59" i="24"/>
  <c r="F58" i="24"/>
  <c r="F57" i="24"/>
  <c r="F56" i="24"/>
  <c r="F55" i="24"/>
  <c r="F54" i="24"/>
  <c r="F53" i="24"/>
  <c r="F52" i="24"/>
  <c r="F51" i="24"/>
  <c r="F50" i="24"/>
  <c r="F49" i="24"/>
  <c r="F48" i="24"/>
  <c r="F47" i="24"/>
  <c r="F46" i="24"/>
  <c r="F45" i="24"/>
  <c r="F44" i="24"/>
  <c r="F43" i="24"/>
  <c r="F42" i="24"/>
  <c r="F41" i="24"/>
  <c r="F40" i="24"/>
  <c r="F39" i="24"/>
  <c r="F38" i="24"/>
  <c r="F37" i="24"/>
  <c r="F36" i="24"/>
  <c r="F35" i="24"/>
  <c r="F34" i="24"/>
  <c r="F33" i="24"/>
  <c r="F32" i="24"/>
  <c r="F31" i="24"/>
  <c r="F30" i="24"/>
  <c r="F29" i="24"/>
  <c r="F28" i="24"/>
  <c r="F27" i="24"/>
  <c r="F26" i="24"/>
  <c r="F25" i="24"/>
  <c r="F24" i="24"/>
  <c r="F23" i="24"/>
  <c r="F22" i="24"/>
  <c r="F21" i="24"/>
  <c r="F20" i="24"/>
  <c r="F19" i="24"/>
  <c r="F18" i="24"/>
  <c r="F17" i="24"/>
  <c r="F16" i="24"/>
  <c r="F15" i="24"/>
  <c r="F14" i="24"/>
  <c r="F13" i="24"/>
  <c r="F12" i="24"/>
  <c r="F11" i="24"/>
  <c r="F10" i="24"/>
  <c r="F9" i="24"/>
  <c r="E8" i="24"/>
  <c r="D8" i="24"/>
  <c r="C8" i="24"/>
  <c r="F8" i="24" l="1"/>
  <c r="F7" i="24" s="1"/>
  <c r="G14" i="22" l="1"/>
  <c r="G15" i="22"/>
  <c r="P14" i="22" l="1"/>
  <c r="B19" i="23"/>
  <c r="B27" i="23" l="1"/>
  <c r="B28" i="23"/>
  <c r="E28" i="23"/>
  <c r="E29" i="23" s="1"/>
  <c r="C27" i="23"/>
  <c r="C29" i="23" s="1"/>
  <c r="D27" i="23"/>
  <c r="D29" i="23" s="1"/>
  <c r="P15" i="22"/>
  <c r="P16" i="22"/>
  <c r="P17" i="22"/>
  <c r="P18" i="22"/>
  <c r="P19" i="22"/>
  <c r="P20" i="22"/>
  <c r="P21" i="22"/>
  <c r="P22" i="22"/>
  <c r="P23" i="22"/>
  <c r="P24" i="22"/>
  <c r="P25" i="22"/>
  <c r="P26" i="22"/>
  <c r="P27" i="22"/>
  <c r="P28" i="22"/>
  <c r="P29" i="22"/>
  <c r="P30" i="22"/>
  <c r="P31" i="22"/>
  <c r="P32" i="22"/>
  <c r="P33" i="22"/>
  <c r="P34" i="22"/>
  <c r="P35" i="22"/>
  <c r="P36" i="22"/>
  <c r="P37" i="22"/>
  <c r="P38" i="22"/>
  <c r="P39" i="22"/>
  <c r="P40" i="22"/>
  <c r="P41" i="22"/>
  <c r="P42" i="22"/>
  <c r="P43" i="22"/>
  <c r="P44" i="22"/>
  <c r="P45" i="22"/>
  <c r="P46" i="22"/>
  <c r="P47" i="22"/>
  <c r="P48" i="22"/>
  <c r="P49" i="22"/>
  <c r="P50" i="22"/>
  <c r="P51" i="22"/>
  <c r="P52" i="22"/>
  <c r="P53" i="22"/>
  <c r="P54" i="22"/>
  <c r="P55" i="22"/>
  <c r="P56" i="22"/>
  <c r="P57" i="22"/>
  <c r="P58" i="22"/>
  <c r="P59" i="22"/>
  <c r="P60" i="22"/>
  <c r="P61" i="22"/>
  <c r="P62" i="22"/>
  <c r="P63" i="22"/>
  <c r="P64" i="22"/>
  <c r="P65" i="22"/>
  <c r="P66" i="22"/>
  <c r="P67" i="22"/>
  <c r="P68" i="22"/>
  <c r="P69" i="22"/>
  <c r="P70" i="22"/>
  <c r="P71" i="22"/>
  <c r="P72" i="22"/>
  <c r="P73" i="22"/>
  <c r="P74" i="22"/>
  <c r="P75" i="22"/>
  <c r="P76" i="22"/>
  <c r="P77" i="22"/>
  <c r="P78" i="22"/>
  <c r="P79" i="22"/>
  <c r="P80" i="22"/>
  <c r="P81" i="22"/>
  <c r="P82" i="22"/>
  <c r="P83" i="22"/>
  <c r="P84" i="22"/>
  <c r="P85" i="22"/>
  <c r="P86" i="22"/>
  <c r="P87" i="22"/>
  <c r="P88" i="22"/>
  <c r="P89" i="22"/>
  <c r="P90" i="22"/>
  <c r="P91" i="22"/>
  <c r="P92" i="22"/>
  <c r="P93" i="22"/>
  <c r="P94" i="22"/>
  <c r="P95" i="22"/>
  <c r="P96" i="22"/>
  <c r="P97" i="22"/>
  <c r="P98" i="22"/>
  <c r="P99" i="22"/>
  <c r="P100" i="22"/>
  <c r="P101" i="22"/>
  <c r="P102" i="22"/>
  <c r="P103" i="22"/>
  <c r="P104" i="22"/>
  <c r="P105" i="22"/>
  <c r="P106" i="22"/>
  <c r="P107" i="22"/>
  <c r="P108" i="22"/>
  <c r="P109" i="22"/>
  <c r="P110" i="22"/>
  <c r="P111" i="22"/>
  <c r="P112" i="22"/>
  <c r="P113" i="22"/>
  <c r="P114" i="22"/>
  <c r="P115" i="22"/>
  <c r="P116" i="22"/>
  <c r="P117" i="22"/>
  <c r="P118" i="22"/>
  <c r="P119" i="22"/>
  <c r="P120" i="22"/>
  <c r="P121" i="22"/>
  <c r="P122" i="22"/>
  <c r="P123" i="22"/>
  <c r="P124" i="22"/>
  <c r="P125" i="22"/>
  <c r="P126" i="22"/>
  <c r="P127" i="22"/>
  <c r="P128" i="22"/>
  <c r="P129" i="22"/>
  <c r="P130" i="22"/>
  <c r="P131" i="22"/>
  <c r="P132" i="22"/>
  <c r="P133" i="22"/>
  <c r="P134" i="22"/>
  <c r="P135" i="22"/>
  <c r="P136" i="22"/>
  <c r="P137" i="22"/>
  <c r="P138" i="22"/>
  <c r="P139" i="22"/>
  <c r="P140" i="22"/>
  <c r="P141" i="22"/>
  <c r="P142" i="22"/>
  <c r="P143" i="22"/>
  <c r="P144" i="22"/>
  <c r="P145" i="22"/>
  <c r="P146" i="22"/>
  <c r="P147" i="22"/>
  <c r="P148" i="22"/>
  <c r="P149" i="22"/>
  <c r="P150" i="22"/>
  <c r="P151" i="22"/>
  <c r="P152" i="22"/>
  <c r="P153" i="22"/>
  <c r="P154" i="22"/>
  <c r="P155" i="22"/>
  <c r="P156" i="22"/>
  <c r="P157" i="22"/>
  <c r="P158" i="22"/>
  <c r="P159" i="22"/>
  <c r="P160" i="22"/>
  <c r="P161" i="22"/>
  <c r="P162" i="22"/>
  <c r="P163" i="22"/>
  <c r="P164" i="22"/>
  <c r="P165" i="22"/>
  <c r="P166" i="22"/>
  <c r="P167" i="22"/>
  <c r="P168" i="22"/>
  <c r="P169" i="22"/>
  <c r="P170" i="22"/>
  <c r="P171" i="22"/>
  <c r="P172" i="22"/>
  <c r="P173" i="22"/>
  <c r="P174" i="22"/>
  <c r="P175" i="22"/>
  <c r="P176" i="22"/>
  <c r="P177" i="22"/>
  <c r="P178" i="22"/>
  <c r="P179" i="22"/>
  <c r="P180" i="22"/>
  <c r="P181" i="22"/>
  <c r="P182" i="22"/>
  <c r="P183" i="22"/>
  <c r="P184" i="22"/>
  <c r="P185" i="22"/>
  <c r="P186" i="22"/>
  <c r="P187" i="22"/>
  <c r="P188" i="22"/>
  <c r="P189" i="22"/>
  <c r="P190" i="22"/>
  <c r="P191" i="22"/>
  <c r="P192" i="22"/>
  <c r="P193" i="22"/>
  <c r="P194" i="22"/>
  <c r="P195" i="22"/>
  <c r="P196" i="22"/>
  <c r="P197" i="22"/>
  <c r="P198" i="22"/>
  <c r="P199" i="22"/>
  <c r="P200" i="22"/>
  <c r="P201" i="22"/>
  <c r="P202" i="22"/>
  <c r="P203" i="22"/>
  <c r="P204" i="22"/>
  <c r="P205" i="22"/>
  <c r="P206" i="22"/>
  <c r="P207"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I15" i="22"/>
  <c r="I16" i="22"/>
  <c r="I17" i="22"/>
  <c r="I18" i="22"/>
  <c r="I19" i="22"/>
  <c r="I20" i="22"/>
  <c r="I21" i="22"/>
  <c r="I22" i="22"/>
  <c r="I23" i="22"/>
  <c r="I24" i="22"/>
  <c r="I25" i="22"/>
  <c r="I26" i="22"/>
  <c r="I27" i="22"/>
  <c r="I28" i="22"/>
  <c r="I29" i="22"/>
  <c r="I30" i="22"/>
  <c r="I31" i="22"/>
  <c r="I32" i="22"/>
  <c r="I33" i="22"/>
  <c r="I34" i="22"/>
  <c r="I35" i="22"/>
  <c r="I36" i="22"/>
  <c r="I37" i="22"/>
  <c r="I38" i="22"/>
  <c r="I39" i="22"/>
  <c r="I40" i="22"/>
  <c r="I41" i="22"/>
  <c r="I42" i="22"/>
  <c r="I43" i="22"/>
  <c r="I44" i="22"/>
  <c r="I45" i="22"/>
  <c r="I46" i="22"/>
  <c r="I47" i="22"/>
  <c r="I48" i="22"/>
  <c r="I49" i="22"/>
  <c r="I50" i="22"/>
  <c r="I51" i="22"/>
  <c r="I52" i="22"/>
  <c r="I53" i="22"/>
  <c r="I54" i="22"/>
  <c r="I55" i="22"/>
  <c r="I56" i="22"/>
  <c r="I57" i="22"/>
  <c r="I58" i="22"/>
  <c r="I59" i="22"/>
  <c r="I60" i="22"/>
  <c r="I61" i="22"/>
  <c r="I62" i="22"/>
  <c r="I63" i="22"/>
  <c r="I64" i="22"/>
  <c r="I65" i="22"/>
  <c r="I66" i="22"/>
  <c r="I67" i="22"/>
  <c r="I68" i="22"/>
  <c r="I69" i="22"/>
  <c r="I70" i="22"/>
  <c r="I71" i="22"/>
  <c r="I72" i="22"/>
  <c r="I73" i="22"/>
  <c r="I74" i="22"/>
  <c r="I75" i="22"/>
  <c r="I76" i="22"/>
  <c r="I77" i="22"/>
  <c r="I78" i="22"/>
  <c r="I79" i="22"/>
  <c r="I80" i="22"/>
  <c r="I81" i="22"/>
  <c r="I82" i="22"/>
  <c r="I83" i="22"/>
  <c r="I84" i="22"/>
  <c r="I85" i="22"/>
  <c r="I86" i="22"/>
  <c r="I87" i="22"/>
  <c r="I88" i="22"/>
  <c r="I89" i="22"/>
  <c r="I90" i="22"/>
  <c r="I91" i="22"/>
  <c r="I92" i="22"/>
  <c r="I93" i="22"/>
  <c r="I94" i="22"/>
  <c r="I95" i="22"/>
  <c r="I96" i="22"/>
  <c r="I97" i="22"/>
  <c r="I98" i="22"/>
  <c r="I99" i="22"/>
  <c r="I100" i="22"/>
  <c r="I101" i="22"/>
  <c r="I102" i="22"/>
  <c r="I103" i="22"/>
  <c r="I104" i="22"/>
  <c r="I105" i="22"/>
  <c r="I106" i="22"/>
  <c r="I107" i="22"/>
  <c r="I108" i="22"/>
  <c r="I109" i="22"/>
  <c r="I110" i="22"/>
  <c r="I111" i="22"/>
  <c r="I112" i="22"/>
  <c r="I113" i="22"/>
  <c r="I114" i="22"/>
  <c r="I115" i="22"/>
  <c r="I116" i="22"/>
  <c r="I117" i="22"/>
  <c r="I118" i="22"/>
  <c r="I119" i="22"/>
  <c r="I120" i="22"/>
  <c r="I121" i="22"/>
  <c r="I122" i="22"/>
  <c r="I123" i="22"/>
  <c r="I124" i="22"/>
  <c r="I125" i="22"/>
  <c r="I126" i="22"/>
  <c r="I127" i="22"/>
  <c r="I128" i="22"/>
  <c r="I129" i="22"/>
  <c r="I130" i="22"/>
  <c r="I131" i="22"/>
  <c r="I132" i="22"/>
  <c r="I133" i="22"/>
  <c r="I134" i="22"/>
  <c r="I135" i="22"/>
  <c r="I136" i="22"/>
  <c r="I137" i="22"/>
  <c r="I138" i="22"/>
  <c r="I139" i="22"/>
  <c r="I140" i="22"/>
  <c r="I141" i="22"/>
  <c r="I142" i="22"/>
  <c r="I143" i="22"/>
  <c r="I144" i="22"/>
  <c r="I145" i="22"/>
  <c r="I146" i="22"/>
  <c r="I147" i="22"/>
  <c r="I148" i="22"/>
  <c r="I149" i="22"/>
  <c r="I150" i="22"/>
  <c r="I151" i="22"/>
  <c r="I152" i="22"/>
  <c r="I153" i="22"/>
  <c r="I154" i="22"/>
  <c r="I155" i="22"/>
  <c r="I156" i="22"/>
  <c r="I157" i="22"/>
  <c r="I158" i="22"/>
  <c r="I159" i="22"/>
  <c r="I160" i="22"/>
  <c r="I161" i="22"/>
  <c r="I162" i="22"/>
  <c r="I163" i="22"/>
  <c r="I164" i="22"/>
  <c r="I165" i="22"/>
  <c r="I166" i="22"/>
  <c r="I167" i="22"/>
  <c r="I168" i="22"/>
  <c r="I169" i="22"/>
  <c r="I170" i="22"/>
  <c r="I171" i="22"/>
  <c r="I172" i="22"/>
  <c r="I173" i="22"/>
  <c r="I174" i="22"/>
  <c r="I175" i="22"/>
  <c r="I176" i="22"/>
  <c r="I177" i="22"/>
  <c r="I178" i="22"/>
  <c r="I179" i="22"/>
  <c r="I180" i="22"/>
  <c r="I181" i="22"/>
  <c r="I182" i="22"/>
  <c r="I183" i="22"/>
  <c r="I184" i="22"/>
  <c r="I185" i="22"/>
  <c r="I186" i="22"/>
  <c r="I187" i="22"/>
  <c r="I188" i="22"/>
  <c r="I189" i="22"/>
  <c r="I190" i="22"/>
  <c r="I191" i="22"/>
  <c r="I192" i="22"/>
  <c r="I193" i="22"/>
  <c r="I194" i="22"/>
  <c r="I195" i="22"/>
  <c r="I196" i="22"/>
  <c r="I197" i="22"/>
  <c r="I198" i="22"/>
  <c r="I199" i="22"/>
  <c r="I200" i="22"/>
  <c r="I201" i="22"/>
  <c r="I202" i="22"/>
  <c r="I203" i="22"/>
  <c r="I204" i="22"/>
  <c r="I205" i="22"/>
  <c r="I206" i="22"/>
  <c r="I207" i="22"/>
  <c r="I208" i="22"/>
  <c r="I209" i="22"/>
  <c r="I210" i="22"/>
  <c r="I211" i="22"/>
  <c r="I212" i="22"/>
  <c r="I213" i="22"/>
  <c r="I214" i="22"/>
  <c r="I215" i="22"/>
  <c r="I216" i="22"/>
  <c r="I217" i="22"/>
  <c r="I218" i="22"/>
  <c r="I219" i="22"/>
  <c r="I220" i="22"/>
  <c r="I221" i="22"/>
  <c r="I222" i="22"/>
  <c r="I223" i="22"/>
  <c r="I224" i="22"/>
  <c r="I225" i="22"/>
  <c r="I226" i="22"/>
  <c r="I227" i="22"/>
  <c r="I228" i="22"/>
  <c r="I229" i="22"/>
  <c r="I230" i="22"/>
  <c r="I231" i="22"/>
  <c r="I232" i="22"/>
  <c r="I233" i="22"/>
  <c r="I234" i="22"/>
  <c r="I235" i="22"/>
  <c r="I236" i="22"/>
  <c r="I237" i="22"/>
  <c r="I238" i="22"/>
  <c r="I239" i="22"/>
  <c r="I240" i="22"/>
  <c r="I241" i="22"/>
  <c r="I242" i="22"/>
  <c r="I243" i="22"/>
  <c r="I244" i="22"/>
  <c r="I245" i="22"/>
  <c r="I246" i="22"/>
  <c r="I247" i="22"/>
  <c r="I248" i="22"/>
  <c r="I249" i="22"/>
  <c r="I250" i="22"/>
  <c r="I251" i="22"/>
  <c r="I252" i="22"/>
  <c r="I253" i="22"/>
  <c r="I254" i="22"/>
  <c r="I255" i="22"/>
  <c r="I256" i="22"/>
  <c r="I257" i="22"/>
  <c r="I258" i="22"/>
  <c r="I259" i="22"/>
  <c r="I260" i="22"/>
  <c r="I261" i="22"/>
  <c r="I262" i="22"/>
  <c r="I263" i="22"/>
  <c r="I264" i="22"/>
  <c r="I265" i="22"/>
  <c r="I266" i="22"/>
  <c r="I267" i="22"/>
  <c r="I268" i="22"/>
  <c r="I269" i="22"/>
  <c r="I270" i="22"/>
  <c r="I271" i="22"/>
  <c r="I272" i="22"/>
  <c r="I273" i="22"/>
  <c r="I274" i="22"/>
  <c r="I275" i="22"/>
  <c r="I276" i="22"/>
  <c r="I277" i="22"/>
  <c r="I278" i="22"/>
  <c r="I279" i="22"/>
  <c r="I280" i="22"/>
  <c r="I281" i="22"/>
  <c r="I282" i="22"/>
  <c r="I283" i="22"/>
  <c r="I284" i="22"/>
  <c r="I285" i="22"/>
  <c r="I286" i="22"/>
  <c r="I287" i="22"/>
  <c r="I288" i="22"/>
  <c r="I289" i="22"/>
  <c r="I290" i="22"/>
  <c r="I291" i="22"/>
  <c r="I292" i="22"/>
  <c r="I293" i="22"/>
  <c r="I294" i="22"/>
  <c r="I295" i="22"/>
  <c r="I296" i="22"/>
  <c r="I297" i="22"/>
  <c r="I298" i="22"/>
  <c r="I299" i="22"/>
  <c r="I300" i="22"/>
  <c r="I301" i="22"/>
  <c r="I302" i="22"/>
  <c r="I303" i="22"/>
  <c r="I304" i="22"/>
  <c r="I305" i="22"/>
  <c r="I306" i="22"/>
  <c r="I14" i="22"/>
  <c r="H15" i="22"/>
  <c r="H16" i="22"/>
  <c r="H17" i="22"/>
  <c r="H18" i="22"/>
  <c r="H19" i="22"/>
  <c r="H20" i="22"/>
  <c r="H21"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H132" i="22"/>
  <c r="H133" i="22"/>
  <c r="H134" i="22"/>
  <c r="H135" i="22"/>
  <c r="H136" i="22"/>
  <c r="H137" i="22"/>
  <c r="H138" i="22"/>
  <c r="H139" i="22"/>
  <c r="H140" i="22"/>
  <c r="H141" i="22"/>
  <c r="H142" i="22"/>
  <c r="H143" i="22"/>
  <c r="H144" i="22"/>
  <c r="H145" i="22"/>
  <c r="H146" i="22"/>
  <c r="H147" i="22"/>
  <c r="H148" i="22"/>
  <c r="H149" i="22"/>
  <c r="H150" i="22"/>
  <c r="H151" i="22"/>
  <c r="H152" i="22"/>
  <c r="H153" i="22"/>
  <c r="H154" i="22"/>
  <c r="H155" i="22"/>
  <c r="H156" i="22"/>
  <c r="H157" i="22"/>
  <c r="H158" i="22"/>
  <c r="H159" i="22"/>
  <c r="H160" i="22"/>
  <c r="H161" i="22"/>
  <c r="H162" i="22"/>
  <c r="H163" i="22"/>
  <c r="H164" i="22"/>
  <c r="H165" i="22"/>
  <c r="H166" i="22"/>
  <c r="H167" i="22"/>
  <c r="H168" i="22"/>
  <c r="H169" i="22"/>
  <c r="H170" i="22"/>
  <c r="H171" i="22"/>
  <c r="H172" i="22"/>
  <c r="H173" i="22"/>
  <c r="H174" i="22"/>
  <c r="H175" i="22"/>
  <c r="H176" i="22"/>
  <c r="H177" i="22"/>
  <c r="H178" i="22"/>
  <c r="H179" i="22"/>
  <c r="H180" i="22"/>
  <c r="H181" i="22"/>
  <c r="H182" i="22"/>
  <c r="H183" i="22"/>
  <c r="H184" i="22"/>
  <c r="H185" i="22"/>
  <c r="H186" i="22"/>
  <c r="H187" i="22"/>
  <c r="H188" i="22"/>
  <c r="H189" i="22"/>
  <c r="H190" i="22"/>
  <c r="H191" i="22"/>
  <c r="H192" i="22"/>
  <c r="H193" i="22"/>
  <c r="H194" i="22"/>
  <c r="H195" i="22"/>
  <c r="H196" i="22"/>
  <c r="H197" i="22"/>
  <c r="H198" i="22"/>
  <c r="H199" i="22"/>
  <c r="H200" i="22"/>
  <c r="H201" i="22"/>
  <c r="H202" i="22"/>
  <c r="H203" i="22"/>
  <c r="H204" i="22"/>
  <c r="H205" i="22"/>
  <c r="H206" i="22"/>
  <c r="H207" i="22"/>
  <c r="H208" i="22"/>
  <c r="H209" i="22"/>
  <c r="H210" i="22"/>
  <c r="H211" i="22"/>
  <c r="H212" i="22"/>
  <c r="H213" i="22"/>
  <c r="H214" i="22"/>
  <c r="H215" i="22"/>
  <c r="H216" i="22"/>
  <c r="H217" i="22"/>
  <c r="H218" i="22"/>
  <c r="H219" i="22"/>
  <c r="H220" i="22"/>
  <c r="H221" i="22"/>
  <c r="H222" i="22"/>
  <c r="H223" i="22"/>
  <c r="H224" i="22"/>
  <c r="H225" i="22"/>
  <c r="H226" i="22"/>
  <c r="H227" i="22"/>
  <c r="H228" i="22"/>
  <c r="H229" i="22"/>
  <c r="H230" i="22"/>
  <c r="H231" i="22"/>
  <c r="H232" i="22"/>
  <c r="H233" i="22"/>
  <c r="H234" i="22"/>
  <c r="H235" i="22"/>
  <c r="H236" i="22"/>
  <c r="H237" i="22"/>
  <c r="H238" i="22"/>
  <c r="H239" i="22"/>
  <c r="H240" i="22"/>
  <c r="H241" i="22"/>
  <c r="H242" i="22"/>
  <c r="H243" i="22"/>
  <c r="H244" i="22"/>
  <c r="H245" i="22"/>
  <c r="H246" i="22"/>
  <c r="H247" i="22"/>
  <c r="H248" i="22"/>
  <c r="H249" i="22"/>
  <c r="H250" i="22"/>
  <c r="H251" i="22"/>
  <c r="H252" i="22"/>
  <c r="H253" i="22"/>
  <c r="H254" i="22"/>
  <c r="H255" i="22"/>
  <c r="H256" i="22"/>
  <c r="H257" i="22"/>
  <c r="H258" i="22"/>
  <c r="H259" i="22"/>
  <c r="H260" i="22"/>
  <c r="H261" i="22"/>
  <c r="H262" i="22"/>
  <c r="H263" i="22"/>
  <c r="H264" i="22"/>
  <c r="H265" i="22"/>
  <c r="H266" i="22"/>
  <c r="H267" i="22"/>
  <c r="H268" i="22"/>
  <c r="H269" i="22"/>
  <c r="H270" i="22"/>
  <c r="H271" i="22"/>
  <c r="H272" i="22"/>
  <c r="H273" i="22"/>
  <c r="H274" i="22"/>
  <c r="H275" i="22"/>
  <c r="H276" i="22"/>
  <c r="H277" i="22"/>
  <c r="H278" i="22"/>
  <c r="H279" i="22"/>
  <c r="H280" i="22"/>
  <c r="H281" i="22"/>
  <c r="H282" i="22"/>
  <c r="H283" i="22"/>
  <c r="H284" i="22"/>
  <c r="H285" i="22"/>
  <c r="H286" i="22"/>
  <c r="H287" i="22"/>
  <c r="H288" i="22"/>
  <c r="H289" i="22"/>
  <c r="H290" i="22"/>
  <c r="H291" i="22"/>
  <c r="H292" i="22"/>
  <c r="H293" i="22"/>
  <c r="H294" i="22"/>
  <c r="H295" i="22"/>
  <c r="H296" i="22"/>
  <c r="H297" i="22"/>
  <c r="H298" i="22"/>
  <c r="H299" i="22"/>
  <c r="H300" i="22"/>
  <c r="H301" i="22"/>
  <c r="H302" i="22"/>
  <c r="H303" i="22"/>
  <c r="H304" i="22"/>
  <c r="H305" i="22"/>
  <c r="H306" i="22"/>
  <c r="H14" i="22"/>
  <c r="G16" i="22"/>
  <c r="G17" i="22"/>
  <c r="G18" i="22"/>
  <c r="G19" i="22"/>
  <c r="G20" i="22"/>
  <c r="G21" i="22"/>
  <c r="G22" i="22"/>
  <c r="G23" i="22"/>
  <c r="G24" i="22"/>
  <c r="G25" i="22"/>
  <c r="G26" i="22"/>
  <c r="G27" i="22"/>
  <c r="G28" i="22"/>
  <c r="G29" i="22"/>
  <c r="G30" i="22"/>
  <c r="G31" i="22"/>
  <c r="G32" i="22"/>
  <c r="G33" i="22"/>
  <c r="G34" i="22"/>
  <c r="G35" i="22"/>
  <c r="G36" i="22"/>
  <c r="G37" i="22"/>
  <c r="G38" i="22"/>
  <c r="G39" i="22"/>
  <c r="G40" i="22"/>
  <c r="G41" i="22"/>
  <c r="G42" i="22"/>
  <c r="G43" i="22"/>
  <c r="G44" i="22"/>
  <c r="G45" i="22"/>
  <c r="G46" i="22"/>
  <c r="G47" i="22"/>
  <c r="G48" i="22"/>
  <c r="G49" i="22"/>
  <c r="G50" i="22"/>
  <c r="G51" i="22"/>
  <c r="G52" i="22"/>
  <c r="G53" i="22"/>
  <c r="G54" i="22"/>
  <c r="G55" i="22"/>
  <c r="G56" i="22"/>
  <c r="G57" i="22"/>
  <c r="G58" i="22"/>
  <c r="G59" i="22"/>
  <c r="G60" i="22"/>
  <c r="G61" i="22"/>
  <c r="G62" i="22"/>
  <c r="G63" i="22"/>
  <c r="G64" i="22"/>
  <c r="G65" i="22"/>
  <c r="G66" i="22"/>
  <c r="G67" i="22"/>
  <c r="G68" i="22"/>
  <c r="G69" i="22"/>
  <c r="G70" i="22"/>
  <c r="G71" i="22"/>
  <c r="G72" i="22"/>
  <c r="G73" i="22"/>
  <c r="G74" i="22"/>
  <c r="G75" i="22"/>
  <c r="G76" i="22"/>
  <c r="G77" i="22"/>
  <c r="G78" i="22"/>
  <c r="G79" i="22"/>
  <c r="G80" i="22"/>
  <c r="G81" i="22"/>
  <c r="G82" i="22"/>
  <c r="G83" i="22"/>
  <c r="G84" i="22"/>
  <c r="G85" i="22"/>
  <c r="G86" i="22"/>
  <c r="G87" i="22"/>
  <c r="G88" i="22"/>
  <c r="G89" i="22"/>
  <c r="G90" i="22"/>
  <c r="G91" i="22"/>
  <c r="G92" i="22"/>
  <c r="G93" i="22"/>
  <c r="G94" i="22"/>
  <c r="G95" i="22"/>
  <c r="G96" i="22"/>
  <c r="G97" i="22"/>
  <c r="G98" i="22"/>
  <c r="G99" i="22"/>
  <c r="G100" i="22"/>
  <c r="G101" i="22"/>
  <c r="G102" i="22"/>
  <c r="G103" i="22"/>
  <c r="G104" i="22"/>
  <c r="G105" i="22"/>
  <c r="G106" i="22"/>
  <c r="G107" i="22"/>
  <c r="G108" i="22"/>
  <c r="G109" i="22"/>
  <c r="G110" i="22"/>
  <c r="G111" i="22"/>
  <c r="G112" i="22"/>
  <c r="G113" i="22"/>
  <c r="G114" i="22"/>
  <c r="G115" i="22"/>
  <c r="G116" i="22"/>
  <c r="G117" i="22"/>
  <c r="G118" i="22"/>
  <c r="G119" i="22"/>
  <c r="G120" i="22"/>
  <c r="G121" i="22"/>
  <c r="G122" i="22"/>
  <c r="G123" i="22"/>
  <c r="G124" i="22"/>
  <c r="G125" i="22"/>
  <c r="G126" i="22"/>
  <c r="G127" i="22"/>
  <c r="G128" i="22"/>
  <c r="G129" i="22"/>
  <c r="G130" i="22"/>
  <c r="G131" i="22"/>
  <c r="G132" i="22"/>
  <c r="G133" i="22"/>
  <c r="G134" i="22"/>
  <c r="G135" i="22"/>
  <c r="G136" i="22"/>
  <c r="G137" i="22"/>
  <c r="G138" i="22"/>
  <c r="G139" i="22"/>
  <c r="G140" i="22"/>
  <c r="G141" i="22"/>
  <c r="G142" i="22"/>
  <c r="G143" i="22"/>
  <c r="G144" i="22"/>
  <c r="G145" i="22"/>
  <c r="G146" i="22"/>
  <c r="G147" i="22"/>
  <c r="G148" i="22"/>
  <c r="G149" i="22"/>
  <c r="G150" i="22"/>
  <c r="G151" i="22"/>
  <c r="G152" i="22"/>
  <c r="G153" i="22"/>
  <c r="G154" i="22"/>
  <c r="G155" i="22"/>
  <c r="G156" i="22"/>
  <c r="G157" i="22"/>
  <c r="G158" i="22"/>
  <c r="G159" i="22"/>
  <c r="G160" i="22"/>
  <c r="G161" i="22"/>
  <c r="G162" i="22"/>
  <c r="G163" i="22"/>
  <c r="G164" i="22"/>
  <c r="G165" i="22"/>
  <c r="G166" i="22"/>
  <c r="G167" i="22"/>
  <c r="G168" i="22"/>
  <c r="G169" i="22"/>
  <c r="G170" i="22"/>
  <c r="G171" i="22"/>
  <c r="G172" i="22"/>
  <c r="G173" i="22"/>
  <c r="G174" i="22"/>
  <c r="G175" i="22"/>
  <c r="G176" i="22"/>
  <c r="G177" i="22"/>
  <c r="G178" i="22"/>
  <c r="G179" i="22"/>
  <c r="G180" i="22"/>
  <c r="G181" i="22"/>
  <c r="G182" i="22"/>
  <c r="G183" i="22"/>
  <c r="G184" i="22"/>
  <c r="G185" i="22"/>
  <c r="G186" i="22"/>
  <c r="G187" i="22"/>
  <c r="G188" i="22"/>
  <c r="G189" i="22"/>
  <c r="G190" i="22"/>
  <c r="G191" i="22"/>
  <c r="G192" i="22"/>
  <c r="G193" i="22"/>
  <c r="G194" i="22"/>
  <c r="G195" i="22"/>
  <c r="G196" i="22"/>
  <c r="G197" i="22"/>
  <c r="G198" i="22"/>
  <c r="G199" i="22"/>
  <c r="G200" i="22"/>
  <c r="G201" i="22"/>
  <c r="G202" i="22"/>
  <c r="G203" i="22"/>
  <c r="G204" i="22"/>
  <c r="G205" i="22"/>
  <c r="G206" i="22"/>
  <c r="G207" i="22"/>
  <c r="G208" i="22"/>
  <c r="G209" i="22"/>
  <c r="G210" i="22"/>
  <c r="G211" i="22"/>
  <c r="G212" i="22"/>
  <c r="G213" i="22"/>
  <c r="G214" i="22"/>
  <c r="G215" i="22"/>
  <c r="G216" i="22"/>
  <c r="G217" i="22"/>
  <c r="G218" i="22"/>
  <c r="G219" i="22"/>
  <c r="G220" i="22"/>
  <c r="G221" i="22"/>
  <c r="G222" i="22"/>
  <c r="G223" i="22"/>
  <c r="G224" i="22"/>
  <c r="G225" i="22"/>
  <c r="G226" i="22"/>
  <c r="G227" i="22"/>
  <c r="G228" i="22"/>
  <c r="G229" i="22"/>
  <c r="G230" i="22"/>
  <c r="G231" i="22"/>
  <c r="G232" i="22"/>
  <c r="G233" i="22"/>
  <c r="G234" i="22"/>
  <c r="G235" i="22"/>
  <c r="G236" i="22"/>
  <c r="G237" i="22"/>
  <c r="G238" i="22"/>
  <c r="G239" i="22"/>
  <c r="G240" i="22"/>
  <c r="G241" i="22"/>
  <c r="G242" i="22"/>
  <c r="G243" i="22"/>
  <c r="G244" i="22"/>
  <c r="G245" i="22"/>
  <c r="G246" i="22"/>
  <c r="G247" i="22"/>
  <c r="G248" i="22"/>
  <c r="G249" i="22"/>
  <c r="G250" i="22"/>
  <c r="G251" i="22"/>
  <c r="G252" i="22"/>
  <c r="G253" i="22"/>
  <c r="G254" i="22"/>
  <c r="G255" i="22"/>
  <c r="G256" i="22"/>
  <c r="G257" i="22"/>
  <c r="G258" i="22"/>
  <c r="G259" i="22"/>
  <c r="G260" i="22"/>
  <c r="G261" i="22"/>
  <c r="G262" i="22"/>
  <c r="G263" i="22"/>
  <c r="G264" i="22"/>
  <c r="G265" i="22"/>
  <c r="G266" i="22"/>
  <c r="G267" i="22"/>
  <c r="G268" i="22"/>
  <c r="G269" i="22"/>
  <c r="G270" i="22"/>
  <c r="G271" i="22"/>
  <c r="G272" i="22"/>
  <c r="G273" i="22"/>
  <c r="G274" i="22"/>
  <c r="G275" i="22"/>
  <c r="G276" i="22"/>
  <c r="G277" i="22"/>
  <c r="G278" i="22"/>
  <c r="G279" i="22"/>
  <c r="G280" i="22"/>
  <c r="G281" i="22"/>
  <c r="G282" i="22"/>
  <c r="G283" i="22"/>
  <c r="G284" i="22"/>
  <c r="G285" i="22"/>
  <c r="G286" i="22"/>
  <c r="G287" i="22"/>
  <c r="G288" i="22"/>
  <c r="G289" i="22"/>
  <c r="G290" i="22"/>
  <c r="G291" i="22"/>
  <c r="G292" i="22"/>
  <c r="G293" i="22"/>
  <c r="G294" i="22"/>
  <c r="G295" i="22"/>
  <c r="G296" i="22"/>
  <c r="G297" i="22"/>
  <c r="G298" i="22"/>
  <c r="G299" i="22"/>
  <c r="G300" i="22"/>
  <c r="G301" i="22"/>
  <c r="G302" i="22"/>
  <c r="G303" i="22"/>
  <c r="G304" i="22"/>
  <c r="G305" i="22"/>
  <c r="G306" i="22"/>
  <c r="T2" i="20"/>
  <c r="J295" i="22" l="1"/>
  <c r="M295" i="22" s="1"/>
  <c r="J263" i="22"/>
  <c r="M263" i="22" s="1"/>
  <c r="J255" i="22"/>
  <c r="M255" i="22" s="1"/>
  <c r="J247" i="22"/>
  <c r="M247" i="22" s="1"/>
  <c r="J239" i="22"/>
  <c r="M239" i="22" s="1"/>
  <c r="J231" i="22"/>
  <c r="M231" i="22" s="1"/>
  <c r="J223" i="22"/>
  <c r="M223" i="22" s="1"/>
  <c r="J215" i="22"/>
  <c r="M215" i="22" s="1"/>
  <c r="J207" i="22"/>
  <c r="M207" i="22" s="1"/>
  <c r="J199" i="22"/>
  <c r="M199" i="22" s="1"/>
  <c r="J191" i="22"/>
  <c r="M191" i="22" s="1"/>
  <c r="J183" i="22"/>
  <c r="M183" i="22" s="1"/>
  <c r="J175" i="22"/>
  <c r="M175" i="22" s="1"/>
  <c r="J167" i="22"/>
  <c r="M167" i="22" s="1"/>
  <c r="J159" i="22"/>
  <c r="M159" i="22" s="1"/>
  <c r="J151" i="22"/>
  <c r="M151" i="22" s="1"/>
  <c r="J143" i="22"/>
  <c r="M143" i="22" s="1"/>
  <c r="J135" i="22"/>
  <c r="M135" i="22" s="1"/>
  <c r="J127" i="22"/>
  <c r="M127" i="22" s="1"/>
  <c r="J119" i="22"/>
  <c r="M119" i="22" s="1"/>
  <c r="J111" i="22"/>
  <c r="M111" i="22" s="1"/>
  <c r="J103" i="22"/>
  <c r="M103" i="22" s="1"/>
  <c r="J95" i="22"/>
  <c r="M95" i="22" s="1"/>
  <c r="J87" i="22"/>
  <c r="M87" i="22" s="1"/>
  <c r="J79" i="22"/>
  <c r="M79" i="22" s="1"/>
  <c r="J71" i="22"/>
  <c r="M71" i="22" s="1"/>
  <c r="J63" i="22"/>
  <c r="M63" i="22" s="1"/>
  <c r="J55" i="22"/>
  <c r="M55" i="22" s="1"/>
  <c r="J47" i="22"/>
  <c r="M47" i="22" s="1"/>
  <c r="J39" i="22"/>
  <c r="M39" i="22" s="1"/>
  <c r="J31" i="22"/>
  <c r="M31" i="22" s="1"/>
  <c r="J23" i="22"/>
  <c r="M23" i="22" s="1"/>
  <c r="J303" i="22"/>
  <c r="M303" i="22" s="1"/>
  <c r="J279" i="22"/>
  <c r="M279" i="22" s="1"/>
  <c r="J278" i="22"/>
  <c r="M278" i="22" s="1"/>
  <c r="J270" i="22"/>
  <c r="M270" i="22" s="1"/>
  <c r="J254" i="22"/>
  <c r="M254" i="22" s="1"/>
  <c r="J246" i="22"/>
  <c r="M246" i="22" s="1"/>
  <c r="J238" i="22"/>
  <c r="M238" i="22" s="1"/>
  <c r="J230" i="22"/>
  <c r="M230" i="22" s="1"/>
  <c r="J222" i="22"/>
  <c r="M222" i="22" s="1"/>
  <c r="J214" i="22"/>
  <c r="M214" i="22" s="1"/>
  <c r="J206" i="22"/>
  <c r="M206" i="22" s="1"/>
  <c r="J198" i="22"/>
  <c r="M198" i="22" s="1"/>
  <c r="J190" i="22"/>
  <c r="M190" i="22" s="1"/>
  <c r="J182" i="22"/>
  <c r="M182" i="22" s="1"/>
  <c r="J174" i="22"/>
  <c r="M174" i="22" s="1"/>
  <c r="J166" i="22"/>
  <c r="M166" i="22" s="1"/>
  <c r="J158" i="22"/>
  <c r="M158" i="22" s="1"/>
  <c r="J150" i="22"/>
  <c r="M150" i="22" s="1"/>
  <c r="J142" i="22"/>
  <c r="M142" i="22" s="1"/>
  <c r="J134" i="22"/>
  <c r="M134" i="22" s="1"/>
  <c r="J126" i="22"/>
  <c r="M126" i="22" s="1"/>
  <c r="J118" i="22"/>
  <c r="M118" i="22" s="1"/>
  <c r="J110" i="22"/>
  <c r="M110" i="22" s="1"/>
  <c r="J102" i="22"/>
  <c r="M102" i="22" s="1"/>
  <c r="J94" i="22"/>
  <c r="M94" i="22" s="1"/>
  <c r="J86" i="22"/>
  <c r="M86" i="22" s="1"/>
  <c r="J78" i="22"/>
  <c r="M78" i="22" s="1"/>
  <c r="J70" i="22"/>
  <c r="M70" i="22" s="1"/>
  <c r="J62" i="22"/>
  <c r="M62" i="22" s="1"/>
  <c r="J54" i="22"/>
  <c r="M54" i="22" s="1"/>
  <c r="J46" i="22"/>
  <c r="M46" i="22" s="1"/>
  <c r="J38" i="22"/>
  <c r="M38" i="22" s="1"/>
  <c r="J30" i="22"/>
  <c r="M30" i="22" s="1"/>
  <c r="J22" i="22"/>
  <c r="M22" i="22" s="1"/>
  <c r="J287" i="22"/>
  <c r="M287" i="22" s="1"/>
  <c r="J302" i="22"/>
  <c r="M302" i="22" s="1"/>
  <c r="J262" i="22"/>
  <c r="M262" i="22" s="1"/>
  <c r="J271" i="22"/>
  <c r="M271" i="22" s="1"/>
  <c r="G13" i="22"/>
  <c r="J15" i="22"/>
  <c r="M15" i="22" s="1"/>
  <c r="H13" i="22"/>
  <c r="J304" i="22"/>
  <c r="M304" i="22" s="1"/>
  <c r="J296" i="22"/>
  <c r="M296" i="22" s="1"/>
  <c r="J288" i="22"/>
  <c r="M288" i="22" s="1"/>
  <c r="J280" i="22"/>
  <c r="M280" i="22" s="1"/>
  <c r="J272" i="22"/>
  <c r="M272" i="22" s="1"/>
  <c r="J264" i="22"/>
  <c r="M264" i="22" s="1"/>
  <c r="J256" i="22"/>
  <c r="M256" i="22" s="1"/>
  <c r="J248" i="22"/>
  <c r="M248" i="22" s="1"/>
  <c r="J240" i="22"/>
  <c r="M240" i="22" s="1"/>
  <c r="J232" i="22"/>
  <c r="M232" i="22" s="1"/>
  <c r="J224" i="22"/>
  <c r="M224" i="22" s="1"/>
  <c r="J216" i="22"/>
  <c r="M216" i="22" s="1"/>
  <c r="J208" i="22"/>
  <c r="M208" i="22" s="1"/>
  <c r="J200" i="22"/>
  <c r="M200" i="22" s="1"/>
  <c r="J192" i="22"/>
  <c r="M192" i="22" s="1"/>
  <c r="J184" i="22"/>
  <c r="M184" i="22" s="1"/>
  <c r="J176" i="22"/>
  <c r="M176" i="22" s="1"/>
  <c r="J168" i="22"/>
  <c r="M168" i="22" s="1"/>
  <c r="J160" i="22"/>
  <c r="M160" i="22" s="1"/>
  <c r="J152" i="22"/>
  <c r="M152" i="22" s="1"/>
  <c r="J144" i="22"/>
  <c r="M144" i="22" s="1"/>
  <c r="J136" i="22"/>
  <c r="M136" i="22" s="1"/>
  <c r="J128" i="22"/>
  <c r="M128" i="22" s="1"/>
  <c r="J120" i="22"/>
  <c r="M120" i="22" s="1"/>
  <c r="J112" i="22"/>
  <c r="M112" i="22" s="1"/>
  <c r="J104" i="22"/>
  <c r="M104" i="22" s="1"/>
  <c r="J96" i="22"/>
  <c r="M96" i="22" s="1"/>
  <c r="J88" i="22"/>
  <c r="M88" i="22" s="1"/>
  <c r="J80" i="22"/>
  <c r="M80" i="22" s="1"/>
  <c r="J72" i="22"/>
  <c r="M72" i="22" s="1"/>
  <c r="J64" i="22"/>
  <c r="M64" i="22" s="1"/>
  <c r="J56" i="22"/>
  <c r="M56" i="22" s="1"/>
  <c r="J48" i="22"/>
  <c r="M48" i="22" s="1"/>
  <c r="J40" i="22"/>
  <c r="M40" i="22" s="1"/>
  <c r="J32" i="22"/>
  <c r="M32" i="22" s="1"/>
  <c r="J24" i="22"/>
  <c r="M24" i="22" s="1"/>
  <c r="J16" i="22"/>
  <c r="M16" i="22" s="1"/>
  <c r="J294" i="22"/>
  <c r="M294" i="22" s="1"/>
  <c r="J286" i="22"/>
  <c r="M286" i="22" s="1"/>
  <c r="J301" i="22"/>
  <c r="M301" i="22" s="1"/>
  <c r="J293" i="22"/>
  <c r="M293" i="22" s="1"/>
  <c r="J285" i="22"/>
  <c r="M285" i="22" s="1"/>
  <c r="J277" i="22"/>
  <c r="M277" i="22" s="1"/>
  <c r="J269" i="22"/>
  <c r="M269" i="22" s="1"/>
  <c r="J261" i="22"/>
  <c r="M261" i="22" s="1"/>
  <c r="J253" i="22"/>
  <c r="M253" i="22" s="1"/>
  <c r="J245" i="22"/>
  <c r="M245" i="22" s="1"/>
  <c r="J237" i="22"/>
  <c r="M237" i="22" s="1"/>
  <c r="J229" i="22"/>
  <c r="M229" i="22" s="1"/>
  <c r="J221" i="22"/>
  <c r="M221" i="22" s="1"/>
  <c r="J213" i="22"/>
  <c r="M213" i="22" s="1"/>
  <c r="J205" i="22"/>
  <c r="M205" i="22" s="1"/>
  <c r="J197" i="22"/>
  <c r="M197" i="22" s="1"/>
  <c r="J189" i="22"/>
  <c r="M189" i="22" s="1"/>
  <c r="J181" i="22"/>
  <c r="M181" i="22" s="1"/>
  <c r="J173" i="22"/>
  <c r="M173" i="22" s="1"/>
  <c r="J165" i="22"/>
  <c r="M165" i="22" s="1"/>
  <c r="J157" i="22"/>
  <c r="M157" i="22" s="1"/>
  <c r="J149" i="22"/>
  <c r="M149" i="22" s="1"/>
  <c r="J141" i="22"/>
  <c r="M141" i="22" s="1"/>
  <c r="J133" i="22"/>
  <c r="M133" i="22" s="1"/>
  <c r="J125" i="22"/>
  <c r="M125" i="22" s="1"/>
  <c r="J117" i="22"/>
  <c r="M117" i="22" s="1"/>
  <c r="J109" i="22"/>
  <c r="M109" i="22" s="1"/>
  <c r="J101" i="22"/>
  <c r="M101" i="22" s="1"/>
  <c r="J93" i="22"/>
  <c r="M93" i="22" s="1"/>
  <c r="J85" i="22"/>
  <c r="M85" i="22" s="1"/>
  <c r="J77" i="22"/>
  <c r="M77" i="22" s="1"/>
  <c r="J69" i="22"/>
  <c r="M69" i="22" s="1"/>
  <c r="J61" i="22"/>
  <c r="M61" i="22" s="1"/>
  <c r="J53" i="22"/>
  <c r="M53" i="22" s="1"/>
  <c r="J45" i="22"/>
  <c r="M45" i="22" s="1"/>
  <c r="J37" i="22"/>
  <c r="M37" i="22" s="1"/>
  <c r="J29" i="22"/>
  <c r="M29" i="22" s="1"/>
  <c r="J21" i="22"/>
  <c r="M21" i="22" s="1"/>
  <c r="J300" i="22"/>
  <c r="M300" i="22" s="1"/>
  <c r="J292" i="22"/>
  <c r="M292" i="22" s="1"/>
  <c r="J284" i="22"/>
  <c r="M284" i="22" s="1"/>
  <c r="J276" i="22"/>
  <c r="M276" i="22" s="1"/>
  <c r="J268" i="22"/>
  <c r="M268" i="22" s="1"/>
  <c r="J260" i="22"/>
  <c r="M260" i="22" s="1"/>
  <c r="J252" i="22"/>
  <c r="M252" i="22" s="1"/>
  <c r="J244" i="22"/>
  <c r="M244" i="22" s="1"/>
  <c r="J236" i="22"/>
  <c r="M236" i="22" s="1"/>
  <c r="J228" i="22"/>
  <c r="M228" i="22" s="1"/>
  <c r="J220" i="22"/>
  <c r="M220" i="22" s="1"/>
  <c r="J212" i="22"/>
  <c r="M212" i="22" s="1"/>
  <c r="J204" i="22"/>
  <c r="M204" i="22" s="1"/>
  <c r="J196" i="22"/>
  <c r="M196" i="22" s="1"/>
  <c r="J188" i="22"/>
  <c r="M188" i="22" s="1"/>
  <c r="J180" i="22"/>
  <c r="M180" i="22" s="1"/>
  <c r="J172" i="22"/>
  <c r="M172" i="22" s="1"/>
  <c r="J164" i="22"/>
  <c r="M164" i="22" s="1"/>
  <c r="J156" i="22"/>
  <c r="M156" i="22" s="1"/>
  <c r="J148" i="22"/>
  <c r="M148" i="22" s="1"/>
  <c r="J140" i="22"/>
  <c r="M140" i="22" s="1"/>
  <c r="J132" i="22"/>
  <c r="M132" i="22" s="1"/>
  <c r="J124" i="22"/>
  <c r="M124" i="22" s="1"/>
  <c r="J116" i="22"/>
  <c r="M116" i="22" s="1"/>
  <c r="J108" i="22"/>
  <c r="M108" i="22" s="1"/>
  <c r="J100" i="22"/>
  <c r="M100" i="22" s="1"/>
  <c r="J92" i="22"/>
  <c r="M92" i="22" s="1"/>
  <c r="J84" i="22"/>
  <c r="M84" i="22" s="1"/>
  <c r="J76" i="22"/>
  <c r="M76" i="22" s="1"/>
  <c r="J68" i="22"/>
  <c r="M68" i="22" s="1"/>
  <c r="J60" i="22"/>
  <c r="M60" i="22" s="1"/>
  <c r="J52" i="22"/>
  <c r="M52" i="22" s="1"/>
  <c r="J44" i="22"/>
  <c r="M44" i="22" s="1"/>
  <c r="J36" i="22"/>
  <c r="M36" i="22" s="1"/>
  <c r="J28" i="22"/>
  <c r="M28" i="22" s="1"/>
  <c r="J20" i="22"/>
  <c r="M20" i="22" s="1"/>
  <c r="J14" i="22"/>
  <c r="J299" i="22"/>
  <c r="M299" i="22" s="1"/>
  <c r="J291" i="22"/>
  <c r="M291" i="22" s="1"/>
  <c r="J283" i="22"/>
  <c r="M283" i="22" s="1"/>
  <c r="J275" i="22"/>
  <c r="M275" i="22" s="1"/>
  <c r="J267" i="22"/>
  <c r="M267" i="22" s="1"/>
  <c r="J259" i="22"/>
  <c r="M259" i="22" s="1"/>
  <c r="J251" i="22"/>
  <c r="M251" i="22" s="1"/>
  <c r="J243" i="22"/>
  <c r="M243" i="22" s="1"/>
  <c r="J235" i="22"/>
  <c r="M235" i="22" s="1"/>
  <c r="J227" i="22"/>
  <c r="M227" i="22" s="1"/>
  <c r="J219" i="22"/>
  <c r="M219" i="22" s="1"/>
  <c r="J211" i="22"/>
  <c r="M211" i="22" s="1"/>
  <c r="J203" i="22"/>
  <c r="M203" i="22" s="1"/>
  <c r="J195" i="22"/>
  <c r="M195" i="22" s="1"/>
  <c r="J187" i="22"/>
  <c r="M187" i="22" s="1"/>
  <c r="J179" i="22"/>
  <c r="M179" i="22" s="1"/>
  <c r="J171" i="22"/>
  <c r="M171" i="22" s="1"/>
  <c r="J163" i="22"/>
  <c r="M163" i="22" s="1"/>
  <c r="J155" i="22"/>
  <c r="M155" i="22" s="1"/>
  <c r="J147" i="22"/>
  <c r="M147" i="22" s="1"/>
  <c r="J139" i="22"/>
  <c r="M139" i="22" s="1"/>
  <c r="J131" i="22"/>
  <c r="M131" i="22" s="1"/>
  <c r="J123" i="22"/>
  <c r="M123" i="22" s="1"/>
  <c r="J115" i="22"/>
  <c r="M115" i="22" s="1"/>
  <c r="J107" i="22"/>
  <c r="M107" i="22" s="1"/>
  <c r="J99" i="22"/>
  <c r="M99" i="22" s="1"/>
  <c r="J91" i="22"/>
  <c r="M91" i="22" s="1"/>
  <c r="J83" i="22"/>
  <c r="M83" i="22" s="1"/>
  <c r="J75" i="22"/>
  <c r="M75" i="22" s="1"/>
  <c r="J67" i="22"/>
  <c r="M67" i="22" s="1"/>
  <c r="J59" i="22"/>
  <c r="M59" i="22" s="1"/>
  <c r="J51" i="22"/>
  <c r="M51" i="22" s="1"/>
  <c r="J43" i="22"/>
  <c r="M43" i="22" s="1"/>
  <c r="J35" i="22"/>
  <c r="M35" i="22" s="1"/>
  <c r="J27" i="22"/>
  <c r="M27" i="22" s="1"/>
  <c r="J19" i="22"/>
  <c r="M19" i="22" s="1"/>
  <c r="J306" i="22"/>
  <c r="M306" i="22" s="1"/>
  <c r="J298" i="22"/>
  <c r="M298" i="22" s="1"/>
  <c r="J290" i="22"/>
  <c r="M290" i="22" s="1"/>
  <c r="J282" i="22"/>
  <c r="M282" i="22" s="1"/>
  <c r="J274" i="22"/>
  <c r="M274" i="22" s="1"/>
  <c r="J266" i="22"/>
  <c r="M266" i="22" s="1"/>
  <c r="J258" i="22"/>
  <c r="M258" i="22" s="1"/>
  <c r="J250" i="22"/>
  <c r="M250" i="22" s="1"/>
  <c r="J242" i="22"/>
  <c r="M242" i="22" s="1"/>
  <c r="J234" i="22"/>
  <c r="M234" i="22" s="1"/>
  <c r="J226" i="22"/>
  <c r="M226" i="22" s="1"/>
  <c r="J218" i="22"/>
  <c r="M218" i="22" s="1"/>
  <c r="J210" i="22"/>
  <c r="M210" i="22" s="1"/>
  <c r="J202" i="22"/>
  <c r="M202" i="22" s="1"/>
  <c r="J194" i="22"/>
  <c r="M194" i="22" s="1"/>
  <c r="J186" i="22"/>
  <c r="M186" i="22" s="1"/>
  <c r="J178" i="22"/>
  <c r="M178" i="22" s="1"/>
  <c r="J170" i="22"/>
  <c r="M170" i="22" s="1"/>
  <c r="J162" i="22"/>
  <c r="M162" i="22" s="1"/>
  <c r="J154" i="22"/>
  <c r="M154" i="22" s="1"/>
  <c r="J146" i="22"/>
  <c r="M146" i="22" s="1"/>
  <c r="J138" i="22"/>
  <c r="M138" i="22" s="1"/>
  <c r="J130" i="22"/>
  <c r="M130" i="22" s="1"/>
  <c r="J122" i="22"/>
  <c r="M122" i="22" s="1"/>
  <c r="J114" i="22"/>
  <c r="M114" i="22" s="1"/>
  <c r="J106" i="22"/>
  <c r="M106" i="22" s="1"/>
  <c r="J98" i="22"/>
  <c r="M98" i="22" s="1"/>
  <c r="J90" i="22"/>
  <c r="M90" i="22" s="1"/>
  <c r="J82" i="22"/>
  <c r="M82" i="22" s="1"/>
  <c r="J74" i="22"/>
  <c r="M74" i="22" s="1"/>
  <c r="J66" i="22"/>
  <c r="M66" i="22" s="1"/>
  <c r="J58" i="22"/>
  <c r="M58" i="22" s="1"/>
  <c r="J50" i="22"/>
  <c r="M50" i="22" s="1"/>
  <c r="J42" i="22"/>
  <c r="M42" i="22" s="1"/>
  <c r="J34" i="22"/>
  <c r="M34" i="22" s="1"/>
  <c r="J26" i="22"/>
  <c r="M26" i="22" s="1"/>
  <c r="J18" i="22"/>
  <c r="M18" i="22" s="1"/>
  <c r="J305" i="22"/>
  <c r="M305" i="22" s="1"/>
  <c r="J297" i="22"/>
  <c r="M297" i="22" s="1"/>
  <c r="J289" i="22"/>
  <c r="M289" i="22" s="1"/>
  <c r="J281" i="22"/>
  <c r="M281" i="22" s="1"/>
  <c r="J273" i="22"/>
  <c r="M273" i="22" s="1"/>
  <c r="J265" i="22"/>
  <c r="M265" i="22" s="1"/>
  <c r="J257" i="22"/>
  <c r="M257" i="22" s="1"/>
  <c r="J249" i="22"/>
  <c r="M249" i="22" s="1"/>
  <c r="J241" i="22"/>
  <c r="M241" i="22" s="1"/>
  <c r="J233" i="22"/>
  <c r="M233" i="22" s="1"/>
  <c r="J225" i="22"/>
  <c r="M225" i="22" s="1"/>
  <c r="J217" i="22"/>
  <c r="M217" i="22" s="1"/>
  <c r="J209" i="22"/>
  <c r="M209" i="22" s="1"/>
  <c r="J201" i="22"/>
  <c r="M201" i="22" s="1"/>
  <c r="J193" i="22"/>
  <c r="M193" i="22" s="1"/>
  <c r="J185" i="22"/>
  <c r="M185" i="22" s="1"/>
  <c r="J177" i="22"/>
  <c r="M177" i="22" s="1"/>
  <c r="J169" i="22"/>
  <c r="M169" i="22" s="1"/>
  <c r="J161" i="22"/>
  <c r="M161" i="22" s="1"/>
  <c r="J153" i="22"/>
  <c r="M153" i="22" s="1"/>
  <c r="J145" i="22"/>
  <c r="M145" i="22" s="1"/>
  <c r="J137" i="22"/>
  <c r="M137" i="22" s="1"/>
  <c r="J129" i="22"/>
  <c r="M129" i="22" s="1"/>
  <c r="J121" i="22"/>
  <c r="M121" i="22" s="1"/>
  <c r="J113" i="22"/>
  <c r="M113" i="22" s="1"/>
  <c r="J105" i="22"/>
  <c r="M105" i="22" s="1"/>
  <c r="J97" i="22"/>
  <c r="M97" i="22" s="1"/>
  <c r="J89" i="22"/>
  <c r="M89" i="22" s="1"/>
  <c r="J81" i="22"/>
  <c r="M81" i="22" s="1"/>
  <c r="J73" i="22"/>
  <c r="M73" i="22" s="1"/>
  <c r="J65" i="22"/>
  <c r="M65" i="22" s="1"/>
  <c r="J57" i="22"/>
  <c r="M57" i="22" s="1"/>
  <c r="J49" i="22"/>
  <c r="M49" i="22" s="1"/>
  <c r="J41" i="22"/>
  <c r="M41" i="22" s="1"/>
  <c r="J33" i="22"/>
  <c r="M33" i="22" s="1"/>
  <c r="J25" i="22"/>
  <c r="M25" i="22" s="1"/>
  <c r="J17" i="22"/>
  <c r="M17" i="22" s="1"/>
  <c r="I13" i="22"/>
  <c r="B29" i="23"/>
  <c r="M14" i="22" l="1"/>
  <c r="J13" i="22"/>
  <c r="B11" i="23"/>
  <c r="R6" i="20"/>
  <c r="Q6" i="20"/>
  <c r="O8" i="20"/>
  <c r="O9" i="20"/>
  <c r="O10" i="20"/>
  <c r="O11" i="20"/>
  <c r="O12" i="20"/>
  <c r="O13" i="20"/>
  <c r="O14" i="20"/>
  <c r="O15" i="20"/>
  <c r="O16" i="20"/>
  <c r="O17" i="20"/>
  <c r="O18" i="20"/>
  <c r="O19" i="20"/>
  <c r="O20" i="20"/>
  <c r="O21" i="20"/>
  <c r="O22" i="20"/>
  <c r="O23" i="20"/>
  <c r="O24" i="20"/>
  <c r="O25" i="20"/>
  <c r="O26" i="20"/>
  <c r="O27" i="20"/>
  <c r="O28" i="20"/>
  <c r="O29" i="20"/>
  <c r="O30" i="20"/>
  <c r="O31" i="20"/>
  <c r="O32" i="20"/>
  <c r="O33" i="20"/>
  <c r="O34" i="20"/>
  <c r="O35" i="20"/>
  <c r="O36" i="20"/>
  <c r="O37" i="20"/>
  <c r="O38" i="20"/>
  <c r="O39" i="20"/>
  <c r="O40" i="20"/>
  <c r="O41" i="20"/>
  <c r="O42" i="20"/>
  <c r="O43" i="20"/>
  <c r="O44" i="20"/>
  <c r="O45" i="20"/>
  <c r="O46" i="20"/>
  <c r="O47" i="20"/>
  <c r="O48" i="20"/>
  <c r="O49" i="20"/>
  <c r="O50" i="20"/>
  <c r="O51" i="20"/>
  <c r="O52" i="20"/>
  <c r="O53" i="20"/>
  <c r="O54" i="20"/>
  <c r="O55" i="20"/>
  <c r="O56" i="20"/>
  <c r="O57" i="20"/>
  <c r="O58" i="20"/>
  <c r="O59" i="20"/>
  <c r="O60" i="20"/>
  <c r="O61" i="20"/>
  <c r="O62" i="20"/>
  <c r="O63" i="20"/>
  <c r="O64" i="20"/>
  <c r="O65" i="20"/>
  <c r="O66" i="20"/>
  <c r="O67" i="20"/>
  <c r="O68" i="20"/>
  <c r="O69" i="20"/>
  <c r="O70" i="20"/>
  <c r="O71" i="20"/>
  <c r="O72" i="20"/>
  <c r="O73" i="20"/>
  <c r="O74" i="20"/>
  <c r="O75" i="20"/>
  <c r="O76" i="20"/>
  <c r="O77" i="20"/>
  <c r="O78" i="20"/>
  <c r="O79" i="20"/>
  <c r="O80" i="20"/>
  <c r="O81" i="20"/>
  <c r="O82" i="20"/>
  <c r="O83" i="20"/>
  <c r="O84" i="20"/>
  <c r="O85" i="20"/>
  <c r="O86" i="20"/>
  <c r="O87" i="20"/>
  <c r="O88" i="20"/>
  <c r="O89" i="20"/>
  <c r="O90" i="20"/>
  <c r="O91" i="20"/>
  <c r="O92" i="20"/>
  <c r="O93" i="20"/>
  <c r="O94" i="20"/>
  <c r="O95" i="20"/>
  <c r="O96" i="20"/>
  <c r="O97" i="20"/>
  <c r="O98" i="20"/>
  <c r="O99" i="20"/>
  <c r="O100" i="20"/>
  <c r="O101" i="20"/>
  <c r="O102" i="20"/>
  <c r="O103" i="20"/>
  <c r="O104" i="20"/>
  <c r="O105" i="20"/>
  <c r="O106" i="20"/>
  <c r="O107" i="20"/>
  <c r="O108" i="20"/>
  <c r="O109" i="20"/>
  <c r="O110" i="20"/>
  <c r="O111" i="20"/>
  <c r="O112" i="20"/>
  <c r="O113" i="20"/>
  <c r="O114" i="20"/>
  <c r="O115" i="20"/>
  <c r="O116" i="20"/>
  <c r="O117" i="20"/>
  <c r="O118" i="20"/>
  <c r="O119" i="20"/>
  <c r="O120" i="20"/>
  <c r="O121" i="20"/>
  <c r="O122" i="20"/>
  <c r="O123" i="20"/>
  <c r="O124" i="20"/>
  <c r="O125" i="20"/>
  <c r="O126" i="20"/>
  <c r="O127" i="20"/>
  <c r="O128" i="20"/>
  <c r="O129" i="20"/>
  <c r="O130" i="20"/>
  <c r="O131" i="20"/>
  <c r="O132" i="20"/>
  <c r="O133" i="20"/>
  <c r="O134" i="20"/>
  <c r="O135" i="20"/>
  <c r="O136" i="20"/>
  <c r="O137" i="20"/>
  <c r="O138" i="20"/>
  <c r="O139" i="20"/>
  <c r="O140" i="20"/>
  <c r="O141" i="20"/>
  <c r="O142" i="20"/>
  <c r="O143" i="20"/>
  <c r="O144" i="20"/>
  <c r="O145" i="20"/>
  <c r="O146" i="20"/>
  <c r="O147" i="20"/>
  <c r="O148" i="20"/>
  <c r="O149" i="20"/>
  <c r="O150" i="20"/>
  <c r="O151" i="20"/>
  <c r="O152" i="20"/>
  <c r="O153" i="20"/>
  <c r="O154" i="20"/>
  <c r="O155" i="20"/>
  <c r="O156" i="20"/>
  <c r="O157" i="20"/>
  <c r="O158" i="20"/>
  <c r="O159" i="20"/>
  <c r="O160" i="20"/>
  <c r="O161" i="20"/>
  <c r="O162" i="20"/>
  <c r="O163" i="20"/>
  <c r="O164" i="20"/>
  <c r="O165" i="20"/>
  <c r="O166" i="20"/>
  <c r="O167" i="20"/>
  <c r="O168" i="20"/>
  <c r="O169" i="20"/>
  <c r="O170" i="20"/>
  <c r="O171" i="20"/>
  <c r="O172" i="20"/>
  <c r="O173" i="20"/>
  <c r="O174" i="20"/>
  <c r="O175" i="20"/>
  <c r="O176" i="20"/>
  <c r="O177" i="20"/>
  <c r="O178" i="20"/>
  <c r="O179" i="20"/>
  <c r="O180" i="20"/>
  <c r="O181" i="20"/>
  <c r="O182" i="20"/>
  <c r="O183" i="20"/>
  <c r="O184" i="20"/>
  <c r="O185" i="20"/>
  <c r="O186" i="20"/>
  <c r="O187" i="20"/>
  <c r="O188" i="20"/>
  <c r="O189" i="20"/>
  <c r="O190" i="20"/>
  <c r="O191" i="20"/>
  <c r="O192" i="20"/>
  <c r="O193" i="20"/>
  <c r="O194" i="20"/>
  <c r="O195" i="20"/>
  <c r="O196" i="20"/>
  <c r="O197" i="20"/>
  <c r="O198" i="20"/>
  <c r="O199" i="20"/>
  <c r="O200" i="20"/>
  <c r="O201" i="20"/>
  <c r="O202" i="20"/>
  <c r="O203" i="20"/>
  <c r="O204" i="20"/>
  <c r="O205" i="20"/>
  <c r="O206" i="20"/>
  <c r="O207" i="20"/>
  <c r="O208" i="20"/>
  <c r="O209" i="20"/>
  <c r="O210" i="20"/>
  <c r="O211" i="20"/>
  <c r="O212" i="20"/>
  <c r="O213" i="20"/>
  <c r="O214" i="20"/>
  <c r="O215" i="20"/>
  <c r="O216" i="20"/>
  <c r="O217" i="20"/>
  <c r="O218" i="20"/>
  <c r="O219" i="20"/>
  <c r="O220" i="20"/>
  <c r="O221" i="20"/>
  <c r="O222" i="20"/>
  <c r="O223" i="20"/>
  <c r="O224" i="20"/>
  <c r="O225" i="20"/>
  <c r="O226" i="20"/>
  <c r="O227" i="20"/>
  <c r="O228" i="20"/>
  <c r="O229" i="20"/>
  <c r="O230" i="20"/>
  <c r="O231" i="20"/>
  <c r="O232" i="20"/>
  <c r="O233" i="20"/>
  <c r="O234" i="20"/>
  <c r="O235" i="20"/>
  <c r="O236" i="20"/>
  <c r="O237" i="20"/>
  <c r="O238" i="20"/>
  <c r="O239" i="20"/>
  <c r="O240" i="20"/>
  <c r="O241" i="20"/>
  <c r="O242" i="20"/>
  <c r="O243" i="20"/>
  <c r="O244" i="20"/>
  <c r="O245" i="20"/>
  <c r="O246" i="20"/>
  <c r="O247" i="20"/>
  <c r="O248" i="20"/>
  <c r="O249" i="20"/>
  <c r="O250" i="20"/>
  <c r="O251" i="20"/>
  <c r="O252" i="20"/>
  <c r="O253" i="20"/>
  <c r="O254" i="20"/>
  <c r="O255" i="20"/>
  <c r="O256" i="20"/>
  <c r="O257" i="20"/>
  <c r="O258" i="20"/>
  <c r="O259" i="20"/>
  <c r="O260" i="20"/>
  <c r="O261" i="20"/>
  <c r="O262" i="20"/>
  <c r="O263" i="20"/>
  <c r="O264" i="20"/>
  <c r="O265" i="20"/>
  <c r="O266" i="20"/>
  <c r="O267" i="20"/>
  <c r="O268" i="20"/>
  <c r="O269" i="20"/>
  <c r="O270" i="20"/>
  <c r="O271" i="20"/>
  <c r="O272" i="20"/>
  <c r="O273" i="20"/>
  <c r="O274" i="20"/>
  <c r="O275" i="20"/>
  <c r="O276" i="20"/>
  <c r="O277" i="20"/>
  <c r="O278" i="20"/>
  <c r="O279" i="20"/>
  <c r="O280" i="20"/>
  <c r="O281" i="20"/>
  <c r="O282" i="20"/>
  <c r="O283" i="20"/>
  <c r="O284" i="20"/>
  <c r="O285" i="20"/>
  <c r="O286" i="20"/>
  <c r="O287" i="20"/>
  <c r="O288" i="20"/>
  <c r="O289" i="20"/>
  <c r="O290" i="20"/>
  <c r="O291" i="20"/>
  <c r="O292" i="20"/>
  <c r="O293" i="20"/>
  <c r="O294" i="20"/>
  <c r="O295" i="20"/>
  <c r="O296" i="20"/>
  <c r="O297" i="20"/>
  <c r="O298" i="20"/>
  <c r="O299" i="20"/>
  <c r="O7" i="20"/>
  <c r="M6" i="20"/>
  <c r="N6" i="20"/>
  <c r="F8" i="20"/>
  <c r="F9" i="20"/>
  <c r="F10" i="20"/>
  <c r="F11" i="20"/>
  <c r="F12" i="20"/>
  <c r="F13" i="20"/>
  <c r="F14" i="20"/>
  <c r="F15" i="20"/>
  <c r="F16" i="20"/>
  <c r="F17" i="20"/>
  <c r="F18" i="20"/>
  <c r="F19" i="20"/>
  <c r="F20" i="20"/>
  <c r="F21" i="20"/>
  <c r="F22" i="20"/>
  <c r="F23" i="20"/>
  <c r="F24" i="20"/>
  <c r="F25" i="20"/>
  <c r="F26" i="20"/>
  <c r="F27" i="20"/>
  <c r="F28" i="20"/>
  <c r="F29" i="20"/>
  <c r="F30" i="20"/>
  <c r="F31" i="20"/>
  <c r="F32" i="20"/>
  <c r="F33" i="20"/>
  <c r="F34" i="20"/>
  <c r="F35" i="20"/>
  <c r="F36" i="20"/>
  <c r="F37" i="20"/>
  <c r="F38" i="20"/>
  <c r="F39" i="20"/>
  <c r="F40" i="20"/>
  <c r="F41" i="20"/>
  <c r="F42" i="20"/>
  <c r="F43" i="20"/>
  <c r="F44" i="20"/>
  <c r="F45" i="20"/>
  <c r="F46" i="20"/>
  <c r="F47" i="20"/>
  <c r="F48" i="20"/>
  <c r="F49" i="20"/>
  <c r="F50" i="20"/>
  <c r="F51" i="20"/>
  <c r="F52" i="20"/>
  <c r="F53" i="20"/>
  <c r="F54" i="20"/>
  <c r="F55" i="20"/>
  <c r="F56" i="20"/>
  <c r="F57" i="20"/>
  <c r="F58" i="20"/>
  <c r="F59" i="20"/>
  <c r="F60" i="20"/>
  <c r="F61" i="20"/>
  <c r="F62" i="20"/>
  <c r="F63" i="20"/>
  <c r="F64" i="20"/>
  <c r="F65" i="20"/>
  <c r="F66" i="20"/>
  <c r="F67" i="20"/>
  <c r="F68" i="20"/>
  <c r="F69" i="20"/>
  <c r="F70" i="20"/>
  <c r="F71" i="20"/>
  <c r="F72" i="20"/>
  <c r="F73" i="20"/>
  <c r="F74" i="20"/>
  <c r="F75" i="20"/>
  <c r="F76" i="20"/>
  <c r="F77" i="20"/>
  <c r="F78" i="20"/>
  <c r="F79" i="20"/>
  <c r="F80" i="20"/>
  <c r="F81" i="20"/>
  <c r="F82" i="20"/>
  <c r="F83" i="20"/>
  <c r="F84" i="20"/>
  <c r="F85" i="20"/>
  <c r="F86" i="20"/>
  <c r="F87" i="20"/>
  <c r="F88" i="20"/>
  <c r="F89" i="20"/>
  <c r="F90" i="20"/>
  <c r="F91" i="20"/>
  <c r="F92" i="20"/>
  <c r="F93" i="20"/>
  <c r="F94" i="20"/>
  <c r="F95" i="20"/>
  <c r="F96" i="20"/>
  <c r="F97" i="20"/>
  <c r="F98" i="20"/>
  <c r="F99" i="20"/>
  <c r="F100" i="20"/>
  <c r="F101" i="20"/>
  <c r="F102" i="20"/>
  <c r="F103" i="20"/>
  <c r="F104" i="20"/>
  <c r="F105" i="20"/>
  <c r="F106" i="20"/>
  <c r="F107" i="20"/>
  <c r="F108" i="20"/>
  <c r="F109" i="20"/>
  <c r="F110" i="20"/>
  <c r="F111" i="20"/>
  <c r="F112" i="20"/>
  <c r="F113" i="20"/>
  <c r="F114" i="20"/>
  <c r="F115" i="20"/>
  <c r="F116" i="20"/>
  <c r="F117" i="20"/>
  <c r="F118" i="20"/>
  <c r="F119" i="20"/>
  <c r="F120" i="20"/>
  <c r="F121" i="20"/>
  <c r="F122" i="20"/>
  <c r="F123" i="20"/>
  <c r="F124" i="20"/>
  <c r="F125" i="20"/>
  <c r="F126" i="20"/>
  <c r="F127" i="20"/>
  <c r="F128" i="20"/>
  <c r="F129" i="20"/>
  <c r="F130" i="20"/>
  <c r="F131" i="20"/>
  <c r="F132" i="20"/>
  <c r="F133" i="20"/>
  <c r="F134" i="20"/>
  <c r="F135" i="20"/>
  <c r="F136" i="20"/>
  <c r="F137" i="20"/>
  <c r="F138" i="20"/>
  <c r="F139" i="20"/>
  <c r="F140" i="20"/>
  <c r="F141" i="20"/>
  <c r="F142" i="20"/>
  <c r="F143" i="20"/>
  <c r="F144" i="20"/>
  <c r="F145" i="20"/>
  <c r="F146" i="20"/>
  <c r="F147" i="20"/>
  <c r="F148" i="20"/>
  <c r="F149" i="20"/>
  <c r="F150" i="20"/>
  <c r="F151" i="20"/>
  <c r="F152" i="20"/>
  <c r="F153" i="20"/>
  <c r="F154" i="20"/>
  <c r="F155" i="20"/>
  <c r="F156" i="20"/>
  <c r="F157" i="20"/>
  <c r="F158" i="20"/>
  <c r="F159" i="20"/>
  <c r="F160" i="20"/>
  <c r="F161" i="20"/>
  <c r="F162" i="20"/>
  <c r="F163" i="20"/>
  <c r="F164" i="20"/>
  <c r="F165" i="20"/>
  <c r="F166" i="20"/>
  <c r="F167" i="20"/>
  <c r="F168" i="20"/>
  <c r="F169" i="20"/>
  <c r="F170" i="20"/>
  <c r="F171" i="20"/>
  <c r="F172" i="20"/>
  <c r="F173" i="20"/>
  <c r="F174" i="20"/>
  <c r="F175" i="20"/>
  <c r="F176" i="20"/>
  <c r="F177" i="20"/>
  <c r="F178" i="20"/>
  <c r="F179" i="20"/>
  <c r="F180" i="20"/>
  <c r="F181" i="20"/>
  <c r="F182" i="20"/>
  <c r="F183" i="20"/>
  <c r="F184" i="20"/>
  <c r="F185" i="20"/>
  <c r="F186" i="20"/>
  <c r="F187" i="20"/>
  <c r="F188" i="20"/>
  <c r="F189" i="20"/>
  <c r="F190" i="20"/>
  <c r="F191" i="20"/>
  <c r="F192" i="20"/>
  <c r="F193" i="20"/>
  <c r="F194" i="20"/>
  <c r="F195" i="20"/>
  <c r="F196" i="20"/>
  <c r="F197" i="20"/>
  <c r="F198" i="20"/>
  <c r="F199" i="20"/>
  <c r="F200" i="20"/>
  <c r="F201" i="20"/>
  <c r="F202" i="20"/>
  <c r="F203" i="20"/>
  <c r="F204" i="20"/>
  <c r="F205" i="20"/>
  <c r="F206" i="20"/>
  <c r="F207" i="20"/>
  <c r="F208" i="20"/>
  <c r="F209" i="20"/>
  <c r="F210" i="20"/>
  <c r="F211" i="20"/>
  <c r="F212" i="20"/>
  <c r="F213" i="20"/>
  <c r="F214" i="20"/>
  <c r="F215" i="20"/>
  <c r="F216" i="20"/>
  <c r="F217" i="20"/>
  <c r="F218" i="20"/>
  <c r="F219" i="20"/>
  <c r="F220" i="20"/>
  <c r="F221" i="20"/>
  <c r="F222" i="20"/>
  <c r="F223" i="20"/>
  <c r="F224" i="20"/>
  <c r="F225" i="20"/>
  <c r="F226" i="20"/>
  <c r="F227" i="20"/>
  <c r="F228" i="20"/>
  <c r="F229" i="20"/>
  <c r="F230" i="20"/>
  <c r="F231" i="20"/>
  <c r="F232" i="20"/>
  <c r="F233" i="20"/>
  <c r="F234" i="20"/>
  <c r="F235" i="20"/>
  <c r="F236" i="20"/>
  <c r="F237" i="20"/>
  <c r="F238" i="20"/>
  <c r="F239" i="20"/>
  <c r="F240" i="20"/>
  <c r="F241" i="20"/>
  <c r="F242" i="20"/>
  <c r="F243" i="20"/>
  <c r="F244" i="20"/>
  <c r="F245" i="20"/>
  <c r="F246" i="20"/>
  <c r="F247" i="20"/>
  <c r="F248" i="20"/>
  <c r="F249" i="20"/>
  <c r="F250" i="20"/>
  <c r="F251" i="20"/>
  <c r="F252" i="20"/>
  <c r="F253" i="20"/>
  <c r="F254" i="20"/>
  <c r="F255" i="20"/>
  <c r="F256" i="20"/>
  <c r="F257" i="20"/>
  <c r="F258" i="20"/>
  <c r="F259" i="20"/>
  <c r="F260" i="20"/>
  <c r="F261" i="20"/>
  <c r="F262" i="20"/>
  <c r="F263" i="20"/>
  <c r="F264" i="20"/>
  <c r="F265" i="20"/>
  <c r="F266" i="20"/>
  <c r="F267" i="20"/>
  <c r="F268" i="20"/>
  <c r="F269" i="20"/>
  <c r="F270" i="20"/>
  <c r="F271" i="20"/>
  <c r="F272" i="20"/>
  <c r="F273" i="20"/>
  <c r="F274" i="20"/>
  <c r="F275" i="20"/>
  <c r="F276" i="20"/>
  <c r="F277" i="20"/>
  <c r="F278" i="20"/>
  <c r="F279" i="20"/>
  <c r="F280" i="20"/>
  <c r="F281" i="20"/>
  <c r="F282" i="20"/>
  <c r="F283" i="20"/>
  <c r="F284" i="20"/>
  <c r="F285" i="20"/>
  <c r="F286" i="20"/>
  <c r="F287" i="20"/>
  <c r="F288" i="20"/>
  <c r="F289" i="20"/>
  <c r="F290" i="20"/>
  <c r="F291" i="20"/>
  <c r="F292" i="20"/>
  <c r="F293" i="20"/>
  <c r="F294" i="20"/>
  <c r="F295" i="20"/>
  <c r="F296" i="20"/>
  <c r="F297" i="20"/>
  <c r="F298" i="20"/>
  <c r="F299" i="20"/>
  <c r="F7" i="20"/>
  <c r="P171" i="20" l="1"/>
  <c r="S171" i="20" s="1"/>
  <c r="P43" i="20"/>
  <c r="S43" i="20" s="1"/>
  <c r="B21" i="23"/>
  <c r="P250" i="20"/>
  <c r="S250" i="20" s="1"/>
  <c r="P194" i="20"/>
  <c r="S194" i="20" s="1"/>
  <c r="P122" i="20"/>
  <c r="S122" i="20" s="1"/>
  <c r="P66" i="20"/>
  <c r="S66" i="20" s="1"/>
  <c r="P10" i="20"/>
  <c r="S10" i="20" s="1"/>
  <c r="P266" i="20"/>
  <c r="S266" i="20" s="1"/>
  <c r="P226" i="20"/>
  <c r="S226" i="20" s="1"/>
  <c r="P154" i="20"/>
  <c r="S154" i="20" s="1"/>
  <c r="P98" i="20"/>
  <c r="S98" i="20" s="1"/>
  <c r="P58" i="20"/>
  <c r="S58" i="20" s="1"/>
  <c r="P282" i="20"/>
  <c r="S282" i="20" s="1"/>
  <c r="P234" i="20"/>
  <c r="S234" i="20" s="1"/>
  <c r="P186" i="20"/>
  <c r="S186" i="20" s="1"/>
  <c r="P138" i="20"/>
  <c r="S138" i="20" s="1"/>
  <c r="P74" i="20"/>
  <c r="S74" i="20" s="1"/>
  <c r="P42" i="20"/>
  <c r="S42" i="20" s="1"/>
  <c r="P290" i="20"/>
  <c r="S290" i="20" s="1"/>
  <c r="P218" i="20"/>
  <c r="S218" i="20" s="1"/>
  <c r="P162" i="20"/>
  <c r="S162" i="20" s="1"/>
  <c r="P114" i="20"/>
  <c r="S114" i="20" s="1"/>
  <c r="P50" i="20"/>
  <c r="S50" i="20" s="1"/>
  <c r="P258" i="20"/>
  <c r="S258" i="20" s="1"/>
  <c r="P210" i="20"/>
  <c r="S210" i="20" s="1"/>
  <c r="P170" i="20"/>
  <c r="S170" i="20" s="1"/>
  <c r="P106" i="20"/>
  <c r="S106" i="20" s="1"/>
  <c r="P34" i="20"/>
  <c r="S34" i="20" s="1"/>
  <c r="P274" i="20"/>
  <c r="S274" i="20" s="1"/>
  <c r="P202" i="20"/>
  <c r="S202" i="20" s="1"/>
  <c r="P146" i="20"/>
  <c r="S146" i="20" s="1"/>
  <c r="P90" i="20"/>
  <c r="S90" i="20" s="1"/>
  <c r="P26" i="20"/>
  <c r="S26" i="20" s="1"/>
  <c r="P298" i="20"/>
  <c r="S298" i="20" s="1"/>
  <c r="P242" i="20"/>
  <c r="S242" i="20" s="1"/>
  <c r="P178" i="20"/>
  <c r="S178" i="20" s="1"/>
  <c r="P130" i="20"/>
  <c r="S130" i="20" s="1"/>
  <c r="P82" i="20"/>
  <c r="S82" i="20" s="1"/>
  <c r="P18" i="20"/>
  <c r="S18" i="20" s="1"/>
  <c r="P289" i="20"/>
  <c r="S289" i="20" s="1"/>
  <c r="P217" i="20"/>
  <c r="S217" i="20" s="1"/>
  <c r="P137" i="20"/>
  <c r="S137" i="20" s="1"/>
  <c r="P57" i="20"/>
  <c r="S57" i="20" s="1"/>
  <c r="P297" i="20"/>
  <c r="S297" i="20" s="1"/>
  <c r="P241" i="20"/>
  <c r="S241" i="20" s="1"/>
  <c r="P185" i="20"/>
  <c r="S185" i="20" s="1"/>
  <c r="P121" i="20"/>
  <c r="S121" i="20" s="1"/>
  <c r="P73" i="20"/>
  <c r="S73" i="20" s="1"/>
  <c r="P33" i="20"/>
  <c r="S33" i="20" s="1"/>
  <c r="P273" i="20"/>
  <c r="S273" i="20" s="1"/>
  <c r="P233" i="20"/>
  <c r="S233" i="20" s="1"/>
  <c r="P177" i="20"/>
  <c r="S177" i="20" s="1"/>
  <c r="P129" i="20"/>
  <c r="S129" i="20" s="1"/>
  <c r="P97" i="20"/>
  <c r="S97" i="20" s="1"/>
  <c r="P41" i="20"/>
  <c r="S41" i="20" s="1"/>
  <c r="P281" i="20"/>
  <c r="S281" i="20" s="1"/>
  <c r="P225" i="20"/>
  <c r="S225" i="20" s="1"/>
  <c r="P161" i="20"/>
  <c r="S161" i="20" s="1"/>
  <c r="P81" i="20"/>
  <c r="S81" i="20" s="1"/>
  <c r="P25" i="20"/>
  <c r="S25" i="20" s="1"/>
  <c r="P265" i="20"/>
  <c r="S265" i="20" s="1"/>
  <c r="P209" i="20"/>
  <c r="S209" i="20" s="1"/>
  <c r="P153" i="20"/>
  <c r="S153" i="20" s="1"/>
  <c r="P89" i="20"/>
  <c r="S89" i="20" s="1"/>
  <c r="P17" i="20"/>
  <c r="S17" i="20" s="1"/>
  <c r="P249" i="20"/>
  <c r="S249" i="20" s="1"/>
  <c r="P201" i="20"/>
  <c r="S201" i="20" s="1"/>
  <c r="P169" i="20"/>
  <c r="S169" i="20" s="1"/>
  <c r="P113" i="20"/>
  <c r="S113" i="20" s="1"/>
  <c r="P65" i="20"/>
  <c r="S65" i="20" s="1"/>
  <c r="P9" i="20"/>
  <c r="S9" i="20" s="1"/>
  <c r="P257" i="20"/>
  <c r="S257" i="20" s="1"/>
  <c r="P193" i="20"/>
  <c r="S193" i="20" s="1"/>
  <c r="P145" i="20"/>
  <c r="S145" i="20" s="1"/>
  <c r="P105" i="20"/>
  <c r="S105" i="20" s="1"/>
  <c r="P49" i="20"/>
  <c r="S49" i="20" s="1"/>
  <c r="P299" i="20"/>
  <c r="S299" i="20" s="1"/>
  <c r="P291" i="20"/>
  <c r="S291" i="20" s="1"/>
  <c r="P283" i="20"/>
  <c r="S283" i="20" s="1"/>
  <c r="P275" i="20"/>
  <c r="S275" i="20" s="1"/>
  <c r="P267" i="20"/>
  <c r="S267" i="20" s="1"/>
  <c r="P259" i="20"/>
  <c r="S259" i="20" s="1"/>
  <c r="P251" i="20"/>
  <c r="S251" i="20" s="1"/>
  <c r="P243" i="20"/>
  <c r="S243" i="20" s="1"/>
  <c r="P235" i="20"/>
  <c r="S235" i="20" s="1"/>
  <c r="P227" i="20"/>
  <c r="S227" i="20" s="1"/>
  <c r="P219" i="20"/>
  <c r="S219" i="20" s="1"/>
  <c r="P211" i="20"/>
  <c r="S211" i="20" s="1"/>
  <c r="P203" i="20"/>
  <c r="S203" i="20" s="1"/>
  <c r="P195" i="20"/>
  <c r="S195" i="20" s="1"/>
  <c r="P187" i="20"/>
  <c r="S187" i="20" s="1"/>
  <c r="P179" i="20"/>
  <c r="S179" i="20" s="1"/>
  <c r="P163" i="20"/>
  <c r="S163" i="20" s="1"/>
  <c r="P155" i="20"/>
  <c r="S155" i="20" s="1"/>
  <c r="P147" i="20"/>
  <c r="S147" i="20" s="1"/>
  <c r="P139" i="20"/>
  <c r="S139" i="20" s="1"/>
  <c r="P131" i="20"/>
  <c r="S131" i="20" s="1"/>
  <c r="P123" i="20"/>
  <c r="S123" i="20" s="1"/>
  <c r="P115" i="20"/>
  <c r="S115" i="20" s="1"/>
  <c r="P107" i="20"/>
  <c r="S107" i="20" s="1"/>
  <c r="P99" i="20"/>
  <c r="S99" i="20" s="1"/>
  <c r="P91" i="20"/>
  <c r="S91" i="20" s="1"/>
  <c r="P83" i="20"/>
  <c r="S83" i="20" s="1"/>
  <c r="P75" i="20"/>
  <c r="S75" i="20" s="1"/>
  <c r="P67" i="20"/>
  <c r="S67" i="20" s="1"/>
  <c r="P59" i="20"/>
  <c r="S59" i="20" s="1"/>
  <c r="P51" i="20"/>
  <c r="S51" i="20" s="1"/>
  <c r="P35" i="20"/>
  <c r="S35" i="20" s="1"/>
  <c r="P27" i="20"/>
  <c r="S27" i="20" s="1"/>
  <c r="P19" i="20"/>
  <c r="S19" i="20" s="1"/>
  <c r="P11" i="20"/>
  <c r="S11" i="20" s="1"/>
  <c r="P118" i="20"/>
  <c r="S118" i="20" s="1"/>
  <c r="P294" i="20"/>
  <c r="S294" i="20" s="1"/>
  <c r="P286" i="20"/>
  <c r="S286" i="20" s="1"/>
  <c r="P278" i="20"/>
  <c r="S278" i="20" s="1"/>
  <c r="P270" i="20"/>
  <c r="S270" i="20" s="1"/>
  <c r="P262" i="20"/>
  <c r="S262" i="20" s="1"/>
  <c r="P254" i="20"/>
  <c r="S254" i="20" s="1"/>
  <c r="P246" i="20"/>
  <c r="S246" i="20" s="1"/>
  <c r="P238" i="20"/>
  <c r="S238" i="20" s="1"/>
  <c r="P230" i="20"/>
  <c r="S230" i="20" s="1"/>
  <c r="P222" i="20"/>
  <c r="S222" i="20" s="1"/>
  <c r="P214" i="20"/>
  <c r="S214" i="20" s="1"/>
  <c r="P206" i="20"/>
  <c r="S206" i="20" s="1"/>
  <c r="P198" i="20"/>
  <c r="S198" i="20" s="1"/>
  <c r="P190" i="20"/>
  <c r="S190" i="20" s="1"/>
  <c r="P182" i="20"/>
  <c r="S182" i="20" s="1"/>
  <c r="P174" i="20"/>
  <c r="S174" i="20" s="1"/>
  <c r="P166" i="20"/>
  <c r="S166" i="20" s="1"/>
  <c r="P158" i="20"/>
  <c r="S158" i="20" s="1"/>
  <c r="P150" i="20"/>
  <c r="S150" i="20" s="1"/>
  <c r="P142" i="20"/>
  <c r="S142" i="20" s="1"/>
  <c r="P134" i="20"/>
  <c r="S134" i="20" s="1"/>
  <c r="P126" i="20"/>
  <c r="S126" i="20" s="1"/>
  <c r="P110" i="20"/>
  <c r="S110" i="20" s="1"/>
  <c r="P102" i="20"/>
  <c r="S102" i="20" s="1"/>
  <c r="P94" i="20"/>
  <c r="S94" i="20" s="1"/>
  <c r="P86" i="20"/>
  <c r="S86" i="20" s="1"/>
  <c r="P78" i="20"/>
  <c r="S78" i="20" s="1"/>
  <c r="P70" i="20"/>
  <c r="S70" i="20" s="1"/>
  <c r="P62" i="20"/>
  <c r="S62" i="20" s="1"/>
  <c r="P54" i="20"/>
  <c r="S54" i="20" s="1"/>
  <c r="P46" i="20"/>
  <c r="S46" i="20" s="1"/>
  <c r="P38" i="20"/>
  <c r="S38" i="20" s="1"/>
  <c r="P30" i="20"/>
  <c r="S30" i="20" s="1"/>
  <c r="P22" i="20"/>
  <c r="S22" i="20" s="1"/>
  <c r="P14" i="20"/>
  <c r="S14" i="20" s="1"/>
  <c r="P296" i="20"/>
  <c r="S296" i="20" s="1"/>
  <c r="P288" i="20"/>
  <c r="S288" i="20" s="1"/>
  <c r="P280" i="20"/>
  <c r="S280" i="20" s="1"/>
  <c r="P272" i="20"/>
  <c r="S272" i="20" s="1"/>
  <c r="P264" i="20"/>
  <c r="S264" i="20" s="1"/>
  <c r="P256" i="20"/>
  <c r="S256" i="20" s="1"/>
  <c r="P248" i="20"/>
  <c r="S248" i="20" s="1"/>
  <c r="P240" i="20"/>
  <c r="S240" i="20" s="1"/>
  <c r="P232" i="20"/>
  <c r="S232" i="20" s="1"/>
  <c r="P224" i="20"/>
  <c r="S224" i="20" s="1"/>
  <c r="P216" i="20"/>
  <c r="S216" i="20" s="1"/>
  <c r="P208" i="20"/>
  <c r="S208" i="20" s="1"/>
  <c r="P200" i="20"/>
  <c r="S200" i="20" s="1"/>
  <c r="P192" i="20"/>
  <c r="S192" i="20" s="1"/>
  <c r="P184" i="20"/>
  <c r="S184" i="20" s="1"/>
  <c r="P176" i="20"/>
  <c r="S176" i="20" s="1"/>
  <c r="P168" i="20"/>
  <c r="S168" i="20" s="1"/>
  <c r="P160" i="20"/>
  <c r="S160" i="20" s="1"/>
  <c r="P152" i="20"/>
  <c r="S152" i="20" s="1"/>
  <c r="P144" i="20"/>
  <c r="S144" i="20" s="1"/>
  <c r="P136" i="20"/>
  <c r="S136" i="20" s="1"/>
  <c r="P128" i="20"/>
  <c r="S128" i="20" s="1"/>
  <c r="P120" i="20"/>
  <c r="S120" i="20" s="1"/>
  <c r="P112" i="20"/>
  <c r="S112" i="20" s="1"/>
  <c r="P104" i="20"/>
  <c r="S104" i="20" s="1"/>
  <c r="P96" i="20"/>
  <c r="S96" i="20" s="1"/>
  <c r="P88" i="20"/>
  <c r="S88" i="20" s="1"/>
  <c r="P80" i="20"/>
  <c r="S80" i="20" s="1"/>
  <c r="P72" i="20"/>
  <c r="S72" i="20" s="1"/>
  <c r="P64" i="20"/>
  <c r="S64" i="20" s="1"/>
  <c r="P56" i="20"/>
  <c r="S56" i="20" s="1"/>
  <c r="P48" i="20"/>
  <c r="S48" i="20" s="1"/>
  <c r="P40" i="20"/>
  <c r="S40" i="20" s="1"/>
  <c r="P32" i="20"/>
  <c r="S32" i="20" s="1"/>
  <c r="P24" i="20"/>
  <c r="S24" i="20" s="1"/>
  <c r="P16" i="20"/>
  <c r="S16" i="20" s="1"/>
  <c r="P8" i="20"/>
  <c r="S8" i="20" s="1"/>
  <c r="P295" i="20"/>
  <c r="S295" i="20" s="1"/>
  <c r="P287" i="20"/>
  <c r="S287" i="20" s="1"/>
  <c r="P279" i="20"/>
  <c r="S279" i="20" s="1"/>
  <c r="P271" i="20"/>
  <c r="S271" i="20" s="1"/>
  <c r="P263" i="20"/>
  <c r="S263" i="20" s="1"/>
  <c r="P255" i="20"/>
  <c r="S255" i="20" s="1"/>
  <c r="P247" i="20"/>
  <c r="S247" i="20" s="1"/>
  <c r="P239" i="20"/>
  <c r="S239" i="20" s="1"/>
  <c r="P231" i="20"/>
  <c r="S231" i="20" s="1"/>
  <c r="P223" i="20"/>
  <c r="S223" i="20" s="1"/>
  <c r="P215" i="20"/>
  <c r="S215" i="20" s="1"/>
  <c r="P207" i="20"/>
  <c r="S207" i="20" s="1"/>
  <c r="P199" i="20"/>
  <c r="S199" i="20" s="1"/>
  <c r="P191" i="20"/>
  <c r="S191" i="20" s="1"/>
  <c r="P183" i="20"/>
  <c r="S183" i="20" s="1"/>
  <c r="P175" i="20"/>
  <c r="S175" i="20" s="1"/>
  <c r="P167" i="20"/>
  <c r="S167" i="20" s="1"/>
  <c r="P159" i="20"/>
  <c r="S159" i="20" s="1"/>
  <c r="P151" i="20"/>
  <c r="S151" i="20" s="1"/>
  <c r="P143" i="20"/>
  <c r="S143" i="20" s="1"/>
  <c r="P135" i="20"/>
  <c r="S135" i="20" s="1"/>
  <c r="P127" i="20"/>
  <c r="S127" i="20" s="1"/>
  <c r="P119" i="20"/>
  <c r="S119" i="20" s="1"/>
  <c r="P111" i="20"/>
  <c r="S111" i="20" s="1"/>
  <c r="P103" i="20"/>
  <c r="S103" i="20" s="1"/>
  <c r="P95" i="20"/>
  <c r="S95" i="20" s="1"/>
  <c r="P87" i="20"/>
  <c r="S87" i="20" s="1"/>
  <c r="P79" i="20"/>
  <c r="S79" i="20" s="1"/>
  <c r="P71" i="20"/>
  <c r="S71" i="20" s="1"/>
  <c r="P63" i="20"/>
  <c r="S63" i="20" s="1"/>
  <c r="P55" i="20"/>
  <c r="S55" i="20" s="1"/>
  <c r="P47" i="20"/>
  <c r="S47" i="20" s="1"/>
  <c r="P39" i="20"/>
  <c r="S39" i="20" s="1"/>
  <c r="P31" i="20"/>
  <c r="S31" i="20" s="1"/>
  <c r="P23" i="20"/>
  <c r="S23" i="20" s="1"/>
  <c r="P15" i="20"/>
  <c r="S15" i="20" s="1"/>
  <c r="P293" i="20"/>
  <c r="S293" i="20" s="1"/>
  <c r="P285" i="20"/>
  <c r="S285" i="20" s="1"/>
  <c r="P277" i="20"/>
  <c r="S277" i="20" s="1"/>
  <c r="P269" i="20"/>
  <c r="S269" i="20" s="1"/>
  <c r="P261" i="20"/>
  <c r="S261" i="20" s="1"/>
  <c r="P253" i="20"/>
  <c r="S253" i="20" s="1"/>
  <c r="P245" i="20"/>
  <c r="S245" i="20" s="1"/>
  <c r="P237" i="20"/>
  <c r="S237" i="20" s="1"/>
  <c r="P229" i="20"/>
  <c r="S229" i="20" s="1"/>
  <c r="P221" i="20"/>
  <c r="S221" i="20" s="1"/>
  <c r="P213" i="20"/>
  <c r="S213" i="20" s="1"/>
  <c r="P205" i="20"/>
  <c r="S205" i="20" s="1"/>
  <c r="P197" i="20"/>
  <c r="S197" i="20" s="1"/>
  <c r="P189" i="20"/>
  <c r="S189" i="20" s="1"/>
  <c r="P181" i="20"/>
  <c r="S181" i="20" s="1"/>
  <c r="P173" i="20"/>
  <c r="S173" i="20" s="1"/>
  <c r="P165" i="20"/>
  <c r="S165" i="20" s="1"/>
  <c r="P157" i="20"/>
  <c r="S157" i="20" s="1"/>
  <c r="P149" i="20"/>
  <c r="S149" i="20" s="1"/>
  <c r="P141" i="20"/>
  <c r="S141" i="20" s="1"/>
  <c r="P133" i="20"/>
  <c r="S133" i="20" s="1"/>
  <c r="P125" i="20"/>
  <c r="S125" i="20" s="1"/>
  <c r="P117" i="20"/>
  <c r="S117" i="20" s="1"/>
  <c r="P109" i="20"/>
  <c r="S109" i="20" s="1"/>
  <c r="P101" i="20"/>
  <c r="S101" i="20" s="1"/>
  <c r="P93" i="20"/>
  <c r="S93" i="20" s="1"/>
  <c r="P85" i="20"/>
  <c r="S85" i="20" s="1"/>
  <c r="P77" i="20"/>
  <c r="S77" i="20" s="1"/>
  <c r="P69" i="20"/>
  <c r="S69" i="20" s="1"/>
  <c r="P61" i="20"/>
  <c r="S61" i="20" s="1"/>
  <c r="P53" i="20"/>
  <c r="S53" i="20" s="1"/>
  <c r="P45" i="20"/>
  <c r="S45" i="20" s="1"/>
  <c r="P37" i="20"/>
  <c r="S37" i="20" s="1"/>
  <c r="P29" i="20"/>
  <c r="S29" i="20" s="1"/>
  <c r="P21" i="20"/>
  <c r="S21" i="20" s="1"/>
  <c r="P13" i="20"/>
  <c r="S13" i="20" s="1"/>
  <c r="P7" i="20"/>
  <c r="S7" i="20" s="1"/>
  <c r="P292" i="20"/>
  <c r="S292" i="20" s="1"/>
  <c r="P284" i="20"/>
  <c r="S284" i="20" s="1"/>
  <c r="P276" i="20"/>
  <c r="S276" i="20" s="1"/>
  <c r="P268" i="20"/>
  <c r="S268" i="20" s="1"/>
  <c r="P260" i="20"/>
  <c r="S260" i="20" s="1"/>
  <c r="P252" i="20"/>
  <c r="S252" i="20" s="1"/>
  <c r="P244" i="20"/>
  <c r="S244" i="20" s="1"/>
  <c r="P236" i="20"/>
  <c r="S236" i="20" s="1"/>
  <c r="P228" i="20"/>
  <c r="S228" i="20" s="1"/>
  <c r="P220" i="20"/>
  <c r="S220" i="20" s="1"/>
  <c r="P212" i="20"/>
  <c r="S212" i="20" s="1"/>
  <c r="P204" i="20"/>
  <c r="S204" i="20" s="1"/>
  <c r="P196" i="20"/>
  <c r="S196" i="20" s="1"/>
  <c r="P188" i="20"/>
  <c r="S188" i="20" s="1"/>
  <c r="P180" i="20"/>
  <c r="S180" i="20" s="1"/>
  <c r="P172" i="20"/>
  <c r="S172" i="20" s="1"/>
  <c r="P164" i="20"/>
  <c r="S164" i="20" s="1"/>
  <c r="P156" i="20"/>
  <c r="S156" i="20" s="1"/>
  <c r="P148" i="20"/>
  <c r="S148" i="20" s="1"/>
  <c r="P140" i="20"/>
  <c r="S140" i="20" s="1"/>
  <c r="P132" i="20"/>
  <c r="S132" i="20" s="1"/>
  <c r="P124" i="20"/>
  <c r="S124" i="20" s="1"/>
  <c r="P116" i="20"/>
  <c r="S116" i="20" s="1"/>
  <c r="P108" i="20"/>
  <c r="S108" i="20" s="1"/>
  <c r="P100" i="20"/>
  <c r="S100" i="20" s="1"/>
  <c r="P92" i="20"/>
  <c r="S92" i="20" s="1"/>
  <c r="P84" i="20"/>
  <c r="S84" i="20" s="1"/>
  <c r="P76" i="20"/>
  <c r="S76" i="20" s="1"/>
  <c r="P68" i="20"/>
  <c r="S68" i="20" s="1"/>
  <c r="P60" i="20"/>
  <c r="S60" i="20" s="1"/>
  <c r="P52" i="20"/>
  <c r="S52" i="20" s="1"/>
  <c r="P44" i="20"/>
  <c r="S44" i="20" s="1"/>
  <c r="P36" i="20"/>
  <c r="S36" i="20" s="1"/>
  <c r="P28" i="20"/>
  <c r="S28" i="20" s="1"/>
  <c r="P20" i="20"/>
  <c r="S20" i="20" s="1"/>
  <c r="P12" i="20"/>
  <c r="S12" i="20" s="1"/>
  <c r="F6" i="20"/>
  <c r="S6" i="20" l="1"/>
  <c r="T7" i="20" l="1"/>
  <c r="T8" i="20"/>
  <c r="T16" i="20"/>
  <c r="T24" i="20"/>
  <c r="T32" i="20"/>
  <c r="T40" i="20"/>
  <c r="T48" i="20"/>
  <c r="T56" i="20"/>
  <c r="T64" i="20"/>
  <c r="T72" i="20"/>
  <c r="T80" i="20"/>
  <c r="T88" i="20"/>
  <c r="T96" i="20"/>
  <c r="T104" i="20"/>
  <c r="T112" i="20"/>
  <c r="T120" i="20"/>
  <c r="T128" i="20"/>
  <c r="T136" i="20"/>
  <c r="T144" i="20"/>
  <c r="T152" i="20"/>
  <c r="T160" i="20"/>
  <c r="T168" i="20"/>
  <c r="T176" i="20"/>
  <c r="T184" i="20"/>
  <c r="T192" i="20"/>
  <c r="T200" i="20"/>
  <c r="T208" i="20"/>
  <c r="T216" i="20"/>
  <c r="T224" i="20"/>
  <c r="T232" i="20"/>
  <c r="T240" i="20"/>
  <c r="T248" i="20"/>
  <c r="T256" i="20"/>
  <c r="T264" i="20"/>
  <c r="T272" i="20"/>
  <c r="T280" i="20"/>
  <c r="T288" i="20"/>
  <c r="T296" i="20"/>
  <c r="T22" i="20"/>
  <c r="T94" i="20"/>
  <c r="T134" i="20"/>
  <c r="T182" i="20"/>
  <c r="T230" i="20"/>
  <c r="T286" i="20"/>
  <c r="T9" i="20"/>
  <c r="T17" i="20"/>
  <c r="T25" i="20"/>
  <c r="T33" i="20"/>
  <c r="T41" i="20"/>
  <c r="T49" i="20"/>
  <c r="T57" i="20"/>
  <c r="T65" i="20"/>
  <c r="T73" i="20"/>
  <c r="T81" i="20"/>
  <c r="T89" i="20"/>
  <c r="T97" i="20"/>
  <c r="T105" i="20"/>
  <c r="T113" i="20"/>
  <c r="T121" i="20"/>
  <c r="T129" i="20"/>
  <c r="T137" i="20"/>
  <c r="T145" i="20"/>
  <c r="T153" i="20"/>
  <c r="T161" i="20"/>
  <c r="T169" i="20"/>
  <c r="T177" i="20"/>
  <c r="T185" i="20"/>
  <c r="T193" i="20"/>
  <c r="T201" i="20"/>
  <c r="T209" i="20"/>
  <c r="T217" i="20"/>
  <c r="T225" i="20"/>
  <c r="T233" i="20"/>
  <c r="T241" i="20"/>
  <c r="T249" i="20"/>
  <c r="T257" i="20"/>
  <c r="T265" i="20"/>
  <c r="T273" i="20"/>
  <c r="T281" i="20"/>
  <c r="T289" i="20"/>
  <c r="T297" i="20"/>
  <c r="T30" i="20"/>
  <c r="T78" i="20"/>
  <c r="T118" i="20"/>
  <c r="T166" i="20"/>
  <c r="T222" i="20"/>
  <c r="T294" i="20"/>
  <c r="T10" i="20"/>
  <c r="T18" i="20"/>
  <c r="T26" i="20"/>
  <c r="T34" i="20"/>
  <c r="T42" i="20"/>
  <c r="T50" i="20"/>
  <c r="T58" i="20"/>
  <c r="T66" i="20"/>
  <c r="T74" i="20"/>
  <c r="T82" i="20"/>
  <c r="T90" i="20"/>
  <c r="T98" i="20"/>
  <c r="T106" i="20"/>
  <c r="T114" i="20"/>
  <c r="T122" i="20"/>
  <c r="T130" i="20"/>
  <c r="T138" i="20"/>
  <c r="T146" i="20"/>
  <c r="T154" i="20"/>
  <c r="T162" i="20"/>
  <c r="T170" i="20"/>
  <c r="T178" i="20"/>
  <c r="T186" i="20"/>
  <c r="T194" i="20"/>
  <c r="T202" i="20"/>
  <c r="T210" i="20"/>
  <c r="T218" i="20"/>
  <c r="T226" i="20"/>
  <c r="T234" i="20"/>
  <c r="T242" i="20"/>
  <c r="T250" i="20"/>
  <c r="T258" i="20"/>
  <c r="T266" i="20"/>
  <c r="T274" i="20"/>
  <c r="T282" i="20"/>
  <c r="T290" i="20"/>
  <c r="T298" i="20"/>
  <c r="T285" i="20"/>
  <c r="T46" i="20"/>
  <c r="T62" i="20"/>
  <c r="T110" i="20"/>
  <c r="T150" i="20"/>
  <c r="T190" i="20"/>
  <c r="T238" i="20"/>
  <c r="T11" i="20"/>
  <c r="T19" i="20"/>
  <c r="T27" i="20"/>
  <c r="T35" i="20"/>
  <c r="T43" i="20"/>
  <c r="T51" i="20"/>
  <c r="T59" i="20"/>
  <c r="T67" i="20"/>
  <c r="T75" i="20"/>
  <c r="T83" i="20"/>
  <c r="T91" i="20"/>
  <c r="T99" i="20"/>
  <c r="T107" i="20"/>
  <c r="T115" i="20"/>
  <c r="T123" i="20"/>
  <c r="T131" i="20"/>
  <c r="T139" i="20"/>
  <c r="T147" i="20"/>
  <c r="T155" i="20"/>
  <c r="T163" i="20"/>
  <c r="T171" i="20"/>
  <c r="T179" i="20"/>
  <c r="T187" i="20"/>
  <c r="T195" i="20"/>
  <c r="T203" i="20"/>
  <c r="T211" i="20"/>
  <c r="T219" i="20"/>
  <c r="T227" i="20"/>
  <c r="T235" i="20"/>
  <c r="T243" i="20"/>
  <c r="T251" i="20"/>
  <c r="T259" i="20"/>
  <c r="T267" i="20"/>
  <c r="T275" i="20"/>
  <c r="T283" i="20"/>
  <c r="T291" i="20"/>
  <c r="T299" i="20"/>
  <c r="T38" i="20"/>
  <c r="T102" i="20"/>
  <c r="T158" i="20"/>
  <c r="T198" i="20"/>
  <c r="T246" i="20"/>
  <c r="T270" i="20"/>
  <c r="T12" i="20"/>
  <c r="T20" i="20"/>
  <c r="T28" i="20"/>
  <c r="T36" i="20"/>
  <c r="T44" i="20"/>
  <c r="T52" i="20"/>
  <c r="T60" i="20"/>
  <c r="T68" i="20"/>
  <c r="T76" i="20"/>
  <c r="T84" i="20"/>
  <c r="T92" i="20"/>
  <c r="T100" i="20"/>
  <c r="T108" i="20"/>
  <c r="T116" i="20"/>
  <c r="T124" i="20"/>
  <c r="T132" i="20"/>
  <c r="T140" i="20"/>
  <c r="T148" i="20"/>
  <c r="T156" i="20"/>
  <c r="T164" i="20"/>
  <c r="T172" i="20"/>
  <c r="T180" i="20"/>
  <c r="T188" i="20"/>
  <c r="T196" i="20"/>
  <c r="T204" i="20"/>
  <c r="T212" i="20"/>
  <c r="T220" i="20"/>
  <c r="T228" i="20"/>
  <c r="T236" i="20"/>
  <c r="T244" i="20"/>
  <c r="T252" i="20"/>
  <c r="T260" i="20"/>
  <c r="T268" i="20"/>
  <c r="T276" i="20"/>
  <c r="T284" i="20"/>
  <c r="T292" i="20"/>
  <c r="T14" i="20"/>
  <c r="T70" i="20"/>
  <c r="T142" i="20"/>
  <c r="T206" i="20"/>
  <c r="T254" i="20"/>
  <c r="T13" i="20"/>
  <c r="T21" i="20"/>
  <c r="T29" i="20"/>
  <c r="T37" i="20"/>
  <c r="T45" i="20"/>
  <c r="T53" i="20"/>
  <c r="T61" i="20"/>
  <c r="T69" i="20"/>
  <c r="T77" i="20"/>
  <c r="T85" i="20"/>
  <c r="T93" i="20"/>
  <c r="T101" i="20"/>
  <c r="T109" i="20"/>
  <c r="T117" i="20"/>
  <c r="T125" i="20"/>
  <c r="T133" i="20"/>
  <c r="T141" i="20"/>
  <c r="T149" i="20"/>
  <c r="T157" i="20"/>
  <c r="T165" i="20"/>
  <c r="T173" i="20"/>
  <c r="T181" i="20"/>
  <c r="T189" i="20"/>
  <c r="T197" i="20"/>
  <c r="T205" i="20"/>
  <c r="T213" i="20"/>
  <c r="T221" i="20"/>
  <c r="T229" i="20"/>
  <c r="T237" i="20"/>
  <c r="T245" i="20"/>
  <c r="T253" i="20"/>
  <c r="T261" i="20"/>
  <c r="T269" i="20"/>
  <c r="T277" i="20"/>
  <c r="T293" i="20"/>
  <c r="T54" i="20"/>
  <c r="T86" i="20"/>
  <c r="T126" i="20"/>
  <c r="T174" i="20"/>
  <c r="T214" i="20"/>
  <c r="T262" i="20"/>
  <c r="T15" i="20"/>
  <c r="T23" i="20"/>
  <c r="T31" i="20"/>
  <c r="T39" i="20"/>
  <c r="T47" i="20"/>
  <c r="T55" i="20"/>
  <c r="T63" i="20"/>
  <c r="T71" i="20"/>
  <c r="T79" i="20"/>
  <c r="T87" i="20"/>
  <c r="T95" i="20"/>
  <c r="T103" i="20"/>
  <c r="T111" i="20"/>
  <c r="T119" i="20"/>
  <c r="T127" i="20"/>
  <c r="T135" i="20"/>
  <c r="T143" i="20"/>
  <c r="T151" i="20"/>
  <c r="T159" i="20"/>
  <c r="T167" i="20"/>
  <c r="T175" i="20"/>
  <c r="T183" i="20"/>
  <c r="T191" i="20"/>
  <c r="T199" i="20"/>
  <c r="T207" i="20"/>
  <c r="T215" i="20"/>
  <c r="T223" i="20"/>
  <c r="T231" i="20"/>
  <c r="T239" i="20"/>
  <c r="T247" i="20"/>
  <c r="T255" i="20"/>
  <c r="T263" i="20"/>
  <c r="T271" i="20"/>
  <c r="T279" i="20"/>
  <c r="T287" i="20"/>
  <c r="T295" i="20"/>
  <c r="T278" i="20"/>
  <c r="U7" i="20"/>
  <c r="L14" i="22" s="1"/>
  <c r="N14" i="22" l="1"/>
  <c r="R14" i="22" s="1"/>
  <c r="O6" i="11"/>
  <c r="O7" i="11"/>
  <c r="O8" i="11"/>
  <c r="O9" i="11"/>
  <c r="O10" i="11"/>
  <c r="O11" i="11"/>
  <c r="O12" i="11"/>
  <c r="O13" i="11"/>
  <c r="O14" i="11"/>
  <c r="O15" i="11"/>
  <c r="O16" i="11"/>
  <c r="O17" i="11"/>
  <c r="O18" i="11"/>
  <c r="O19" i="11"/>
  <c r="O20" i="11"/>
  <c r="O21" i="11"/>
  <c r="O22" i="11"/>
  <c r="O23" i="11"/>
  <c r="O24" i="11"/>
  <c r="O25" i="11"/>
  <c r="O26" i="11"/>
  <c r="O27" i="11"/>
  <c r="O28" i="11"/>
  <c r="O29"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O63" i="11"/>
  <c r="O64" i="11"/>
  <c r="O65" i="11"/>
  <c r="O66" i="11"/>
  <c r="O67" i="11"/>
  <c r="O68" i="11"/>
  <c r="O69" i="11"/>
  <c r="O70" i="11"/>
  <c r="O71" i="11"/>
  <c r="O72" i="11"/>
  <c r="O73" i="11"/>
  <c r="O74" i="11"/>
  <c r="O75" i="11"/>
  <c r="O76" i="11"/>
  <c r="O77" i="11"/>
  <c r="O78" i="11"/>
  <c r="O79" i="11"/>
  <c r="O80" i="11"/>
  <c r="O81" i="11"/>
  <c r="O82" i="11"/>
  <c r="O83" i="11"/>
  <c r="O84" i="11"/>
  <c r="O85" i="11"/>
  <c r="O86" i="11"/>
  <c r="O87" i="11"/>
  <c r="O88" i="11"/>
  <c r="O89" i="11"/>
  <c r="O90" i="11"/>
  <c r="O91" i="11"/>
  <c r="O92" i="11"/>
  <c r="O93" i="11"/>
  <c r="O94" i="11"/>
  <c r="O95" i="11"/>
  <c r="O96" i="11"/>
  <c r="O97" i="11"/>
  <c r="O98" i="11"/>
  <c r="O99" i="11"/>
  <c r="O100" i="11"/>
  <c r="O101" i="11"/>
  <c r="O102" i="11"/>
  <c r="O103" i="11"/>
  <c r="O104" i="11"/>
  <c r="O105" i="11"/>
  <c r="O106" i="11"/>
  <c r="O107" i="11"/>
  <c r="O108" i="11"/>
  <c r="O109" i="11"/>
  <c r="O110" i="11"/>
  <c r="O111" i="11"/>
  <c r="O112" i="11"/>
  <c r="O113" i="11"/>
  <c r="O114" i="11"/>
  <c r="O115" i="11"/>
  <c r="O116" i="11"/>
  <c r="O117" i="11"/>
  <c r="O118" i="11"/>
  <c r="O119" i="11"/>
  <c r="O120" i="11"/>
  <c r="O121" i="11"/>
  <c r="O122" i="11"/>
  <c r="O123" i="11"/>
  <c r="O124" i="11"/>
  <c r="O125" i="11"/>
  <c r="O126" i="11"/>
  <c r="O127" i="11"/>
  <c r="O128" i="11"/>
  <c r="O129" i="11"/>
  <c r="O130" i="11"/>
  <c r="O131" i="11"/>
  <c r="O132" i="11"/>
  <c r="O133" i="11"/>
  <c r="O134" i="11"/>
  <c r="O135" i="11"/>
  <c r="O136" i="11"/>
  <c r="O137" i="11"/>
  <c r="O138" i="11"/>
  <c r="O139" i="11"/>
  <c r="O140" i="11"/>
  <c r="O141" i="11"/>
  <c r="O142" i="11"/>
  <c r="O143" i="11"/>
  <c r="O144" i="11"/>
  <c r="O145" i="11"/>
  <c r="O146" i="11"/>
  <c r="O147" i="11"/>
  <c r="O148" i="11"/>
  <c r="O149" i="11"/>
  <c r="O150" i="11"/>
  <c r="O151" i="11"/>
  <c r="O152" i="11"/>
  <c r="O153" i="11"/>
  <c r="O154" i="11"/>
  <c r="O155" i="11"/>
  <c r="O156" i="11"/>
  <c r="O157" i="11"/>
  <c r="O158" i="11"/>
  <c r="O159" i="11"/>
  <c r="O160" i="11"/>
  <c r="O162" i="11"/>
  <c r="O163" i="11"/>
  <c r="O164" i="11"/>
  <c r="O165" i="11"/>
  <c r="O166" i="11"/>
  <c r="O167" i="11"/>
  <c r="O168" i="11"/>
  <c r="O169" i="11"/>
  <c r="O170" i="11"/>
  <c r="O171" i="11"/>
  <c r="O172" i="11"/>
  <c r="O173" i="11"/>
  <c r="O174" i="11"/>
  <c r="O175" i="11"/>
  <c r="O176" i="11"/>
  <c r="O177" i="11"/>
  <c r="O178" i="11"/>
  <c r="O179" i="11"/>
  <c r="O180" i="11"/>
  <c r="O181" i="11"/>
  <c r="O182" i="11"/>
  <c r="O183" i="11"/>
  <c r="O184" i="11"/>
  <c r="O185" i="11"/>
  <c r="O186" i="11"/>
  <c r="O187" i="11"/>
  <c r="O188" i="11"/>
  <c r="O189" i="11"/>
  <c r="O190" i="11"/>
  <c r="O191" i="11"/>
  <c r="O192" i="11"/>
  <c r="O193" i="11"/>
  <c r="O194" i="11"/>
  <c r="O195" i="11"/>
  <c r="O196" i="11"/>
  <c r="O197" i="11"/>
  <c r="O198" i="11"/>
  <c r="O199" i="11"/>
  <c r="O200" i="11"/>
  <c r="O201" i="11"/>
  <c r="O202" i="11"/>
  <c r="O203" i="11"/>
  <c r="O204" i="11"/>
  <c r="O205" i="11"/>
  <c r="O206" i="11"/>
  <c r="O207" i="11"/>
  <c r="O208" i="11"/>
  <c r="O209" i="11"/>
  <c r="O210" i="11"/>
  <c r="O211" i="11"/>
  <c r="O212" i="11"/>
  <c r="O213" i="11"/>
  <c r="O214" i="11"/>
  <c r="O215" i="11"/>
  <c r="O216" i="11"/>
  <c r="O217" i="11"/>
  <c r="O218" i="11"/>
  <c r="O219" i="11"/>
  <c r="O220" i="11"/>
  <c r="O221" i="11"/>
  <c r="O222" i="11"/>
  <c r="O223" i="11"/>
  <c r="O224" i="11"/>
  <c r="O225" i="11"/>
  <c r="O226" i="11"/>
  <c r="O227" i="11"/>
  <c r="O228" i="11"/>
  <c r="O229" i="11"/>
  <c r="O230" i="11"/>
  <c r="O231" i="11"/>
  <c r="O232" i="11"/>
  <c r="O233" i="11"/>
  <c r="O234" i="11"/>
  <c r="O235" i="11"/>
  <c r="O236" i="11"/>
  <c r="O237" i="11"/>
  <c r="O238" i="11"/>
  <c r="O239" i="11"/>
  <c r="O240" i="11"/>
  <c r="O241" i="11"/>
  <c r="O242" i="11"/>
  <c r="O243" i="11"/>
  <c r="O244" i="11"/>
  <c r="O245" i="11"/>
  <c r="O246" i="11"/>
  <c r="O247" i="11"/>
  <c r="O248" i="11"/>
  <c r="O249" i="11"/>
  <c r="O250" i="11"/>
  <c r="O251" i="11"/>
  <c r="O252" i="11"/>
  <c r="O253" i="11"/>
  <c r="O254" i="11"/>
  <c r="O255" i="11"/>
  <c r="O256" i="11"/>
  <c r="O257" i="11"/>
  <c r="O258" i="11"/>
  <c r="O259" i="11"/>
  <c r="O260" i="11"/>
  <c r="O261" i="11"/>
  <c r="O262" i="11"/>
  <c r="O263" i="11"/>
  <c r="O264" i="11"/>
  <c r="O265" i="11"/>
  <c r="O266" i="11"/>
  <c r="O267" i="11"/>
  <c r="O268" i="11"/>
  <c r="O269" i="11"/>
  <c r="O270" i="11"/>
  <c r="O271" i="11"/>
  <c r="O272" i="11"/>
  <c r="O273" i="11"/>
  <c r="O274" i="11"/>
  <c r="O275" i="11"/>
  <c r="O276" i="11"/>
  <c r="O277" i="11"/>
  <c r="O278" i="11"/>
  <c r="O279" i="11"/>
  <c r="O280" i="11"/>
  <c r="O281" i="11"/>
  <c r="O282" i="11"/>
  <c r="O283" i="11"/>
  <c r="O284" i="11"/>
  <c r="O285" i="11"/>
  <c r="O286" i="11"/>
  <c r="O287" i="11"/>
  <c r="O288" i="11"/>
  <c r="O289" i="11"/>
  <c r="O290" i="11"/>
  <c r="O291" i="11"/>
  <c r="O292" i="11"/>
  <c r="O293" i="11"/>
  <c r="O294" i="11"/>
  <c r="O295" i="11"/>
  <c r="O296" i="11"/>
  <c r="O5" i="11"/>
  <c r="E13" i="22" l="1"/>
  <c r="D13" i="22"/>
  <c r="C13" i="22"/>
  <c r="L6" i="20"/>
  <c r="K6" i="20"/>
  <c r="J6" i="20"/>
  <c r="I6" i="20"/>
  <c r="H6" i="20"/>
  <c r="G6" i="20"/>
  <c r="E6" i="20"/>
  <c r="D6" i="20"/>
  <c r="C6" i="20"/>
  <c r="O6" i="20" l="1"/>
  <c r="P6" i="20" l="1"/>
  <c r="U235" i="20" s="1"/>
  <c r="L242" i="22" s="1"/>
  <c r="N242" i="22" s="1"/>
  <c r="R242" i="22" s="1"/>
  <c r="U26" i="20" l="1"/>
  <c r="L33" i="22" s="1"/>
  <c r="N33" i="22" s="1"/>
  <c r="R33" i="22" s="1"/>
  <c r="U95" i="20"/>
  <c r="L102" i="22" s="1"/>
  <c r="N102" i="22" s="1"/>
  <c r="R102" i="22" s="1"/>
  <c r="U101" i="20"/>
  <c r="L108" i="22" s="1"/>
  <c r="N108" i="22" s="1"/>
  <c r="R108" i="22" s="1"/>
  <c r="U132" i="20"/>
  <c r="L139" i="22" s="1"/>
  <c r="N139" i="22" s="1"/>
  <c r="R139" i="22" s="1"/>
  <c r="U28" i="20"/>
  <c r="L35" i="22" s="1"/>
  <c r="N35" i="22" s="1"/>
  <c r="R35" i="22" s="1"/>
  <c r="U108" i="20"/>
  <c r="L115" i="22" s="1"/>
  <c r="U9" i="20"/>
  <c r="L16" i="22" s="1"/>
  <c r="N16" i="22" s="1"/>
  <c r="R16" i="22" s="1"/>
  <c r="U17" i="20"/>
  <c r="L24" i="22" s="1"/>
  <c r="N24" i="22" s="1"/>
  <c r="R24" i="22" s="1"/>
  <c r="U213" i="20"/>
  <c r="L220" i="22" s="1"/>
  <c r="N220" i="22" s="1"/>
  <c r="R220" i="22" s="1"/>
  <c r="U80" i="20"/>
  <c r="L87" i="22" s="1"/>
  <c r="N87" i="22" s="1"/>
  <c r="R87" i="22" s="1"/>
  <c r="U65" i="20"/>
  <c r="L72" i="22" s="1"/>
  <c r="N72" i="22" s="1"/>
  <c r="R72" i="22" s="1"/>
  <c r="U57" i="20"/>
  <c r="L64" i="22" s="1"/>
  <c r="N64" i="22" s="1"/>
  <c r="R64" i="22" s="1"/>
  <c r="U31" i="20"/>
  <c r="L38" i="22" s="1"/>
  <c r="N38" i="22" s="1"/>
  <c r="R38" i="22" s="1"/>
  <c r="U158" i="20"/>
  <c r="L165" i="22" s="1"/>
  <c r="N165" i="22" s="1"/>
  <c r="R165" i="22" s="1"/>
  <c r="U160" i="20"/>
  <c r="L167" i="22" s="1"/>
  <c r="U61" i="20"/>
  <c r="L68" i="22" s="1"/>
  <c r="N68" i="22" s="1"/>
  <c r="R68" i="22" s="1"/>
  <c r="U156" i="20"/>
  <c r="L163" i="22" s="1"/>
  <c r="N163" i="22" s="1"/>
  <c r="R163" i="22" s="1"/>
  <c r="U104" i="20"/>
  <c r="L111" i="22" s="1"/>
  <c r="N111" i="22" s="1"/>
  <c r="R111" i="22" s="1"/>
  <c r="U39" i="20"/>
  <c r="L46" i="22" s="1"/>
  <c r="N46" i="22" s="1"/>
  <c r="R46" i="22" s="1"/>
  <c r="U277" i="20"/>
  <c r="L284" i="22" s="1"/>
  <c r="N284" i="22" s="1"/>
  <c r="R284" i="22" s="1"/>
  <c r="U47" i="20"/>
  <c r="L54" i="22" s="1"/>
  <c r="N54" i="22" s="1"/>
  <c r="R54" i="22" s="1"/>
  <c r="U168" i="20"/>
  <c r="L175" i="22" s="1"/>
  <c r="N175" i="22" s="1"/>
  <c r="R175" i="22" s="1"/>
  <c r="U12" i="20"/>
  <c r="L19" i="22" s="1"/>
  <c r="U10" i="20"/>
  <c r="L17" i="22" s="1"/>
  <c r="N17" i="22" s="1"/>
  <c r="R17" i="22" s="1"/>
  <c r="U138" i="20"/>
  <c r="L145" i="22" s="1"/>
  <c r="U38" i="20"/>
  <c r="L45" i="22" s="1"/>
  <c r="N45" i="22" s="1"/>
  <c r="R45" i="22" s="1"/>
  <c r="U146" i="20"/>
  <c r="L153" i="22" s="1"/>
  <c r="N153" i="22" s="1"/>
  <c r="R153" i="22" s="1"/>
  <c r="U13" i="20"/>
  <c r="L20" i="22" s="1"/>
  <c r="N20" i="22" s="1"/>
  <c r="R20" i="22" s="1"/>
  <c r="U44" i="20"/>
  <c r="L51" i="22" s="1"/>
  <c r="N51" i="22" s="1"/>
  <c r="R51" i="22" s="1"/>
  <c r="U46" i="20"/>
  <c r="L53" i="22" s="1"/>
  <c r="N53" i="22" s="1"/>
  <c r="R53" i="22" s="1"/>
  <c r="U8" i="20"/>
  <c r="L15" i="22" s="1"/>
  <c r="U170" i="20"/>
  <c r="L177" i="22" s="1"/>
  <c r="N177" i="22" s="1"/>
  <c r="R177" i="22" s="1"/>
  <c r="U36" i="20"/>
  <c r="L43" i="22" s="1"/>
  <c r="N43" i="22" s="1"/>
  <c r="R43" i="22" s="1"/>
  <c r="U93" i="20"/>
  <c r="L100" i="22" s="1"/>
  <c r="N100" i="22" s="1"/>
  <c r="R100" i="22" s="1"/>
  <c r="U15" i="20"/>
  <c r="L22" i="22" s="1"/>
  <c r="N22" i="22" s="1"/>
  <c r="R22" i="22" s="1"/>
  <c r="U52" i="20"/>
  <c r="L59" i="22" s="1"/>
  <c r="N59" i="22" s="1"/>
  <c r="R59" i="22" s="1"/>
  <c r="U173" i="20"/>
  <c r="L180" i="22" s="1"/>
  <c r="N180" i="22" s="1"/>
  <c r="R180" i="22" s="1"/>
  <c r="U285" i="20"/>
  <c r="L292" i="22" s="1"/>
  <c r="N292" i="22" s="1"/>
  <c r="R292" i="22" s="1"/>
  <c r="U274" i="20"/>
  <c r="L281" i="22" s="1"/>
  <c r="N281" i="22" s="1"/>
  <c r="R281" i="22" s="1"/>
  <c r="U182" i="20"/>
  <c r="L189" i="22" s="1"/>
  <c r="N189" i="22" s="1"/>
  <c r="R189" i="22" s="1"/>
  <c r="U18" i="20"/>
  <c r="L25" i="22" s="1"/>
  <c r="N25" i="22" s="1"/>
  <c r="R25" i="22" s="1"/>
  <c r="U16" i="20"/>
  <c r="L23" i="22" s="1"/>
  <c r="N23" i="22" s="1"/>
  <c r="R23" i="22" s="1"/>
  <c r="U141" i="20"/>
  <c r="L148" i="22" s="1"/>
  <c r="N148" i="22" s="1"/>
  <c r="R148" i="22" s="1"/>
  <c r="U127" i="20"/>
  <c r="L134" i="22" s="1"/>
  <c r="N134" i="22" s="1"/>
  <c r="R134" i="22" s="1"/>
  <c r="U72" i="20"/>
  <c r="L79" i="22" s="1"/>
  <c r="N79" i="22" s="1"/>
  <c r="R79" i="22" s="1"/>
  <c r="U58" i="20"/>
  <c r="L65" i="22" s="1"/>
  <c r="N65" i="22" s="1"/>
  <c r="R65" i="22" s="1"/>
  <c r="U224" i="20"/>
  <c r="L231" i="22" s="1"/>
  <c r="U103" i="20"/>
  <c r="L110" i="22" s="1"/>
  <c r="N110" i="22" s="1"/>
  <c r="R110" i="22" s="1"/>
  <c r="U63" i="20"/>
  <c r="L70" i="22" s="1"/>
  <c r="N70" i="22" s="1"/>
  <c r="R70" i="22" s="1"/>
  <c r="U205" i="20"/>
  <c r="L212" i="22" s="1"/>
  <c r="N212" i="22" s="1"/>
  <c r="R212" i="22" s="1"/>
  <c r="U11" i="20"/>
  <c r="L18" i="22" s="1"/>
  <c r="N18" i="22" s="1"/>
  <c r="R18" i="22" s="1"/>
  <c r="U71" i="20"/>
  <c r="L78" i="22" s="1"/>
  <c r="N78" i="22" s="1"/>
  <c r="R78" i="22" s="1"/>
  <c r="U232" i="20"/>
  <c r="L239" i="22" s="1"/>
  <c r="N239" i="22" s="1"/>
  <c r="R239" i="22" s="1"/>
  <c r="U117" i="20"/>
  <c r="L124" i="22" s="1"/>
  <c r="N124" i="22" s="1"/>
  <c r="R124" i="22" s="1"/>
  <c r="U34" i="20"/>
  <c r="L41" i="22" s="1"/>
  <c r="N41" i="22" s="1"/>
  <c r="R41" i="22" s="1"/>
  <c r="U14" i="20"/>
  <c r="L21" i="22" s="1"/>
  <c r="N21" i="22" s="1"/>
  <c r="R21" i="22" s="1"/>
  <c r="U19" i="20"/>
  <c r="L26" i="22" s="1"/>
  <c r="N26" i="22" s="1"/>
  <c r="R26" i="22" s="1"/>
  <c r="U197" i="20"/>
  <c r="L204" i="22" s="1"/>
  <c r="N204" i="22" s="1"/>
  <c r="R204" i="22" s="1"/>
  <c r="U130" i="20"/>
  <c r="L137" i="22" s="1"/>
  <c r="N137" i="22" s="1"/>
  <c r="R137" i="22" s="1"/>
  <c r="U295" i="20"/>
  <c r="L302" i="22" s="1"/>
  <c r="N302" i="22" s="1"/>
  <c r="R302" i="22" s="1"/>
  <c r="U115" i="20"/>
  <c r="L122" i="22" s="1"/>
  <c r="N122" i="22" s="1"/>
  <c r="R122" i="22" s="1"/>
  <c r="U155" i="20"/>
  <c r="L162" i="22" s="1"/>
  <c r="N162" i="22" s="1"/>
  <c r="R162" i="22" s="1"/>
  <c r="U240" i="20"/>
  <c r="L247" i="22" s="1"/>
  <c r="N247" i="22" s="1"/>
  <c r="R247" i="22" s="1"/>
  <c r="U178" i="20"/>
  <c r="L185" i="22" s="1"/>
  <c r="N185" i="22" s="1"/>
  <c r="R185" i="22" s="1"/>
  <c r="U199" i="20"/>
  <c r="L206" i="22" s="1"/>
  <c r="N206" i="22" s="1"/>
  <c r="R206" i="22" s="1"/>
  <c r="U292" i="20"/>
  <c r="L299" i="22" s="1"/>
  <c r="N299" i="22" s="1"/>
  <c r="R299" i="22" s="1"/>
  <c r="U187" i="20"/>
  <c r="L194" i="22" s="1"/>
  <c r="N194" i="22" s="1"/>
  <c r="R194" i="22" s="1"/>
  <c r="U136" i="20"/>
  <c r="L143" i="22" s="1"/>
  <c r="N143" i="22" s="1"/>
  <c r="R143" i="22" s="1"/>
  <c r="U207" i="20"/>
  <c r="L214" i="22" s="1"/>
  <c r="N214" i="22" s="1"/>
  <c r="R214" i="22" s="1"/>
  <c r="U53" i="20"/>
  <c r="L60" i="22" s="1"/>
  <c r="N60" i="22" s="1"/>
  <c r="R60" i="22" s="1"/>
  <c r="U85" i="20"/>
  <c r="L92" i="22" s="1"/>
  <c r="N92" i="22" s="1"/>
  <c r="R92" i="22" s="1"/>
  <c r="U54" i="20"/>
  <c r="L61" i="22" s="1"/>
  <c r="N61" i="22" s="1"/>
  <c r="R61" i="22" s="1"/>
  <c r="U51" i="20"/>
  <c r="L58" i="22" s="1"/>
  <c r="N58" i="22" s="1"/>
  <c r="R58" i="22" s="1"/>
  <c r="U56" i="20"/>
  <c r="L63" i="22" s="1"/>
  <c r="N63" i="22" s="1"/>
  <c r="R63" i="22" s="1"/>
  <c r="U144" i="20"/>
  <c r="L151" i="22" s="1"/>
  <c r="N151" i="22" s="1"/>
  <c r="R151" i="22" s="1"/>
  <c r="U288" i="20"/>
  <c r="L295" i="22" s="1"/>
  <c r="N295" i="22" s="1"/>
  <c r="R295" i="22" s="1"/>
  <c r="U258" i="20"/>
  <c r="L265" i="22" s="1"/>
  <c r="N265" i="22" s="1"/>
  <c r="R265" i="22" s="1"/>
  <c r="U215" i="20"/>
  <c r="L222" i="22" s="1"/>
  <c r="N222" i="22" s="1"/>
  <c r="R222" i="22" s="1"/>
  <c r="U97" i="20"/>
  <c r="L104" i="22" s="1"/>
  <c r="N104" i="22" s="1"/>
  <c r="R104" i="22" s="1"/>
  <c r="U280" i="20"/>
  <c r="L287" i="22" s="1"/>
  <c r="N287" i="22" s="1"/>
  <c r="R287" i="22" s="1"/>
  <c r="U186" i="20"/>
  <c r="L193" i="22" s="1"/>
  <c r="N193" i="22" s="1"/>
  <c r="R193" i="22" s="1"/>
  <c r="U73" i="20"/>
  <c r="L80" i="22" s="1"/>
  <c r="N80" i="22" s="1"/>
  <c r="R80" i="22" s="1"/>
  <c r="U45" i="20"/>
  <c r="L52" i="22" s="1"/>
  <c r="N52" i="22" s="1"/>
  <c r="R52" i="22" s="1"/>
  <c r="U133" i="20"/>
  <c r="L140" i="22" s="1"/>
  <c r="N140" i="22" s="1"/>
  <c r="R140" i="22" s="1"/>
  <c r="U221" i="20"/>
  <c r="L228" i="22" s="1"/>
  <c r="N228" i="22" s="1"/>
  <c r="R228" i="22" s="1"/>
  <c r="U269" i="20"/>
  <c r="L276" i="22" s="1"/>
  <c r="N276" i="22" s="1"/>
  <c r="R276" i="22" s="1"/>
  <c r="U181" i="20"/>
  <c r="L188" i="22" s="1"/>
  <c r="N188" i="22" s="1"/>
  <c r="R188" i="22" s="1"/>
  <c r="U229" i="20"/>
  <c r="L236" i="22" s="1"/>
  <c r="N236" i="22" s="1"/>
  <c r="R236" i="22" s="1"/>
  <c r="U62" i="20"/>
  <c r="L69" i="22" s="1"/>
  <c r="N69" i="22" s="1"/>
  <c r="R69" i="22" s="1"/>
  <c r="U59" i="20"/>
  <c r="L66" i="22" s="1"/>
  <c r="N66" i="22" s="1"/>
  <c r="R66" i="22" s="1"/>
  <c r="U64" i="20"/>
  <c r="L71" i="22" s="1"/>
  <c r="N71" i="22" s="1"/>
  <c r="R71" i="22" s="1"/>
  <c r="U152" i="20"/>
  <c r="L159" i="22" s="1"/>
  <c r="N159" i="22" s="1"/>
  <c r="R159" i="22" s="1"/>
  <c r="U296" i="20"/>
  <c r="L303" i="22" s="1"/>
  <c r="N303" i="22" s="1"/>
  <c r="R303" i="22" s="1"/>
  <c r="U266" i="20"/>
  <c r="L273" i="22" s="1"/>
  <c r="N273" i="22" s="1"/>
  <c r="R273" i="22" s="1"/>
  <c r="U255" i="20"/>
  <c r="L262" i="22" s="1"/>
  <c r="N262" i="22" s="1"/>
  <c r="R262" i="22" s="1"/>
  <c r="U129" i="20"/>
  <c r="L136" i="22" s="1"/>
  <c r="N136" i="22" s="1"/>
  <c r="R136" i="22" s="1"/>
  <c r="U67" i="20"/>
  <c r="L74" i="22" s="1"/>
  <c r="N74" i="22" s="1"/>
  <c r="R74" i="22" s="1"/>
  <c r="U40" i="20"/>
  <c r="L47" i="22" s="1"/>
  <c r="N47" i="22" s="1"/>
  <c r="R47" i="22" s="1"/>
  <c r="U88" i="20"/>
  <c r="L95" i="22" s="1"/>
  <c r="N95" i="22" s="1"/>
  <c r="R95" i="22" s="1"/>
  <c r="U192" i="20"/>
  <c r="L199" i="22" s="1"/>
  <c r="N199" i="22" s="1"/>
  <c r="R199" i="22" s="1"/>
  <c r="U74" i="20"/>
  <c r="L81" i="22" s="1"/>
  <c r="N81" i="22" s="1"/>
  <c r="R81" i="22" s="1"/>
  <c r="U242" i="20"/>
  <c r="L249" i="22" s="1"/>
  <c r="N249" i="22" s="1"/>
  <c r="R249" i="22" s="1"/>
  <c r="U135" i="20"/>
  <c r="L142" i="22" s="1"/>
  <c r="N142" i="22" s="1"/>
  <c r="R142" i="22" s="1"/>
  <c r="U116" i="20"/>
  <c r="L123" i="22" s="1"/>
  <c r="N123" i="22" s="1"/>
  <c r="R123" i="22" s="1"/>
  <c r="U281" i="20"/>
  <c r="L288" i="22" s="1"/>
  <c r="N288" i="22" s="1"/>
  <c r="R288" i="22" s="1"/>
  <c r="U261" i="20"/>
  <c r="L268" i="22" s="1"/>
  <c r="N268" i="22" s="1"/>
  <c r="R268" i="22" s="1"/>
  <c r="U60" i="20"/>
  <c r="L67" i="22" s="1"/>
  <c r="U49" i="20"/>
  <c r="L56" i="22" s="1"/>
  <c r="N56" i="22" s="1"/>
  <c r="R56" i="22" s="1"/>
  <c r="U189" i="20"/>
  <c r="L196" i="22" s="1"/>
  <c r="N196" i="22" s="1"/>
  <c r="R196" i="22" s="1"/>
  <c r="U149" i="20"/>
  <c r="L156" i="22" s="1"/>
  <c r="N156" i="22" s="1"/>
  <c r="R156" i="22" s="1"/>
  <c r="U165" i="20"/>
  <c r="L172" i="22" s="1"/>
  <c r="N172" i="22" s="1"/>
  <c r="R172" i="22" s="1"/>
  <c r="U48" i="20"/>
  <c r="L55" i="22" s="1"/>
  <c r="U96" i="20"/>
  <c r="L103" i="22" s="1"/>
  <c r="N103" i="22" s="1"/>
  <c r="R103" i="22" s="1"/>
  <c r="U208" i="20"/>
  <c r="L215" i="22" s="1"/>
  <c r="N215" i="22" s="1"/>
  <c r="R215" i="22" s="1"/>
  <c r="U106" i="20"/>
  <c r="L113" i="22" s="1"/>
  <c r="N113" i="22" s="1"/>
  <c r="R113" i="22" s="1"/>
  <c r="U250" i="20"/>
  <c r="L257" i="22" s="1"/>
  <c r="N257" i="22" s="1"/>
  <c r="R257" i="22" s="1"/>
  <c r="U159" i="20"/>
  <c r="L166" i="22" s="1"/>
  <c r="N166" i="22" s="1"/>
  <c r="R166" i="22" s="1"/>
  <c r="U124" i="20"/>
  <c r="L131" i="22" s="1"/>
  <c r="N131" i="22" s="1"/>
  <c r="R131" i="22" s="1"/>
  <c r="U94" i="20"/>
  <c r="L101" i="22" s="1"/>
  <c r="N101" i="22" s="1"/>
  <c r="R101" i="22" s="1"/>
  <c r="U195" i="20"/>
  <c r="L202" i="22" s="1"/>
  <c r="N202" i="22" s="1"/>
  <c r="R202" i="22" s="1"/>
  <c r="U193" i="20"/>
  <c r="L200" i="22" s="1"/>
  <c r="N200" i="22" s="1"/>
  <c r="R200" i="22" s="1"/>
  <c r="U230" i="20"/>
  <c r="L237" i="22" s="1"/>
  <c r="N237" i="22" s="1"/>
  <c r="R237" i="22" s="1"/>
  <c r="U299" i="20"/>
  <c r="L306" i="22" s="1"/>
  <c r="N306" i="22" s="1"/>
  <c r="R306" i="22" s="1"/>
  <c r="U217" i="20"/>
  <c r="L224" i="22" s="1"/>
  <c r="N224" i="22" s="1"/>
  <c r="R224" i="22" s="1"/>
  <c r="U238" i="20"/>
  <c r="L245" i="22" s="1"/>
  <c r="N245" i="22" s="1"/>
  <c r="R245" i="22" s="1"/>
  <c r="U23" i="20"/>
  <c r="L30" i="22" s="1"/>
  <c r="N30" i="22" s="1"/>
  <c r="R30" i="22" s="1"/>
  <c r="U237" i="20"/>
  <c r="L244" i="22" s="1"/>
  <c r="U68" i="20"/>
  <c r="L75" i="22" s="1"/>
  <c r="N75" i="22" s="1"/>
  <c r="R75" i="22" s="1"/>
  <c r="U41" i="20"/>
  <c r="L48" i="22" s="1"/>
  <c r="N48" i="22" s="1"/>
  <c r="R48" i="22" s="1"/>
  <c r="U42" i="20"/>
  <c r="L49" i="22" s="1"/>
  <c r="N49" i="22" s="1"/>
  <c r="R49" i="22" s="1"/>
  <c r="U109" i="20"/>
  <c r="L116" i="22" s="1"/>
  <c r="N116" i="22" s="1"/>
  <c r="R116" i="22" s="1"/>
  <c r="U43" i="20"/>
  <c r="L50" i="22" s="1"/>
  <c r="N50" i="22" s="1"/>
  <c r="R50" i="22" s="1"/>
  <c r="U50" i="20"/>
  <c r="L57" i="22" s="1"/>
  <c r="N57" i="22" s="1"/>
  <c r="R57" i="22" s="1"/>
  <c r="U69" i="20"/>
  <c r="L76" i="22" s="1"/>
  <c r="N76" i="22" s="1"/>
  <c r="R76" i="22" s="1"/>
  <c r="U128" i="20"/>
  <c r="L135" i="22" s="1"/>
  <c r="N135" i="22" s="1"/>
  <c r="R135" i="22" s="1"/>
  <c r="U216" i="20"/>
  <c r="L223" i="22" s="1"/>
  <c r="N223" i="22" s="1"/>
  <c r="R223" i="22" s="1"/>
  <c r="U82" i="20"/>
  <c r="L89" i="22" s="1"/>
  <c r="N89" i="22" s="1"/>
  <c r="R89" i="22" s="1"/>
  <c r="U210" i="20"/>
  <c r="L217" i="22" s="1"/>
  <c r="N217" i="22" s="1"/>
  <c r="R217" i="22" s="1"/>
  <c r="U111" i="20"/>
  <c r="L118" i="22" s="1"/>
  <c r="N118" i="22" s="1"/>
  <c r="R118" i="22" s="1"/>
  <c r="U263" i="20"/>
  <c r="L270" i="22" s="1"/>
  <c r="N270" i="22" s="1"/>
  <c r="R270" i="22" s="1"/>
  <c r="U220" i="20"/>
  <c r="L227" i="22" s="1"/>
  <c r="N227" i="22" s="1"/>
  <c r="R227" i="22" s="1"/>
  <c r="U265" i="20"/>
  <c r="L272" i="22" s="1"/>
  <c r="N272" i="22" s="1"/>
  <c r="R272" i="22" s="1"/>
  <c r="U246" i="20"/>
  <c r="L253" i="22" s="1"/>
  <c r="N253" i="22" s="1"/>
  <c r="R253" i="22" s="1"/>
  <c r="U271" i="20"/>
  <c r="L278" i="22" s="1"/>
  <c r="N278" i="22" s="1"/>
  <c r="R278" i="22" s="1"/>
  <c r="U260" i="20"/>
  <c r="L267" i="22" s="1"/>
  <c r="N267" i="22" s="1"/>
  <c r="R267" i="22" s="1"/>
  <c r="U273" i="20"/>
  <c r="L280" i="22" s="1"/>
  <c r="N280" i="22" s="1"/>
  <c r="R280" i="22" s="1"/>
  <c r="U278" i="20"/>
  <c r="L285" i="22" s="1"/>
  <c r="N285" i="22" s="1"/>
  <c r="R285" i="22" s="1"/>
  <c r="U25" i="20"/>
  <c r="L32" i="22" s="1"/>
  <c r="N32" i="22" s="1"/>
  <c r="R32" i="22" s="1"/>
  <c r="U253" i="20"/>
  <c r="L260" i="22" s="1"/>
  <c r="U22" i="20"/>
  <c r="L29" i="22" s="1"/>
  <c r="N29" i="22" s="1"/>
  <c r="R29" i="22" s="1"/>
  <c r="U21" i="20"/>
  <c r="L28" i="22" s="1"/>
  <c r="N28" i="22" s="1"/>
  <c r="R28" i="22" s="1"/>
  <c r="U27" i="20"/>
  <c r="L34" i="22" s="1"/>
  <c r="N34" i="22" s="1"/>
  <c r="R34" i="22" s="1"/>
  <c r="U245" i="20"/>
  <c r="L252" i="22" s="1"/>
  <c r="N252" i="22" s="1"/>
  <c r="R252" i="22" s="1"/>
  <c r="U24" i="20"/>
  <c r="L31" i="22" s="1"/>
  <c r="N31" i="22" s="1"/>
  <c r="R31" i="22" s="1"/>
  <c r="U125" i="20"/>
  <c r="L132" i="22" s="1"/>
  <c r="N132" i="22" s="1"/>
  <c r="R132" i="22" s="1"/>
  <c r="U112" i="20"/>
  <c r="L119" i="22" s="1"/>
  <c r="N119" i="22" s="1"/>
  <c r="R119" i="22" s="1"/>
  <c r="U176" i="20"/>
  <c r="L183" i="22" s="1"/>
  <c r="N183" i="22" s="1"/>
  <c r="R183" i="22" s="1"/>
  <c r="U248" i="20"/>
  <c r="L255" i="22" s="1"/>
  <c r="N255" i="22" s="1"/>
  <c r="R255" i="22" s="1"/>
  <c r="U114" i="20"/>
  <c r="L121" i="22" s="1"/>
  <c r="N121" i="22" s="1"/>
  <c r="R121" i="22" s="1"/>
  <c r="U194" i="20"/>
  <c r="L201" i="22" s="1"/>
  <c r="N201" i="22" s="1"/>
  <c r="R201" i="22" s="1"/>
  <c r="U290" i="20"/>
  <c r="L297" i="22" s="1"/>
  <c r="N297" i="22" s="1"/>
  <c r="R297" i="22" s="1"/>
  <c r="U175" i="20"/>
  <c r="L182" i="22" s="1"/>
  <c r="N182" i="22" s="1"/>
  <c r="R182" i="22" s="1"/>
  <c r="U279" i="20"/>
  <c r="L286" i="22" s="1"/>
  <c r="N286" i="22" s="1"/>
  <c r="R286" i="22" s="1"/>
  <c r="U196" i="20"/>
  <c r="L203" i="22" s="1"/>
  <c r="N203" i="22" s="1"/>
  <c r="R203" i="22" s="1"/>
  <c r="U169" i="20"/>
  <c r="L176" i="22" s="1"/>
  <c r="N176" i="22" s="1"/>
  <c r="R176" i="22" s="1"/>
  <c r="U118" i="20"/>
  <c r="L125" i="22" s="1"/>
  <c r="N125" i="22" s="1"/>
  <c r="R125" i="22" s="1"/>
  <c r="U91" i="20"/>
  <c r="L98" i="22" s="1"/>
  <c r="U66" i="20"/>
  <c r="L73" i="22" s="1"/>
  <c r="N73" i="22" s="1"/>
  <c r="R73" i="22" s="1"/>
  <c r="U55" i="20"/>
  <c r="L62" i="22" s="1"/>
  <c r="N62" i="22" s="1"/>
  <c r="R62" i="22" s="1"/>
  <c r="U20" i="20"/>
  <c r="L27" i="22" s="1"/>
  <c r="N27" i="22" s="1"/>
  <c r="R27" i="22" s="1"/>
  <c r="U77" i="20"/>
  <c r="L84" i="22" s="1"/>
  <c r="N84" i="22" s="1"/>
  <c r="R84" i="22" s="1"/>
  <c r="U33" i="20"/>
  <c r="L40" i="22" s="1"/>
  <c r="N40" i="22" s="1"/>
  <c r="R40" i="22" s="1"/>
  <c r="U29" i="20"/>
  <c r="L36" i="22" s="1"/>
  <c r="N36" i="22" s="1"/>
  <c r="R36" i="22" s="1"/>
  <c r="U30" i="20"/>
  <c r="L37" i="22" s="1"/>
  <c r="N37" i="22" s="1"/>
  <c r="R37" i="22" s="1"/>
  <c r="U37" i="20"/>
  <c r="L44" i="22" s="1"/>
  <c r="N44" i="22" s="1"/>
  <c r="R44" i="22" s="1"/>
  <c r="U35" i="20"/>
  <c r="L42" i="22" s="1"/>
  <c r="N42" i="22" s="1"/>
  <c r="R42" i="22" s="1"/>
  <c r="U293" i="20"/>
  <c r="L300" i="22" s="1"/>
  <c r="N300" i="22" s="1"/>
  <c r="R300" i="22" s="1"/>
  <c r="U32" i="20"/>
  <c r="L39" i="22" s="1"/>
  <c r="N39" i="22" s="1"/>
  <c r="R39" i="22" s="1"/>
  <c r="U157" i="20"/>
  <c r="L164" i="22" s="1"/>
  <c r="U120" i="20"/>
  <c r="L127" i="22" s="1"/>
  <c r="N127" i="22" s="1"/>
  <c r="R127" i="22" s="1"/>
  <c r="U184" i="20"/>
  <c r="L191" i="22" s="1"/>
  <c r="N191" i="22" s="1"/>
  <c r="R191" i="22" s="1"/>
  <c r="U272" i="20"/>
  <c r="L279" i="22" s="1"/>
  <c r="N279" i="22" s="1"/>
  <c r="R279" i="22" s="1"/>
  <c r="U122" i="20"/>
  <c r="L129" i="22" s="1"/>
  <c r="N129" i="22" s="1"/>
  <c r="R129" i="22" s="1"/>
  <c r="U202" i="20"/>
  <c r="L209" i="22" s="1"/>
  <c r="N209" i="22" s="1"/>
  <c r="R209" i="22" s="1"/>
  <c r="U87" i="20"/>
  <c r="L94" i="22" s="1"/>
  <c r="N94" i="22" s="1"/>
  <c r="R94" i="22" s="1"/>
  <c r="U191" i="20"/>
  <c r="L198" i="22" s="1"/>
  <c r="N198" i="22" s="1"/>
  <c r="R198" i="22" s="1"/>
  <c r="U287" i="20"/>
  <c r="L294" i="22" s="1"/>
  <c r="N294" i="22" s="1"/>
  <c r="R294" i="22" s="1"/>
  <c r="U204" i="20"/>
  <c r="L211" i="22" s="1"/>
  <c r="N211" i="22" s="1"/>
  <c r="R211" i="22" s="1"/>
  <c r="U185" i="20"/>
  <c r="L192" i="22" s="1"/>
  <c r="N192" i="22" s="1"/>
  <c r="U126" i="20"/>
  <c r="L133" i="22" s="1"/>
  <c r="N133" i="22" s="1"/>
  <c r="R133" i="22" s="1"/>
  <c r="U107" i="20"/>
  <c r="L114" i="22" s="1"/>
  <c r="N114" i="22" s="1"/>
  <c r="R114" i="22" s="1"/>
  <c r="U228" i="20"/>
  <c r="L235" i="22" s="1"/>
  <c r="N235" i="22" s="1"/>
  <c r="R235" i="22" s="1"/>
  <c r="U105" i="20"/>
  <c r="L112" i="22" s="1"/>
  <c r="N112" i="22" s="1"/>
  <c r="R112" i="22" s="1"/>
  <c r="U201" i="20"/>
  <c r="L208" i="22" s="1"/>
  <c r="N208" i="22" s="1"/>
  <c r="R208" i="22" s="1"/>
  <c r="U289" i="20"/>
  <c r="L296" i="22" s="1"/>
  <c r="N296" i="22" s="1"/>
  <c r="R296" i="22" s="1"/>
  <c r="U166" i="20"/>
  <c r="L173" i="22" s="1"/>
  <c r="N173" i="22" s="1"/>
  <c r="R173" i="22" s="1"/>
  <c r="U254" i="20"/>
  <c r="L261" i="22" s="1"/>
  <c r="N261" i="22" s="1"/>
  <c r="R261" i="22" s="1"/>
  <c r="U123" i="20"/>
  <c r="L130" i="22" s="1"/>
  <c r="N130" i="22" s="1"/>
  <c r="R130" i="22" s="1"/>
  <c r="U243" i="20"/>
  <c r="L250" i="22" s="1"/>
  <c r="N250" i="22" s="1"/>
  <c r="R250" i="22" s="1"/>
  <c r="U140" i="20"/>
  <c r="L147" i="22" s="1"/>
  <c r="N147" i="22" s="1"/>
  <c r="R147" i="22" s="1"/>
  <c r="U252" i="20"/>
  <c r="L259" i="22" s="1"/>
  <c r="N259" i="22" s="1"/>
  <c r="R259" i="22" s="1"/>
  <c r="U121" i="20"/>
  <c r="L128" i="22" s="1"/>
  <c r="N128" i="22" s="1"/>
  <c r="R128" i="22" s="1"/>
  <c r="U209" i="20"/>
  <c r="L216" i="22" s="1"/>
  <c r="N216" i="22" s="1"/>
  <c r="R216" i="22" s="1"/>
  <c r="U86" i="20"/>
  <c r="L93" i="22" s="1"/>
  <c r="N93" i="22" s="1"/>
  <c r="R93" i="22" s="1"/>
  <c r="U174" i="20"/>
  <c r="L181" i="22" s="1"/>
  <c r="N181" i="22" s="1"/>
  <c r="R181" i="22" s="1"/>
  <c r="U270" i="20"/>
  <c r="L277" i="22" s="1"/>
  <c r="N277" i="22" s="1"/>
  <c r="R277" i="22" s="1"/>
  <c r="U147" i="20"/>
  <c r="L154" i="22" s="1"/>
  <c r="N154" i="22" s="1"/>
  <c r="R154" i="22" s="1"/>
  <c r="U259" i="20"/>
  <c r="L266" i="22" s="1"/>
  <c r="N266" i="22" s="1"/>
  <c r="R266" i="22" s="1"/>
  <c r="U256" i="20"/>
  <c r="L263" i="22" s="1"/>
  <c r="U90" i="20"/>
  <c r="L97" i="22" s="1"/>
  <c r="N97" i="22" s="1"/>
  <c r="R97" i="22" s="1"/>
  <c r="U154" i="20"/>
  <c r="L161" i="22" s="1"/>
  <c r="N161" i="22" s="1"/>
  <c r="R161" i="22" s="1"/>
  <c r="U226" i="20"/>
  <c r="L233" i="22" s="1"/>
  <c r="N233" i="22" s="1"/>
  <c r="R233" i="22" s="1"/>
  <c r="U298" i="20"/>
  <c r="L305" i="22" s="1"/>
  <c r="N305" i="22" s="1"/>
  <c r="R305" i="22" s="1"/>
  <c r="U143" i="20"/>
  <c r="L150" i="22" s="1"/>
  <c r="N150" i="22" s="1"/>
  <c r="R150" i="22" s="1"/>
  <c r="U223" i="20"/>
  <c r="L230" i="22" s="1"/>
  <c r="N230" i="22" s="1"/>
  <c r="R230" i="22" s="1"/>
  <c r="U76" i="20"/>
  <c r="L83" i="22" s="1"/>
  <c r="N83" i="22" s="1"/>
  <c r="R83" i="22" s="1"/>
  <c r="U180" i="20"/>
  <c r="L187" i="22" s="1"/>
  <c r="N187" i="22" s="1"/>
  <c r="R187" i="22" s="1"/>
  <c r="U268" i="20"/>
  <c r="L275" i="22" s="1"/>
  <c r="N275" i="22" s="1"/>
  <c r="R275" i="22" s="1"/>
  <c r="U137" i="20"/>
  <c r="L144" i="22" s="1"/>
  <c r="N144" i="22" s="1"/>
  <c r="R144" i="22" s="1"/>
  <c r="U249" i="20"/>
  <c r="L256" i="22" s="1"/>
  <c r="N256" i="22" s="1"/>
  <c r="R256" i="22" s="1"/>
  <c r="U102" i="20"/>
  <c r="L109" i="22" s="1"/>
  <c r="N109" i="22" s="1"/>
  <c r="R109" i="22" s="1"/>
  <c r="U190" i="20"/>
  <c r="L197" i="22" s="1"/>
  <c r="N197" i="22" s="1"/>
  <c r="R197" i="22" s="1"/>
  <c r="U75" i="20"/>
  <c r="L82" i="22" s="1"/>
  <c r="N82" i="22" s="1"/>
  <c r="R82" i="22" s="1"/>
  <c r="U171" i="20"/>
  <c r="L178" i="22" s="1"/>
  <c r="N178" i="22" s="1"/>
  <c r="R178" i="22" s="1"/>
  <c r="U200" i="20"/>
  <c r="L207" i="22" s="1"/>
  <c r="N207" i="22" s="1"/>
  <c r="R207" i="22" s="1"/>
  <c r="U264" i="20"/>
  <c r="L271" i="22" s="1"/>
  <c r="N271" i="22" s="1"/>
  <c r="R271" i="22" s="1"/>
  <c r="U98" i="20"/>
  <c r="L105" i="22" s="1"/>
  <c r="N105" i="22" s="1"/>
  <c r="R105" i="22" s="1"/>
  <c r="U162" i="20"/>
  <c r="L169" i="22" s="1"/>
  <c r="N169" i="22" s="1"/>
  <c r="R169" i="22" s="1"/>
  <c r="U234" i="20"/>
  <c r="L241" i="22" s="1"/>
  <c r="N241" i="22" s="1"/>
  <c r="R241" i="22" s="1"/>
  <c r="U79" i="20"/>
  <c r="L86" i="22" s="1"/>
  <c r="N86" i="22" s="1"/>
  <c r="R86" i="22" s="1"/>
  <c r="U151" i="20"/>
  <c r="L158" i="22" s="1"/>
  <c r="N158" i="22" s="1"/>
  <c r="R158" i="22" s="1"/>
  <c r="U231" i="20"/>
  <c r="L238" i="22" s="1"/>
  <c r="N238" i="22" s="1"/>
  <c r="R238" i="22" s="1"/>
  <c r="U100" i="20"/>
  <c r="L107" i="22" s="1"/>
  <c r="N107" i="22" s="1"/>
  <c r="R107" i="22" s="1"/>
  <c r="U188" i="20"/>
  <c r="L195" i="22" s="1"/>
  <c r="N195" i="22" s="1"/>
  <c r="R195" i="22" s="1"/>
  <c r="U284" i="20"/>
  <c r="L291" i="22" s="1"/>
  <c r="N291" i="22" s="1"/>
  <c r="R291" i="22" s="1"/>
  <c r="U145" i="20"/>
  <c r="L152" i="22" s="1"/>
  <c r="N152" i="22" s="1"/>
  <c r="R152" i="22" s="1"/>
  <c r="U257" i="20"/>
  <c r="L264" i="22" s="1"/>
  <c r="N264" i="22" s="1"/>
  <c r="R264" i="22" s="1"/>
  <c r="U110" i="20"/>
  <c r="L117" i="22" s="1"/>
  <c r="N117" i="22" s="1"/>
  <c r="R117" i="22" s="1"/>
  <c r="U206" i="20"/>
  <c r="L213" i="22" s="1"/>
  <c r="U83" i="20"/>
  <c r="L90" i="22" s="1"/>
  <c r="N90" i="22" s="1"/>
  <c r="R90" i="22" s="1"/>
  <c r="U179" i="20"/>
  <c r="L186" i="22" s="1"/>
  <c r="U251" i="20"/>
  <c r="L258" i="22" s="1"/>
  <c r="N258" i="22" s="1"/>
  <c r="R258" i="22" s="1"/>
  <c r="U267" i="20"/>
  <c r="L274" i="22" s="1"/>
  <c r="N274" i="22" s="1"/>
  <c r="R274" i="22" s="1"/>
  <c r="U167" i="20"/>
  <c r="L174" i="22" s="1"/>
  <c r="N174" i="22" s="1"/>
  <c r="R174" i="22" s="1"/>
  <c r="U239" i="20"/>
  <c r="L246" i="22" s="1"/>
  <c r="N246" i="22" s="1"/>
  <c r="R246" i="22" s="1"/>
  <c r="U92" i="20"/>
  <c r="L99" i="22" s="1"/>
  <c r="N99" i="22" s="1"/>
  <c r="R99" i="22" s="1"/>
  <c r="U164" i="20"/>
  <c r="L171" i="22" s="1"/>
  <c r="N171" i="22" s="1"/>
  <c r="R171" i="22" s="1"/>
  <c r="U236" i="20"/>
  <c r="L243" i="22" s="1"/>
  <c r="N243" i="22" s="1"/>
  <c r="R243" i="22" s="1"/>
  <c r="U81" i="20"/>
  <c r="L88" i="22" s="1"/>
  <c r="N88" i="22" s="1"/>
  <c r="R88" i="22" s="1"/>
  <c r="U153" i="20"/>
  <c r="L160" i="22" s="1"/>
  <c r="N160" i="22" s="1"/>
  <c r="R160" i="22" s="1"/>
  <c r="U225" i="20"/>
  <c r="L232" i="22" s="1"/>
  <c r="N232" i="22" s="1"/>
  <c r="R232" i="22" s="1"/>
  <c r="U297" i="20"/>
  <c r="L304" i="22" s="1"/>
  <c r="N304" i="22" s="1"/>
  <c r="R304" i="22" s="1"/>
  <c r="U142" i="20"/>
  <c r="L149" i="22" s="1"/>
  <c r="N149" i="22" s="1"/>
  <c r="R149" i="22" s="1"/>
  <c r="U214" i="20"/>
  <c r="L221" i="22" s="1"/>
  <c r="N221" i="22" s="1"/>
  <c r="R221" i="22" s="1"/>
  <c r="U286" i="20"/>
  <c r="L293" i="22" s="1"/>
  <c r="N293" i="22" s="1"/>
  <c r="R293" i="22" s="1"/>
  <c r="U131" i="20"/>
  <c r="L138" i="22" s="1"/>
  <c r="N138" i="22" s="1"/>
  <c r="R138" i="22" s="1"/>
  <c r="U203" i="20"/>
  <c r="L210" i="22" s="1"/>
  <c r="N210" i="22" s="1"/>
  <c r="R210" i="22" s="1"/>
  <c r="U172" i="20"/>
  <c r="L179" i="22" s="1"/>
  <c r="N179" i="22" s="1"/>
  <c r="R179" i="22" s="1"/>
  <c r="U244" i="20"/>
  <c r="L251" i="22" s="1"/>
  <c r="N251" i="22" s="1"/>
  <c r="R251" i="22" s="1"/>
  <c r="U89" i="20"/>
  <c r="L96" i="22" s="1"/>
  <c r="N96" i="22" s="1"/>
  <c r="R96" i="22" s="1"/>
  <c r="U161" i="20"/>
  <c r="L168" i="22" s="1"/>
  <c r="N168" i="22" s="1"/>
  <c r="R168" i="22" s="1"/>
  <c r="U233" i="20"/>
  <c r="L240" i="22" s="1"/>
  <c r="N240" i="22" s="1"/>
  <c r="R240" i="22" s="1"/>
  <c r="U78" i="20"/>
  <c r="L85" i="22" s="1"/>
  <c r="U150" i="20"/>
  <c r="L157" i="22" s="1"/>
  <c r="N157" i="22" s="1"/>
  <c r="R157" i="22" s="1"/>
  <c r="U222" i="20"/>
  <c r="L229" i="22" s="1"/>
  <c r="N229" i="22" s="1"/>
  <c r="R229" i="22" s="1"/>
  <c r="U294" i="20"/>
  <c r="L301" i="22" s="1"/>
  <c r="N301" i="22" s="1"/>
  <c r="R301" i="22" s="1"/>
  <c r="U139" i="20"/>
  <c r="L146" i="22" s="1"/>
  <c r="N146" i="22" s="1"/>
  <c r="R146" i="22" s="1"/>
  <c r="U219" i="20"/>
  <c r="L226" i="22" s="1"/>
  <c r="N226" i="22" s="1"/>
  <c r="R226" i="22" s="1"/>
  <c r="M13" i="22"/>
  <c r="U211" i="20"/>
  <c r="L218" i="22" s="1"/>
  <c r="N218" i="22" s="1"/>
  <c r="R218" i="22" s="1"/>
  <c r="U275" i="20"/>
  <c r="L282" i="22" s="1"/>
  <c r="N282" i="22" s="1"/>
  <c r="R282" i="22" s="1"/>
  <c r="U218" i="20"/>
  <c r="L225" i="22" s="1"/>
  <c r="N225" i="22" s="1"/>
  <c r="R225" i="22" s="1"/>
  <c r="U282" i="20"/>
  <c r="L289" i="22" s="1"/>
  <c r="N289" i="22" s="1"/>
  <c r="R289" i="22" s="1"/>
  <c r="U119" i="20"/>
  <c r="L126" i="22" s="1"/>
  <c r="N126" i="22" s="1"/>
  <c r="R126" i="22" s="1"/>
  <c r="U183" i="20"/>
  <c r="L190" i="22" s="1"/>
  <c r="N190" i="22" s="1"/>
  <c r="R190" i="22" s="1"/>
  <c r="U247" i="20"/>
  <c r="L254" i="22" s="1"/>
  <c r="U84" i="20"/>
  <c r="L91" i="22" s="1"/>
  <c r="N91" i="22" s="1"/>
  <c r="R91" i="22" s="1"/>
  <c r="U148" i="20"/>
  <c r="L155" i="22" s="1"/>
  <c r="N155" i="22" s="1"/>
  <c r="R155" i="22" s="1"/>
  <c r="U212" i="20"/>
  <c r="L219" i="22" s="1"/>
  <c r="N219" i="22" s="1"/>
  <c r="R219" i="22" s="1"/>
  <c r="U276" i="20"/>
  <c r="L283" i="22" s="1"/>
  <c r="N283" i="22" s="1"/>
  <c r="R283" i="22" s="1"/>
  <c r="U113" i="20"/>
  <c r="L120" i="22" s="1"/>
  <c r="N120" i="22" s="1"/>
  <c r="R120" i="22" s="1"/>
  <c r="U177" i="20"/>
  <c r="L184" i="22" s="1"/>
  <c r="N184" i="22" s="1"/>
  <c r="R184" i="22" s="1"/>
  <c r="U241" i="20"/>
  <c r="L248" i="22" s="1"/>
  <c r="N248" i="22" s="1"/>
  <c r="R248" i="22" s="1"/>
  <c r="U70" i="20"/>
  <c r="L77" i="22" s="1"/>
  <c r="N77" i="22" s="1"/>
  <c r="R77" i="22" s="1"/>
  <c r="U134" i="20"/>
  <c r="L141" i="22" s="1"/>
  <c r="N141" i="22" s="1"/>
  <c r="R141" i="22" s="1"/>
  <c r="U198" i="20"/>
  <c r="L205" i="22" s="1"/>
  <c r="N205" i="22" s="1"/>
  <c r="R205" i="22" s="1"/>
  <c r="U262" i="20"/>
  <c r="L269" i="22" s="1"/>
  <c r="N269" i="22" s="1"/>
  <c r="R269" i="22" s="1"/>
  <c r="U99" i="20"/>
  <c r="L106" i="22" s="1"/>
  <c r="U163" i="20"/>
  <c r="L170" i="22" s="1"/>
  <c r="N170" i="22" s="1"/>
  <c r="R170" i="22" s="1"/>
  <c r="U227" i="20"/>
  <c r="L234" i="22" s="1"/>
  <c r="N234" i="22" s="1"/>
  <c r="R234" i="22" s="1"/>
  <c r="U283" i="20"/>
  <c r="L290" i="22" s="1"/>
  <c r="N290" i="22" s="1"/>
  <c r="R290" i="22" s="1"/>
  <c r="U291" i="20"/>
  <c r="L298" i="22" s="1"/>
  <c r="N298" i="22" s="1"/>
  <c r="R298" i="22" s="1"/>
  <c r="R192" i="22" l="1"/>
  <c r="N161" i="11"/>
  <c r="L13" i="22"/>
  <c r="N254" i="22"/>
  <c r="R254" i="22" s="1"/>
  <c r="N164" i="22"/>
  <c r="R164" i="22" s="1"/>
  <c r="N67" i="22"/>
  <c r="R67" i="22" s="1"/>
  <c r="N186" i="22"/>
  <c r="R186" i="22" s="1"/>
  <c r="N263" i="22"/>
  <c r="R263" i="22" s="1"/>
  <c r="N55" i="22"/>
  <c r="R55" i="22" s="1"/>
  <c r="N85" i="22"/>
  <c r="R85" i="22" s="1"/>
  <c r="N213" i="22"/>
  <c r="R213" i="22" s="1"/>
  <c r="N98" i="22"/>
  <c r="R98" i="22" s="1"/>
  <c r="N244" i="22"/>
  <c r="R244" i="22" s="1"/>
  <c r="N231" i="22"/>
  <c r="R231" i="22" s="1"/>
  <c r="N15" i="22"/>
  <c r="R15" i="22" s="1"/>
  <c r="N19" i="22"/>
  <c r="R19" i="22" s="1"/>
  <c r="N167" i="22"/>
  <c r="R167" i="22" s="1"/>
  <c r="N115" i="22"/>
  <c r="R115" i="22" s="1"/>
  <c r="N106" i="22"/>
  <c r="R106" i="22" s="1"/>
  <c r="N145" i="22"/>
  <c r="R145" i="22" s="1"/>
  <c r="N260" i="22"/>
  <c r="R260" i="22" s="1"/>
  <c r="U6" i="20"/>
  <c r="T6" i="20"/>
  <c r="J304" i="19"/>
  <c r="J303" i="19"/>
  <c r="J302" i="19"/>
  <c r="J301" i="19"/>
  <c r="J300" i="19"/>
  <c r="J299" i="19"/>
  <c r="J298" i="19"/>
  <c r="J297" i="19"/>
  <c r="J296" i="19"/>
  <c r="J295" i="19"/>
  <c r="J294" i="19"/>
  <c r="J293" i="19"/>
  <c r="J292" i="19"/>
  <c r="J291" i="19"/>
  <c r="J290" i="19"/>
  <c r="J289" i="19"/>
  <c r="J288" i="19"/>
  <c r="J287" i="19"/>
  <c r="J286" i="19"/>
  <c r="J285" i="19"/>
  <c r="J284" i="19"/>
  <c r="J283" i="19"/>
  <c r="J282" i="19"/>
  <c r="J281" i="19"/>
  <c r="J280" i="19"/>
  <c r="J279" i="19"/>
  <c r="J278" i="19"/>
  <c r="J277" i="19"/>
  <c r="J276" i="19"/>
  <c r="J275" i="19"/>
  <c r="J274" i="19"/>
  <c r="J273" i="19"/>
  <c r="J272" i="19"/>
  <c r="J271" i="19"/>
  <c r="J270" i="19"/>
  <c r="J269" i="19"/>
  <c r="J268" i="19"/>
  <c r="J267" i="19"/>
  <c r="J266" i="19"/>
  <c r="J265" i="19"/>
  <c r="J264" i="19"/>
  <c r="J263" i="19"/>
  <c r="J262" i="19"/>
  <c r="J261" i="19"/>
  <c r="J260" i="19"/>
  <c r="J259" i="19"/>
  <c r="J258" i="19"/>
  <c r="J257" i="19"/>
  <c r="J256" i="19"/>
  <c r="J255" i="19"/>
  <c r="J254" i="19"/>
  <c r="J253" i="19"/>
  <c r="J252" i="19"/>
  <c r="J251" i="19"/>
  <c r="J250" i="19"/>
  <c r="J249" i="19"/>
  <c r="J248" i="19"/>
  <c r="J247" i="19"/>
  <c r="J246" i="19"/>
  <c r="J245" i="19"/>
  <c r="J244" i="19"/>
  <c r="J243" i="19"/>
  <c r="J242" i="19"/>
  <c r="J241" i="19"/>
  <c r="J240" i="19"/>
  <c r="J239" i="19"/>
  <c r="J238" i="19"/>
  <c r="J237" i="19"/>
  <c r="J236" i="19"/>
  <c r="J235" i="19"/>
  <c r="J234" i="19"/>
  <c r="J233" i="19"/>
  <c r="J232" i="19"/>
  <c r="J231" i="19"/>
  <c r="J230" i="19"/>
  <c r="J229" i="19"/>
  <c r="J228" i="19"/>
  <c r="J227" i="19"/>
  <c r="J226" i="19"/>
  <c r="J225" i="19"/>
  <c r="J224" i="19"/>
  <c r="J223" i="19"/>
  <c r="J222" i="19"/>
  <c r="J221" i="19"/>
  <c r="J220" i="19"/>
  <c r="J219" i="19"/>
  <c r="J218" i="19"/>
  <c r="J217" i="19"/>
  <c r="J216" i="19"/>
  <c r="J215" i="19"/>
  <c r="J214" i="19"/>
  <c r="J213" i="19"/>
  <c r="J212" i="19"/>
  <c r="J211" i="19"/>
  <c r="J210" i="19"/>
  <c r="J209" i="19"/>
  <c r="J208" i="19"/>
  <c r="J207" i="19"/>
  <c r="J206" i="19"/>
  <c r="J205" i="19"/>
  <c r="J204" i="19"/>
  <c r="J203" i="19"/>
  <c r="J202" i="19"/>
  <c r="J201" i="19"/>
  <c r="J200" i="19"/>
  <c r="J199" i="19"/>
  <c r="J198" i="19"/>
  <c r="J197" i="19"/>
  <c r="J196" i="19"/>
  <c r="J195" i="19"/>
  <c r="J194" i="19"/>
  <c r="J193" i="19"/>
  <c r="J192" i="19"/>
  <c r="J191" i="19"/>
  <c r="J190" i="19"/>
  <c r="M161" i="11" s="1"/>
  <c r="O161" i="11" s="1"/>
  <c r="K163" i="7" s="1"/>
  <c r="J189" i="19"/>
  <c r="J188" i="19"/>
  <c r="J187" i="19"/>
  <c r="J186" i="19"/>
  <c r="J185" i="19"/>
  <c r="J184" i="19"/>
  <c r="J183" i="19"/>
  <c r="J182" i="19"/>
  <c r="J181" i="19"/>
  <c r="J180" i="19"/>
  <c r="J179" i="19"/>
  <c r="J178" i="19"/>
  <c r="J177" i="19"/>
  <c r="J176" i="19"/>
  <c r="J175" i="19"/>
  <c r="J174" i="19"/>
  <c r="J173" i="19"/>
  <c r="J172" i="19"/>
  <c r="J171" i="19"/>
  <c r="J170" i="19"/>
  <c r="J169" i="19"/>
  <c r="J168" i="19"/>
  <c r="J167" i="19"/>
  <c r="J166" i="19"/>
  <c r="J165" i="19"/>
  <c r="J164" i="19"/>
  <c r="J163" i="19"/>
  <c r="J162" i="19"/>
  <c r="J161" i="19"/>
  <c r="J160" i="19"/>
  <c r="J159" i="19"/>
  <c r="J158" i="19"/>
  <c r="J157" i="19"/>
  <c r="J156" i="19"/>
  <c r="J155" i="19"/>
  <c r="J154" i="19"/>
  <c r="J153" i="19"/>
  <c r="J152" i="19"/>
  <c r="J151" i="19"/>
  <c r="J150" i="19"/>
  <c r="J149" i="19"/>
  <c r="J148" i="19"/>
  <c r="J147" i="19"/>
  <c r="J146" i="19"/>
  <c r="J145" i="19"/>
  <c r="J144" i="19"/>
  <c r="J143" i="19"/>
  <c r="J142" i="19"/>
  <c r="J141" i="19"/>
  <c r="J140" i="19"/>
  <c r="J139" i="19"/>
  <c r="J138" i="19"/>
  <c r="J137" i="19"/>
  <c r="J136" i="19"/>
  <c r="J135" i="19"/>
  <c r="J134" i="19"/>
  <c r="J133" i="19"/>
  <c r="J132" i="19"/>
  <c r="J131" i="19"/>
  <c r="J130" i="19"/>
  <c r="J129" i="19"/>
  <c r="J128" i="19"/>
  <c r="J127" i="19"/>
  <c r="J126" i="19"/>
  <c r="J125" i="19"/>
  <c r="J124" i="19"/>
  <c r="J123" i="19"/>
  <c r="J122" i="19"/>
  <c r="J121" i="19"/>
  <c r="J120" i="19"/>
  <c r="J119" i="19"/>
  <c r="J118" i="19"/>
  <c r="J117" i="19"/>
  <c r="J116" i="19"/>
  <c r="J115" i="19"/>
  <c r="J114" i="19"/>
  <c r="J113" i="19"/>
  <c r="J112" i="19"/>
  <c r="J111" i="19"/>
  <c r="J110" i="19"/>
  <c r="J109" i="19"/>
  <c r="J108" i="19"/>
  <c r="J107" i="19"/>
  <c r="J106" i="19"/>
  <c r="J105" i="19"/>
  <c r="J104" i="19"/>
  <c r="J103" i="19"/>
  <c r="J102" i="19"/>
  <c r="J101" i="19"/>
  <c r="J100" i="19"/>
  <c r="J99" i="19"/>
  <c r="J98" i="19"/>
  <c r="J97" i="19"/>
  <c r="J96" i="19"/>
  <c r="J95" i="19"/>
  <c r="J94" i="19"/>
  <c r="J93" i="19"/>
  <c r="J92" i="19"/>
  <c r="J91" i="19"/>
  <c r="J90" i="19"/>
  <c r="J89" i="19"/>
  <c r="J88" i="19"/>
  <c r="J87" i="19"/>
  <c r="J86" i="19"/>
  <c r="J85" i="19"/>
  <c r="J84" i="19"/>
  <c r="J83" i="19"/>
  <c r="J82" i="19"/>
  <c r="J81" i="19"/>
  <c r="J80" i="19"/>
  <c r="J79" i="19"/>
  <c r="J78" i="19"/>
  <c r="J77" i="19"/>
  <c r="J76" i="19"/>
  <c r="J75" i="19"/>
  <c r="J74" i="19"/>
  <c r="J73" i="19"/>
  <c r="J72" i="19"/>
  <c r="J71" i="19"/>
  <c r="J70" i="19"/>
  <c r="J69" i="19"/>
  <c r="J68" i="19"/>
  <c r="J67" i="19"/>
  <c r="J66" i="19"/>
  <c r="J65" i="19"/>
  <c r="J64" i="19"/>
  <c r="J63" i="19"/>
  <c r="J62" i="19"/>
  <c r="J61" i="19"/>
  <c r="J60" i="19"/>
  <c r="J59" i="19"/>
  <c r="J58" i="19"/>
  <c r="J57" i="19"/>
  <c r="J56" i="19"/>
  <c r="J55" i="19"/>
  <c r="J54" i="19"/>
  <c r="J53" i="19"/>
  <c r="J52" i="19"/>
  <c r="J51" i="19"/>
  <c r="J50" i="19"/>
  <c r="J49" i="19"/>
  <c r="J48" i="19"/>
  <c r="J47" i="19"/>
  <c r="J46" i="19"/>
  <c r="J45" i="19"/>
  <c r="J44" i="19"/>
  <c r="J43" i="19"/>
  <c r="J42" i="19"/>
  <c r="J41" i="19"/>
  <c r="J40" i="19"/>
  <c r="J39" i="19"/>
  <c r="J38" i="19"/>
  <c r="J37" i="19"/>
  <c r="J36" i="19"/>
  <c r="J35" i="19"/>
  <c r="J34" i="19"/>
  <c r="J33" i="19"/>
  <c r="J32" i="19"/>
  <c r="J31" i="19"/>
  <c r="J30" i="19"/>
  <c r="J29" i="19"/>
  <c r="J28" i="19"/>
  <c r="J27" i="19"/>
  <c r="J26" i="19"/>
  <c r="J25" i="19"/>
  <c r="J24" i="19"/>
  <c r="J23" i="19"/>
  <c r="J22" i="19"/>
  <c r="J21" i="19"/>
  <c r="J20" i="19"/>
  <c r="J19" i="19"/>
  <c r="J18" i="19"/>
  <c r="J17" i="19"/>
  <c r="J16" i="19"/>
  <c r="J15" i="19"/>
  <c r="J14" i="19"/>
  <c r="J13" i="19"/>
  <c r="H11" i="19"/>
  <c r="G11" i="19"/>
  <c r="E11" i="19"/>
  <c r="D11" i="19"/>
  <c r="C11" i="19"/>
  <c r="N13" i="22" l="1"/>
  <c r="I11" i="19"/>
  <c r="J11" i="19"/>
  <c r="F6" i="14" l="1"/>
  <c r="F7" i="14"/>
  <c r="F8" i="14"/>
  <c r="F9" i="14"/>
  <c r="F10"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F222" i="14"/>
  <c r="F223" i="14"/>
  <c r="F224" i="14"/>
  <c r="F225" i="14"/>
  <c r="F226" i="14"/>
  <c r="F227" i="14"/>
  <c r="F228" i="14"/>
  <c r="F229" i="14"/>
  <c r="F230" i="14"/>
  <c r="F231" i="14"/>
  <c r="F232" i="14"/>
  <c r="F233" i="14"/>
  <c r="F234" i="14"/>
  <c r="F235" i="14"/>
  <c r="F236" i="14"/>
  <c r="F237" i="14"/>
  <c r="F238" i="14"/>
  <c r="F239" i="14"/>
  <c r="F240" i="14"/>
  <c r="F241" i="14"/>
  <c r="F242" i="14"/>
  <c r="F243" i="14"/>
  <c r="F244" i="14"/>
  <c r="F245" i="14"/>
  <c r="F246" i="14"/>
  <c r="F247" i="14"/>
  <c r="F248" i="14"/>
  <c r="F249" i="14"/>
  <c r="F250" i="14"/>
  <c r="F251" i="14"/>
  <c r="F252" i="14"/>
  <c r="F253" i="14"/>
  <c r="F254" i="14"/>
  <c r="F255" i="14"/>
  <c r="F256"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F281" i="14"/>
  <c r="F282" i="14"/>
  <c r="F283" i="14"/>
  <c r="F284" i="14"/>
  <c r="F285" i="14"/>
  <c r="F286" i="14"/>
  <c r="F287" i="14"/>
  <c r="F288" i="14"/>
  <c r="F289" i="14"/>
  <c r="F290" i="14"/>
  <c r="F291" i="14"/>
  <c r="F292" i="14"/>
  <c r="F293" i="14"/>
  <c r="F294" i="14"/>
  <c r="F295" i="14"/>
  <c r="F296" i="14"/>
  <c r="F5" i="14"/>
  <c r="E4" i="14"/>
  <c r="F4" i="14" l="1"/>
  <c r="G15" i="12"/>
  <c r="G16" i="12"/>
  <c r="G17" i="12"/>
  <c r="G18" i="12"/>
  <c r="G19" i="12"/>
  <c r="G23" i="12"/>
  <c r="G24" i="12"/>
  <c r="G25" i="12"/>
  <c r="G26" i="12"/>
  <c r="G27" i="12"/>
  <c r="G32" i="12"/>
  <c r="G33" i="12"/>
  <c r="G34" i="12"/>
  <c r="G35" i="12"/>
  <c r="G41" i="12"/>
  <c r="G42" i="12"/>
  <c r="G43" i="12"/>
  <c r="G49" i="12"/>
  <c r="G50" i="12"/>
  <c r="G51" i="12"/>
  <c r="G55" i="12"/>
  <c r="G56" i="12"/>
  <c r="G57" i="12"/>
  <c r="G58" i="12"/>
  <c r="G59" i="12"/>
  <c r="G63" i="12"/>
  <c r="G64" i="12"/>
  <c r="G65" i="12"/>
  <c r="G66" i="12"/>
  <c r="G67" i="12"/>
  <c r="G71" i="12"/>
  <c r="G72" i="12"/>
  <c r="G73" i="12"/>
  <c r="G74" i="12"/>
  <c r="G75" i="12"/>
  <c r="G79" i="12"/>
  <c r="G80" i="12"/>
  <c r="G81" i="12"/>
  <c r="G82" i="12"/>
  <c r="G83" i="12"/>
  <c r="G87" i="12"/>
  <c r="G88" i="12"/>
  <c r="G89" i="12"/>
  <c r="G90" i="12"/>
  <c r="G91" i="12"/>
  <c r="G96" i="12"/>
  <c r="G97" i="12"/>
  <c r="G98" i="12"/>
  <c r="G99" i="12"/>
  <c r="G105" i="12"/>
  <c r="G106" i="12"/>
  <c r="G107" i="12"/>
  <c r="G114" i="12"/>
  <c r="G115" i="12"/>
  <c r="G119" i="12"/>
  <c r="G120" i="12"/>
  <c r="G121" i="12"/>
  <c r="G122" i="12"/>
  <c r="G123" i="12"/>
  <c r="G127" i="12"/>
  <c r="G128" i="12"/>
  <c r="G129" i="12"/>
  <c r="G130" i="12"/>
  <c r="G131" i="12"/>
  <c r="G135" i="12"/>
  <c r="G136" i="12"/>
  <c r="G137" i="12"/>
  <c r="G138" i="12"/>
  <c r="G139" i="12"/>
  <c r="G143" i="12"/>
  <c r="G144" i="12"/>
  <c r="G145" i="12"/>
  <c r="G146" i="12"/>
  <c r="G147" i="12"/>
  <c r="G151" i="12"/>
  <c r="G152" i="12"/>
  <c r="G153" i="12"/>
  <c r="G154" i="12"/>
  <c r="G155" i="12"/>
  <c r="G160" i="12"/>
  <c r="G161" i="12"/>
  <c r="G162" i="12"/>
  <c r="G163" i="12"/>
  <c r="G169" i="12"/>
  <c r="G170" i="12"/>
  <c r="G171" i="12"/>
  <c r="G177" i="12"/>
  <c r="G178" i="12"/>
  <c r="G179" i="12"/>
  <c r="G183" i="12"/>
  <c r="G184" i="12"/>
  <c r="G185" i="12"/>
  <c r="G186" i="12"/>
  <c r="G187" i="12"/>
  <c r="G191" i="12"/>
  <c r="G192" i="12"/>
  <c r="G193" i="12"/>
  <c r="G194" i="12"/>
  <c r="G195" i="12"/>
  <c r="G196" i="12"/>
  <c r="G199" i="12"/>
  <c r="G200" i="12"/>
  <c r="G201" i="12"/>
  <c r="G202" i="12"/>
  <c r="G203" i="12"/>
  <c r="G204" i="12"/>
  <c r="G207" i="12"/>
  <c r="G208" i="12"/>
  <c r="G209" i="12"/>
  <c r="G210" i="12"/>
  <c r="G211" i="12"/>
  <c r="G212" i="12"/>
  <c r="G215" i="12"/>
  <c r="G216" i="12"/>
  <c r="G217" i="12"/>
  <c r="G218" i="12"/>
  <c r="G219" i="12"/>
  <c r="G224" i="12"/>
  <c r="G225" i="12"/>
  <c r="G226" i="12"/>
  <c r="G227" i="12"/>
  <c r="G228" i="12"/>
  <c r="G233" i="12"/>
  <c r="G234" i="12"/>
  <c r="G235" i="12"/>
  <c r="G236" i="12"/>
  <c r="G242" i="12"/>
  <c r="G243" i="12"/>
  <c r="G244" i="12"/>
  <c r="G247" i="12"/>
  <c r="G248" i="12"/>
  <c r="G249" i="12"/>
  <c r="G250" i="12"/>
  <c r="G251" i="12"/>
  <c r="G252" i="12"/>
  <c r="G255" i="12"/>
  <c r="G256" i="12"/>
  <c r="G257" i="12"/>
  <c r="G258" i="12"/>
  <c r="G259" i="12"/>
  <c r="G260" i="12"/>
  <c r="G263" i="12"/>
  <c r="G264" i="12"/>
  <c r="G265" i="12"/>
  <c r="G266" i="12"/>
  <c r="G267" i="12"/>
  <c r="G271" i="12"/>
  <c r="G272" i="12"/>
  <c r="G273" i="12"/>
  <c r="G274" i="12"/>
  <c r="G275" i="12"/>
  <c r="G276" i="12"/>
  <c r="G279" i="12"/>
  <c r="G280" i="12"/>
  <c r="G281" i="12"/>
  <c r="G282" i="12"/>
  <c r="G283" i="12"/>
  <c r="G284" i="12"/>
  <c r="G288" i="12"/>
  <c r="G289" i="12"/>
  <c r="G290" i="12"/>
  <c r="G291" i="12"/>
  <c r="G292" i="12"/>
  <c r="G297" i="12"/>
  <c r="G298" i="12"/>
  <c r="G299" i="12"/>
  <c r="G300" i="12"/>
  <c r="G304" i="12"/>
  <c r="G13" i="12"/>
  <c r="G14" i="12"/>
  <c r="G20" i="12"/>
  <c r="G21" i="12"/>
  <c r="G22" i="12"/>
  <c r="G28" i="12"/>
  <c r="G29" i="12"/>
  <c r="G30" i="12"/>
  <c r="G31" i="12"/>
  <c r="G36" i="12"/>
  <c r="G37" i="12"/>
  <c r="G38" i="12"/>
  <c r="G39" i="12"/>
  <c r="G40" i="12"/>
  <c r="G44" i="12"/>
  <c r="G45" i="12"/>
  <c r="G46" i="12"/>
  <c r="G47" i="12"/>
  <c r="G48" i="12"/>
  <c r="G52" i="12"/>
  <c r="G53" i="12"/>
  <c r="G54" i="12"/>
  <c r="G60" i="12"/>
  <c r="G61" i="12"/>
  <c r="G62" i="12"/>
  <c r="G68" i="12"/>
  <c r="G69" i="12"/>
  <c r="G70" i="12"/>
  <c r="G76" i="12"/>
  <c r="G77" i="12"/>
  <c r="G78" i="12"/>
  <c r="G84" i="12"/>
  <c r="G85" i="12"/>
  <c r="G86" i="12"/>
  <c r="G92" i="12"/>
  <c r="G93" i="12"/>
  <c r="G94" i="12"/>
  <c r="G95" i="12"/>
  <c r="G100" i="12"/>
  <c r="G101" i="12"/>
  <c r="G102" i="12"/>
  <c r="G103" i="12"/>
  <c r="G104" i="12"/>
  <c r="G108" i="12"/>
  <c r="G109" i="12"/>
  <c r="G110" i="12"/>
  <c r="G111" i="12"/>
  <c r="G112" i="12"/>
  <c r="G113" i="12"/>
  <c r="G116" i="12"/>
  <c r="G117" i="12"/>
  <c r="G118" i="12"/>
  <c r="G124" i="12"/>
  <c r="G125" i="12"/>
  <c r="G126" i="12"/>
  <c r="G132" i="12"/>
  <c r="G133" i="12"/>
  <c r="G134" i="12"/>
  <c r="G140" i="12"/>
  <c r="G141" i="12"/>
  <c r="G142" i="12"/>
  <c r="G148" i="12"/>
  <c r="G149" i="12"/>
  <c r="G150" i="12"/>
  <c r="G156" i="12"/>
  <c r="G157" i="12"/>
  <c r="G158" i="12"/>
  <c r="G159" i="12"/>
  <c r="G164" i="12"/>
  <c r="G165" i="12"/>
  <c r="G166" i="12"/>
  <c r="G167" i="12"/>
  <c r="G172" i="12"/>
  <c r="G173" i="12"/>
  <c r="G174" i="12"/>
  <c r="G175" i="12"/>
  <c r="G176" i="12"/>
  <c r="G180" i="12"/>
  <c r="G181" i="12"/>
  <c r="G182" i="12"/>
  <c r="G188" i="12"/>
  <c r="G189" i="12"/>
  <c r="G197" i="12"/>
  <c r="G198" i="12"/>
  <c r="G205" i="12"/>
  <c r="G206" i="12"/>
  <c r="G213" i="12"/>
  <c r="G214" i="12"/>
  <c r="G220" i="12"/>
  <c r="G221" i="12"/>
  <c r="G222" i="12"/>
  <c r="G223" i="12"/>
  <c r="G229" i="12"/>
  <c r="G230" i="12"/>
  <c r="G231" i="12"/>
  <c r="G232" i="12"/>
  <c r="G237" i="12"/>
  <c r="G238" i="12"/>
  <c r="G239" i="12"/>
  <c r="G240" i="12"/>
  <c r="G241" i="12"/>
  <c r="G245" i="12"/>
  <c r="G246" i="12"/>
  <c r="G253" i="12"/>
  <c r="G254" i="12"/>
  <c r="G261" i="12"/>
  <c r="G262" i="12"/>
  <c r="G268" i="12"/>
  <c r="G269" i="12"/>
  <c r="G270" i="12"/>
  <c r="G277" i="12"/>
  <c r="G278" i="12"/>
  <c r="G285" i="12"/>
  <c r="G286" i="12"/>
  <c r="G287" i="12"/>
  <c r="G293" i="12"/>
  <c r="G294" i="12"/>
  <c r="G295" i="12"/>
  <c r="G296" i="12"/>
  <c r="G301" i="12"/>
  <c r="G302" i="12"/>
  <c r="G303" i="12"/>
  <c r="N4" i="11" l="1"/>
  <c r="M4" i="11"/>
  <c r="K4" i="11"/>
  <c r="AD14" i="9"/>
  <c r="E8" i="7" s="1"/>
  <c r="AD15" i="9"/>
  <c r="E9" i="7" s="1"/>
  <c r="AD16" i="9"/>
  <c r="E10" i="7" s="1"/>
  <c r="AD17" i="9"/>
  <c r="E11" i="7" s="1"/>
  <c r="AD18" i="9"/>
  <c r="E12" i="7" s="1"/>
  <c r="AD19" i="9"/>
  <c r="E13" i="7" s="1"/>
  <c r="AD20" i="9"/>
  <c r="E14" i="7" s="1"/>
  <c r="AD21" i="9"/>
  <c r="E15" i="7" s="1"/>
  <c r="AD22" i="9"/>
  <c r="E16" i="7" s="1"/>
  <c r="AD23" i="9"/>
  <c r="E17" i="7" s="1"/>
  <c r="AD24" i="9"/>
  <c r="E18" i="7" s="1"/>
  <c r="AD25" i="9"/>
  <c r="E19" i="7" s="1"/>
  <c r="AD26" i="9"/>
  <c r="E20" i="7" s="1"/>
  <c r="AD27" i="9"/>
  <c r="E21" i="7" s="1"/>
  <c r="AD28" i="9"/>
  <c r="E22" i="7" s="1"/>
  <c r="AD29" i="9"/>
  <c r="E23" i="7" s="1"/>
  <c r="AD30" i="9"/>
  <c r="E24" i="7" s="1"/>
  <c r="AD31" i="9"/>
  <c r="E25" i="7" s="1"/>
  <c r="AD32" i="9"/>
  <c r="E26" i="7" s="1"/>
  <c r="AD33" i="9"/>
  <c r="E27" i="7" s="1"/>
  <c r="AD34" i="9"/>
  <c r="E28" i="7" s="1"/>
  <c r="AD35" i="9"/>
  <c r="E29" i="7" s="1"/>
  <c r="AD36" i="9"/>
  <c r="E30" i="7" s="1"/>
  <c r="AD37" i="9"/>
  <c r="E31" i="7" s="1"/>
  <c r="AD38" i="9"/>
  <c r="E32" i="7" s="1"/>
  <c r="AD39" i="9"/>
  <c r="E33" i="7" s="1"/>
  <c r="AD40" i="9"/>
  <c r="E34" i="7" s="1"/>
  <c r="AD41" i="9"/>
  <c r="E35" i="7" s="1"/>
  <c r="AD42" i="9"/>
  <c r="E36" i="7" s="1"/>
  <c r="AD43" i="9"/>
  <c r="E37" i="7" s="1"/>
  <c r="AD44" i="9"/>
  <c r="E38" i="7" s="1"/>
  <c r="AD45" i="9"/>
  <c r="E39" i="7" s="1"/>
  <c r="AD46" i="9"/>
  <c r="E40" i="7" s="1"/>
  <c r="AD47" i="9"/>
  <c r="E41" i="7" s="1"/>
  <c r="AD48" i="9"/>
  <c r="E42" i="7" s="1"/>
  <c r="AD49" i="9"/>
  <c r="E43" i="7" s="1"/>
  <c r="AD50" i="9"/>
  <c r="E44" i="7" s="1"/>
  <c r="AD51" i="9"/>
  <c r="E45" i="7" s="1"/>
  <c r="AD52" i="9"/>
  <c r="E46" i="7" s="1"/>
  <c r="AD53" i="9"/>
  <c r="E47" i="7" s="1"/>
  <c r="AD54" i="9"/>
  <c r="E48" i="7" s="1"/>
  <c r="AD55" i="9"/>
  <c r="E49" i="7" s="1"/>
  <c r="AD56" i="9"/>
  <c r="E50" i="7" s="1"/>
  <c r="AD57" i="9"/>
  <c r="E51" i="7" s="1"/>
  <c r="AD58" i="9"/>
  <c r="E52" i="7" s="1"/>
  <c r="AD59" i="9"/>
  <c r="E53" i="7" s="1"/>
  <c r="AD60" i="9"/>
  <c r="E54" i="7" s="1"/>
  <c r="AD61" i="9"/>
  <c r="E55" i="7" s="1"/>
  <c r="AD62" i="9"/>
  <c r="E56" i="7" s="1"/>
  <c r="AD63" i="9"/>
  <c r="E57" i="7" s="1"/>
  <c r="AD64" i="9"/>
  <c r="E58" i="7" s="1"/>
  <c r="AD65" i="9"/>
  <c r="E59" i="7" s="1"/>
  <c r="AD66" i="9"/>
  <c r="E60" i="7" s="1"/>
  <c r="AD67" i="9"/>
  <c r="E61" i="7" s="1"/>
  <c r="AD68" i="9"/>
  <c r="E62" i="7" s="1"/>
  <c r="AD69" i="9"/>
  <c r="E63" i="7" s="1"/>
  <c r="AD70" i="9"/>
  <c r="E64" i="7" s="1"/>
  <c r="AD71" i="9"/>
  <c r="E65" i="7" s="1"/>
  <c r="AD72" i="9"/>
  <c r="E66" i="7" s="1"/>
  <c r="AD73" i="9"/>
  <c r="E67" i="7" s="1"/>
  <c r="AD74" i="9"/>
  <c r="E68" i="7" s="1"/>
  <c r="AD75" i="9"/>
  <c r="E69" i="7" s="1"/>
  <c r="AD76" i="9"/>
  <c r="E70" i="7" s="1"/>
  <c r="AD77" i="9"/>
  <c r="E71" i="7" s="1"/>
  <c r="AD78" i="9"/>
  <c r="E72" i="7" s="1"/>
  <c r="AD79" i="9"/>
  <c r="E73" i="7" s="1"/>
  <c r="AD80" i="9"/>
  <c r="E74" i="7" s="1"/>
  <c r="AD81" i="9"/>
  <c r="E75" i="7" s="1"/>
  <c r="AD82" i="9"/>
  <c r="E76" i="7" s="1"/>
  <c r="AD83" i="9"/>
  <c r="E77" i="7" s="1"/>
  <c r="AD84" i="9"/>
  <c r="E78" i="7" s="1"/>
  <c r="AD85" i="9"/>
  <c r="E79" i="7" s="1"/>
  <c r="AD86" i="9"/>
  <c r="E80" i="7" s="1"/>
  <c r="AD87" i="9"/>
  <c r="E81" i="7" s="1"/>
  <c r="AD88" i="9"/>
  <c r="E82" i="7" s="1"/>
  <c r="AD89" i="9"/>
  <c r="E83" i="7" s="1"/>
  <c r="AD90" i="9"/>
  <c r="E84" i="7" s="1"/>
  <c r="AD91" i="9"/>
  <c r="E85" i="7" s="1"/>
  <c r="AD92" i="9"/>
  <c r="E86" i="7" s="1"/>
  <c r="AD93" i="9"/>
  <c r="E87" i="7" s="1"/>
  <c r="AD94" i="9"/>
  <c r="E88" i="7" s="1"/>
  <c r="AD95" i="9"/>
  <c r="E89" i="7" s="1"/>
  <c r="AD96" i="9"/>
  <c r="E90" i="7" s="1"/>
  <c r="AD97" i="9"/>
  <c r="E91" i="7" s="1"/>
  <c r="AD98" i="9"/>
  <c r="E92" i="7" s="1"/>
  <c r="AD99" i="9"/>
  <c r="E93" i="7" s="1"/>
  <c r="AD100" i="9"/>
  <c r="E94" i="7" s="1"/>
  <c r="AD101" i="9"/>
  <c r="E95" i="7" s="1"/>
  <c r="AD102" i="9"/>
  <c r="E96" i="7" s="1"/>
  <c r="AD103" i="9"/>
  <c r="E97" i="7" s="1"/>
  <c r="AD104" i="9"/>
  <c r="E98" i="7" s="1"/>
  <c r="AD105" i="9"/>
  <c r="E99" i="7" s="1"/>
  <c r="AD106" i="9"/>
  <c r="E100" i="7" s="1"/>
  <c r="AD107" i="9"/>
  <c r="E101" i="7" s="1"/>
  <c r="AD108" i="9"/>
  <c r="E102" i="7" s="1"/>
  <c r="AD109" i="9"/>
  <c r="E103" i="7" s="1"/>
  <c r="AD110" i="9"/>
  <c r="E104" i="7" s="1"/>
  <c r="AD111" i="9"/>
  <c r="E105" i="7" s="1"/>
  <c r="AD112" i="9"/>
  <c r="E106" i="7" s="1"/>
  <c r="AD113" i="9"/>
  <c r="E107" i="7" s="1"/>
  <c r="AD114" i="9"/>
  <c r="E108" i="7" s="1"/>
  <c r="AD115" i="9"/>
  <c r="E109" i="7" s="1"/>
  <c r="AD116" i="9"/>
  <c r="E110" i="7" s="1"/>
  <c r="AD117" i="9"/>
  <c r="E111" i="7" s="1"/>
  <c r="AD118" i="9"/>
  <c r="E112" i="7" s="1"/>
  <c r="AD119" i="9"/>
  <c r="E113" i="7" s="1"/>
  <c r="AD120" i="9"/>
  <c r="E114" i="7" s="1"/>
  <c r="AD121" i="9"/>
  <c r="E115" i="7" s="1"/>
  <c r="AD122" i="9"/>
  <c r="E116" i="7" s="1"/>
  <c r="AD123" i="9"/>
  <c r="E117" i="7" s="1"/>
  <c r="AD124" i="9"/>
  <c r="E118" i="7" s="1"/>
  <c r="AD125" i="9"/>
  <c r="E119" i="7" s="1"/>
  <c r="AD126" i="9"/>
  <c r="E120" i="7" s="1"/>
  <c r="AD127" i="9"/>
  <c r="E121" i="7" s="1"/>
  <c r="AD128" i="9"/>
  <c r="E122" i="7" s="1"/>
  <c r="AD129" i="9"/>
  <c r="E123" i="7" s="1"/>
  <c r="AD130" i="9"/>
  <c r="E124" i="7" s="1"/>
  <c r="AD131" i="9"/>
  <c r="E125" i="7" s="1"/>
  <c r="AD132" i="9"/>
  <c r="E126" i="7" s="1"/>
  <c r="AD133" i="9"/>
  <c r="E127" i="7" s="1"/>
  <c r="AD134" i="9"/>
  <c r="E128" i="7" s="1"/>
  <c r="AD135" i="9"/>
  <c r="E129" i="7" s="1"/>
  <c r="AD136" i="9"/>
  <c r="E130" i="7" s="1"/>
  <c r="AD137" i="9"/>
  <c r="E131" i="7" s="1"/>
  <c r="AD138" i="9"/>
  <c r="E132" i="7" s="1"/>
  <c r="AD139" i="9"/>
  <c r="E133" i="7" s="1"/>
  <c r="AD140" i="9"/>
  <c r="E134" i="7" s="1"/>
  <c r="AD141" i="9"/>
  <c r="E135" i="7" s="1"/>
  <c r="AD142" i="9"/>
  <c r="E136" i="7" s="1"/>
  <c r="AD143" i="9"/>
  <c r="E137" i="7" s="1"/>
  <c r="AD144" i="9"/>
  <c r="E138" i="7" s="1"/>
  <c r="AD145" i="9"/>
  <c r="E139" i="7" s="1"/>
  <c r="AD146" i="9"/>
  <c r="E140" i="7" s="1"/>
  <c r="AD147" i="9"/>
  <c r="E141" i="7" s="1"/>
  <c r="AD148" i="9"/>
  <c r="E142" i="7" s="1"/>
  <c r="AD149" i="9"/>
  <c r="E143" i="7" s="1"/>
  <c r="AD150" i="9"/>
  <c r="E144" i="7" s="1"/>
  <c r="AD151" i="9"/>
  <c r="E145" i="7" s="1"/>
  <c r="AD152" i="9"/>
  <c r="E146" i="7" s="1"/>
  <c r="AD153" i="9"/>
  <c r="E147" i="7" s="1"/>
  <c r="AD154" i="9"/>
  <c r="E148" i="7" s="1"/>
  <c r="AD155" i="9"/>
  <c r="E149" i="7" s="1"/>
  <c r="AD156" i="9"/>
  <c r="E150" i="7" s="1"/>
  <c r="AD157" i="9"/>
  <c r="E151" i="7" s="1"/>
  <c r="AD158" i="9"/>
  <c r="E152" i="7" s="1"/>
  <c r="AD159" i="9"/>
  <c r="E153" i="7" s="1"/>
  <c r="AD160" i="9"/>
  <c r="E154" i="7" s="1"/>
  <c r="AD161" i="9"/>
  <c r="E155" i="7" s="1"/>
  <c r="AD162" i="9"/>
  <c r="E156" i="7" s="1"/>
  <c r="AD163" i="9"/>
  <c r="E157" i="7" s="1"/>
  <c r="AD164" i="9"/>
  <c r="E158" i="7" s="1"/>
  <c r="AD165" i="9"/>
  <c r="E159" i="7" s="1"/>
  <c r="AD166" i="9"/>
  <c r="E160" i="7" s="1"/>
  <c r="AD167" i="9"/>
  <c r="E161" i="7" s="1"/>
  <c r="AD168" i="9"/>
  <c r="E162" i="7" s="1"/>
  <c r="AD169" i="9"/>
  <c r="E163" i="7" s="1"/>
  <c r="AD170" i="9"/>
  <c r="E164" i="7" s="1"/>
  <c r="AD171" i="9"/>
  <c r="E165" i="7" s="1"/>
  <c r="AD172" i="9"/>
  <c r="E166" i="7" s="1"/>
  <c r="AD173" i="9"/>
  <c r="E167" i="7" s="1"/>
  <c r="AD174" i="9"/>
  <c r="E168" i="7" s="1"/>
  <c r="AD175" i="9"/>
  <c r="E169" i="7" s="1"/>
  <c r="AD176" i="9"/>
  <c r="E170" i="7" s="1"/>
  <c r="AD177" i="9"/>
  <c r="E171" i="7" s="1"/>
  <c r="AD178" i="9"/>
  <c r="E172" i="7" s="1"/>
  <c r="AD179" i="9"/>
  <c r="E173" i="7" s="1"/>
  <c r="AD180" i="9"/>
  <c r="E174" i="7" s="1"/>
  <c r="AD181" i="9"/>
  <c r="E175" i="7" s="1"/>
  <c r="AD182" i="9"/>
  <c r="E176" i="7" s="1"/>
  <c r="AD183" i="9"/>
  <c r="E177" i="7" s="1"/>
  <c r="AD184" i="9"/>
  <c r="E178" i="7" s="1"/>
  <c r="AD185" i="9"/>
  <c r="E179" i="7" s="1"/>
  <c r="AD186" i="9"/>
  <c r="E180" i="7" s="1"/>
  <c r="AD187" i="9"/>
  <c r="E181" i="7" s="1"/>
  <c r="AD188" i="9"/>
  <c r="E182" i="7" s="1"/>
  <c r="AD189" i="9"/>
  <c r="E183" i="7" s="1"/>
  <c r="AD190" i="9"/>
  <c r="E184" i="7" s="1"/>
  <c r="AD191" i="9"/>
  <c r="E185" i="7" s="1"/>
  <c r="AD192" i="9"/>
  <c r="E186" i="7" s="1"/>
  <c r="AD193" i="9"/>
  <c r="E187" i="7" s="1"/>
  <c r="AD194" i="9"/>
  <c r="E188" i="7" s="1"/>
  <c r="AD195" i="9"/>
  <c r="E189" i="7" s="1"/>
  <c r="AD196" i="9"/>
  <c r="E190" i="7" s="1"/>
  <c r="AD197" i="9"/>
  <c r="E191" i="7" s="1"/>
  <c r="AD198" i="9"/>
  <c r="E192" i="7" s="1"/>
  <c r="AD199" i="9"/>
  <c r="E193" i="7" s="1"/>
  <c r="AD200" i="9"/>
  <c r="E194" i="7" s="1"/>
  <c r="AD201" i="9"/>
  <c r="E195" i="7" s="1"/>
  <c r="AD202" i="9"/>
  <c r="E196" i="7" s="1"/>
  <c r="AD203" i="9"/>
  <c r="E197" i="7" s="1"/>
  <c r="AD204" i="9"/>
  <c r="E198" i="7" s="1"/>
  <c r="AD205" i="9"/>
  <c r="E199" i="7" s="1"/>
  <c r="AD206" i="9"/>
  <c r="E200" i="7" s="1"/>
  <c r="AD207" i="9"/>
  <c r="E201" i="7" s="1"/>
  <c r="AD208" i="9"/>
  <c r="E202" i="7" s="1"/>
  <c r="AD209" i="9"/>
  <c r="E203" i="7" s="1"/>
  <c r="AD210" i="9"/>
  <c r="E204" i="7" s="1"/>
  <c r="AD211" i="9"/>
  <c r="E205" i="7" s="1"/>
  <c r="AD212" i="9"/>
  <c r="E206" i="7" s="1"/>
  <c r="AD213" i="9"/>
  <c r="E207" i="7" s="1"/>
  <c r="AD214" i="9"/>
  <c r="E208" i="7" s="1"/>
  <c r="AD215" i="9"/>
  <c r="E209" i="7" s="1"/>
  <c r="AD216" i="9"/>
  <c r="E210" i="7" s="1"/>
  <c r="AD217" i="9"/>
  <c r="E211" i="7" s="1"/>
  <c r="AD218" i="9"/>
  <c r="E212" i="7" s="1"/>
  <c r="AD219" i="9"/>
  <c r="E213" i="7" s="1"/>
  <c r="AD220" i="9"/>
  <c r="E214" i="7" s="1"/>
  <c r="AD221" i="9"/>
  <c r="E215" i="7" s="1"/>
  <c r="AD222" i="9"/>
  <c r="E216" i="7" s="1"/>
  <c r="AD223" i="9"/>
  <c r="E217" i="7" s="1"/>
  <c r="AD224" i="9"/>
  <c r="E218" i="7" s="1"/>
  <c r="AD225" i="9"/>
  <c r="E219" i="7" s="1"/>
  <c r="AD226" i="9"/>
  <c r="E220" i="7" s="1"/>
  <c r="AD227" i="9"/>
  <c r="E221" i="7" s="1"/>
  <c r="AD228" i="9"/>
  <c r="E222" i="7" s="1"/>
  <c r="AD229" i="9"/>
  <c r="E223" i="7" s="1"/>
  <c r="AD230" i="9"/>
  <c r="E224" i="7" s="1"/>
  <c r="AD231" i="9"/>
  <c r="E225" i="7" s="1"/>
  <c r="AD232" i="9"/>
  <c r="E226" i="7" s="1"/>
  <c r="AD233" i="9"/>
  <c r="E227" i="7" s="1"/>
  <c r="AD234" i="9"/>
  <c r="E228" i="7" s="1"/>
  <c r="AD235" i="9"/>
  <c r="E229" i="7" s="1"/>
  <c r="AD236" i="9"/>
  <c r="E230" i="7" s="1"/>
  <c r="AD237" i="9"/>
  <c r="E231" i="7" s="1"/>
  <c r="AD238" i="9"/>
  <c r="E232" i="7" s="1"/>
  <c r="AD239" i="9"/>
  <c r="E233" i="7" s="1"/>
  <c r="AD240" i="9"/>
  <c r="E234" i="7" s="1"/>
  <c r="AD241" i="9"/>
  <c r="E235" i="7" s="1"/>
  <c r="AD242" i="9"/>
  <c r="E236" i="7" s="1"/>
  <c r="AD243" i="9"/>
  <c r="E237" i="7" s="1"/>
  <c r="AD244" i="9"/>
  <c r="E238" i="7" s="1"/>
  <c r="AD245" i="9"/>
  <c r="E239" i="7" s="1"/>
  <c r="AD246" i="9"/>
  <c r="E240" i="7" s="1"/>
  <c r="AD247" i="9"/>
  <c r="E241" i="7" s="1"/>
  <c r="AD248" i="9"/>
  <c r="E242" i="7" s="1"/>
  <c r="AD249" i="9"/>
  <c r="E243" i="7" s="1"/>
  <c r="AD250" i="9"/>
  <c r="E244" i="7" s="1"/>
  <c r="AD251" i="9"/>
  <c r="E245" i="7" s="1"/>
  <c r="AD252" i="9"/>
  <c r="E246" i="7" s="1"/>
  <c r="AD253" i="9"/>
  <c r="E247" i="7" s="1"/>
  <c r="AD254" i="9"/>
  <c r="E248" i="7" s="1"/>
  <c r="AD255" i="9"/>
  <c r="E249" i="7" s="1"/>
  <c r="AD256" i="9"/>
  <c r="E250" i="7" s="1"/>
  <c r="AD257" i="9"/>
  <c r="E251" i="7" s="1"/>
  <c r="AD258" i="9"/>
  <c r="E252" i="7" s="1"/>
  <c r="AD259" i="9"/>
  <c r="E253" i="7" s="1"/>
  <c r="AD260" i="9"/>
  <c r="E254" i="7" s="1"/>
  <c r="AD261" i="9"/>
  <c r="E255" i="7" s="1"/>
  <c r="AD262" i="9"/>
  <c r="E256" i="7" s="1"/>
  <c r="AD263" i="9"/>
  <c r="E257" i="7" s="1"/>
  <c r="AD264" i="9"/>
  <c r="E258" i="7" s="1"/>
  <c r="AD265" i="9"/>
  <c r="E259" i="7" s="1"/>
  <c r="AD266" i="9"/>
  <c r="E260" i="7" s="1"/>
  <c r="AD267" i="9"/>
  <c r="E261" i="7" s="1"/>
  <c r="AD268" i="9"/>
  <c r="E262" i="7" s="1"/>
  <c r="AD269" i="9"/>
  <c r="E263" i="7" s="1"/>
  <c r="AD270" i="9"/>
  <c r="E264" i="7" s="1"/>
  <c r="AD271" i="9"/>
  <c r="E265" i="7" s="1"/>
  <c r="AD272" i="9"/>
  <c r="E266" i="7" s="1"/>
  <c r="AD273" i="9"/>
  <c r="E267" i="7" s="1"/>
  <c r="AD274" i="9"/>
  <c r="E268" i="7" s="1"/>
  <c r="AD275" i="9"/>
  <c r="E269" i="7" s="1"/>
  <c r="AD276" i="9"/>
  <c r="E270" i="7" s="1"/>
  <c r="AD277" i="9"/>
  <c r="E271" i="7" s="1"/>
  <c r="AD278" i="9"/>
  <c r="E272" i="7" s="1"/>
  <c r="AD279" i="9"/>
  <c r="E273" i="7" s="1"/>
  <c r="AD280" i="9"/>
  <c r="E274" i="7" s="1"/>
  <c r="AD281" i="9"/>
  <c r="E275" i="7" s="1"/>
  <c r="AD282" i="9"/>
  <c r="E276" i="7" s="1"/>
  <c r="AD283" i="9"/>
  <c r="E277" i="7" s="1"/>
  <c r="AD284" i="9"/>
  <c r="E278" i="7" s="1"/>
  <c r="AD285" i="9"/>
  <c r="E279" i="7" s="1"/>
  <c r="AD286" i="9"/>
  <c r="E280" i="7" s="1"/>
  <c r="AD287" i="9"/>
  <c r="E281" i="7" s="1"/>
  <c r="AD288" i="9"/>
  <c r="E282" i="7" s="1"/>
  <c r="AD289" i="9"/>
  <c r="E283" i="7" s="1"/>
  <c r="AD290" i="9"/>
  <c r="E284" i="7" s="1"/>
  <c r="AD291" i="9"/>
  <c r="E285" i="7" s="1"/>
  <c r="AD292" i="9"/>
  <c r="E286" i="7" s="1"/>
  <c r="AD293" i="9"/>
  <c r="E287" i="7" s="1"/>
  <c r="AD294" i="9"/>
  <c r="E288" i="7" s="1"/>
  <c r="AD295" i="9"/>
  <c r="E289" i="7" s="1"/>
  <c r="AD296" i="9"/>
  <c r="E290" i="7" s="1"/>
  <c r="AD297" i="9"/>
  <c r="E291" i="7" s="1"/>
  <c r="AD298" i="9"/>
  <c r="E292" i="7" s="1"/>
  <c r="AD299" i="9"/>
  <c r="E293" i="7" s="1"/>
  <c r="AD300" i="9"/>
  <c r="E294" i="7" s="1"/>
  <c r="AD301" i="9"/>
  <c r="E295" i="7" s="1"/>
  <c r="AD302" i="9"/>
  <c r="E296" i="7" s="1"/>
  <c r="AD303" i="9"/>
  <c r="E297" i="7" s="1"/>
  <c r="AD304" i="9"/>
  <c r="E298" i="7" s="1"/>
  <c r="AD13" i="9"/>
  <c r="E7" i="7" s="1"/>
  <c r="V12" i="9"/>
  <c r="W12" i="9"/>
  <c r="X12" i="9"/>
  <c r="Y12" i="9"/>
  <c r="Z12" i="9"/>
  <c r="AA12" i="9"/>
  <c r="AB12" i="9"/>
  <c r="AC12" i="9"/>
  <c r="T12" i="9"/>
  <c r="P8" i="8"/>
  <c r="D8" i="7" s="1"/>
  <c r="P9" i="8"/>
  <c r="D9" i="7" s="1"/>
  <c r="P10" i="8"/>
  <c r="D10" i="7" s="1"/>
  <c r="P11" i="8"/>
  <c r="D11" i="7" s="1"/>
  <c r="P12" i="8"/>
  <c r="D12" i="7" s="1"/>
  <c r="P13" i="8"/>
  <c r="D13" i="7" s="1"/>
  <c r="P14" i="8"/>
  <c r="D14" i="7" s="1"/>
  <c r="P15" i="8"/>
  <c r="D15" i="7" s="1"/>
  <c r="P16" i="8"/>
  <c r="D16" i="7" s="1"/>
  <c r="P17" i="8"/>
  <c r="D17" i="7" s="1"/>
  <c r="P18" i="8"/>
  <c r="D18" i="7" s="1"/>
  <c r="P19" i="8"/>
  <c r="D19" i="7" s="1"/>
  <c r="P20" i="8"/>
  <c r="D20" i="7" s="1"/>
  <c r="P21" i="8"/>
  <c r="D21" i="7" s="1"/>
  <c r="P22" i="8"/>
  <c r="D22" i="7" s="1"/>
  <c r="P23" i="8"/>
  <c r="D23" i="7" s="1"/>
  <c r="P24" i="8"/>
  <c r="D24" i="7" s="1"/>
  <c r="P25" i="8"/>
  <c r="D25" i="7" s="1"/>
  <c r="P26" i="8"/>
  <c r="D26" i="7" s="1"/>
  <c r="P27" i="8"/>
  <c r="D27" i="7" s="1"/>
  <c r="P28" i="8"/>
  <c r="D28" i="7" s="1"/>
  <c r="P29" i="8"/>
  <c r="D29" i="7" s="1"/>
  <c r="P30" i="8"/>
  <c r="D30" i="7" s="1"/>
  <c r="P31" i="8"/>
  <c r="D31" i="7" s="1"/>
  <c r="P32" i="8"/>
  <c r="D32" i="7" s="1"/>
  <c r="P33" i="8"/>
  <c r="D33" i="7" s="1"/>
  <c r="P34" i="8"/>
  <c r="D34" i="7" s="1"/>
  <c r="P35" i="8"/>
  <c r="D35" i="7" s="1"/>
  <c r="P36" i="8"/>
  <c r="D36" i="7" s="1"/>
  <c r="P37" i="8"/>
  <c r="D37" i="7" s="1"/>
  <c r="P38" i="8"/>
  <c r="D38" i="7" s="1"/>
  <c r="P39" i="8"/>
  <c r="D39" i="7" s="1"/>
  <c r="P40" i="8"/>
  <c r="D40" i="7" s="1"/>
  <c r="P41" i="8"/>
  <c r="D41" i="7" s="1"/>
  <c r="P42" i="8"/>
  <c r="D42" i="7" s="1"/>
  <c r="P43" i="8"/>
  <c r="D43" i="7" s="1"/>
  <c r="P44" i="8"/>
  <c r="D44" i="7" s="1"/>
  <c r="P45" i="8"/>
  <c r="D45" i="7" s="1"/>
  <c r="P46" i="8"/>
  <c r="D46" i="7" s="1"/>
  <c r="P47" i="8"/>
  <c r="D47" i="7" s="1"/>
  <c r="P48" i="8"/>
  <c r="D48" i="7" s="1"/>
  <c r="P49" i="8"/>
  <c r="D49" i="7" s="1"/>
  <c r="P50" i="8"/>
  <c r="D50" i="7" s="1"/>
  <c r="P51" i="8"/>
  <c r="D51" i="7" s="1"/>
  <c r="P52" i="8"/>
  <c r="D52" i="7" s="1"/>
  <c r="P53" i="8"/>
  <c r="D53" i="7" s="1"/>
  <c r="P54" i="8"/>
  <c r="D54" i="7" s="1"/>
  <c r="P55" i="8"/>
  <c r="D55" i="7" s="1"/>
  <c r="P56" i="8"/>
  <c r="D56" i="7" s="1"/>
  <c r="P57" i="8"/>
  <c r="D57" i="7" s="1"/>
  <c r="P58" i="8"/>
  <c r="D58" i="7" s="1"/>
  <c r="P59" i="8"/>
  <c r="D59" i="7" s="1"/>
  <c r="P60" i="8"/>
  <c r="D60" i="7" s="1"/>
  <c r="P61" i="8"/>
  <c r="D61" i="7" s="1"/>
  <c r="P62" i="8"/>
  <c r="D62" i="7" s="1"/>
  <c r="P63" i="8"/>
  <c r="D63" i="7" s="1"/>
  <c r="P64" i="8"/>
  <c r="D64" i="7" s="1"/>
  <c r="P65" i="8"/>
  <c r="D65" i="7" s="1"/>
  <c r="P66" i="8"/>
  <c r="D66" i="7" s="1"/>
  <c r="P67" i="8"/>
  <c r="D67" i="7" s="1"/>
  <c r="P68" i="8"/>
  <c r="D68" i="7" s="1"/>
  <c r="P69" i="8"/>
  <c r="D69" i="7" s="1"/>
  <c r="P70" i="8"/>
  <c r="D70" i="7" s="1"/>
  <c r="P71" i="8"/>
  <c r="D71" i="7" s="1"/>
  <c r="P72" i="8"/>
  <c r="D72" i="7" s="1"/>
  <c r="P73" i="8"/>
  <c r="D73" i="7" s="1"/>
  <c r="P74" i="8"/>
  <c r="D74" i="7" s="1"/>
  <c r="P75" i="8"/>
  <c r="D75" i="7" s="1"/>
  <c r="P76" i="8"/>
  <c r="D76" i="7" s="1"/>
  <c r="P77" i="8"/>
  <c r="D77" i="7" s="1"/>
  <c r="P78" i="8"/>
  <c r="D78" i="7" s="1"/>
  <c r="P79" i="8"/>
  <c r="D79" i="7" s="1"/>
  <c r="P80" i="8"/>
  <c r="D80" i="7" s="1"/>
  <c r="P81" i="8"/>
  <c r="D81" i="7" s="1"/>
  <c r="P82" i="8"/>
  <c r="D82" i="7" s="1"/>
  <c r="P83" i="8"/>
  <c r="D83" i="7" s="1"/>
  <c r="P84" i="8"/>
  <c r="D84" i="7" s="1"/>
  <c r="P85" i="8"/>
  <c r="D85" i="7" s="1"/>
  <c r="P86" i="8"/>
  <c r="D86" i="7" s="1"/>
  <c r="P87" i="8"/>
  <c r="D87" i="7" s="1"/>
  <c r="P88" i="8"/>
  <c r="D88" i="7" s="1"/>
  <c r="P89" i="8"/>
  <c r="D89" i="7" s="1"/>
  <c r="P90" i="8"/>
  <c r="D90" i="7" s="1"/>
  <c r="P91" i="8"/>
  <c r="D91" i="7" s="1"/>
  <c r="P92" i="8"/>
  <c r="D92" i="7" s="1"/>
  <c r="P93" i="8"/>
  <c r="D93" i="7" s="1"/>
  <c r="P94" i="8"/>
  <c r="D94" i="7" s="1"/>
  <c r="P95" i="8"/>
  <c r="D95" i="7" s="1"/>
  <c r="P96" i="8"/>
  <c r="D96" i="7" s="1"/>
  <c r="P97" i="8"/>
  <c r="D97" i="7" s="1"/>
  <c r="P98" i="8"/>
  <c r="D98" i="7" s="1"/>
  <c r="P99" i="8"/>
  <c r="D99" i="7" s="1"/>
  <c r="P100" i="8"/>
  <c r="D100" i="7" s="1"/>
  <c r="P101" i="8"/>
  <c r="D101" i="7" s="1"/>
  <c r="P102" i="8"/>
  <c r="D102" i="7" s="1"/>
  <c r="P103" i="8"/>
  <c r="D103" i="7" s="1"/>
  <c r="P104" i="8"/>
  <c r="D104" i="7" s="1"/>
  <c r="P105" i="8"/>
  <c r="D105" i="7" s="1"/>
  <c r="P106" i="8"/>
  <c r="D106" i="7" s="1"/>
  <c r="P107" i="8"/>
  <c r="D107" i="7" s="1"/>
  <c r="P108" i="8"/>
  <c r="D108" i="7" s="1"/>
  <c r="P109" i="8"/>
  <c r="D109" i="7" s="1"/>
  <c r="P110" i="8"/>
  <c r="D110" i="7" s="1"/>
  <c r="P111" i="8"/>
  <c r="D111" i="7" s="1"/>
  <c r="P112" i="8"/>
  <c r="D112" i="7" s="1"/>
  <c r="P113" i="8"/>
  <c r="D113" i="7" s="1"/>
  <c r="P114" i="8"/>
  <c r="D114" i="7" s="1"/>
  <c r="P115" i="8"/>
  <c r="D115" i="7" s="1"/>
  <c r="P116" i="8"/>
  <c r="D116" i="7" s="1"/>
  <c r="P117" i="8"/>
  <c r="D117" i="7" s="1"/>
  <c r="P118" i="8"/>
  <c r="D118" i="7" s="1"/>
  <c r="P119" i="8"/>
  <c r="D119" i="7" s="1"/>
  <c r="P120" i="8"/>
  <c r="D120" i="7" s="1"/>
  <c r="P121" i="8"/>
  <c r="D121" i="7" s="1"/>
  <c r="P122" i="8"/>
  <c r="D122" i="7" s="1"/>
  <c r="P123" i="8"/>
  <c r="D123" i="7" s="1"/>
  <c r="P124" i="8"/>
  <c r="D124" i="7" s="1"/>
  <c r="P125" i="8"/>
  <c r="D125" i="7" s="1"/>
  <c r="P126" i="8"/>
  <c r="D126" i="7" s="1"/>
  <c r="P127" i="8"/>
  <c r="D127" i="7" s="1"/>
  <c r="P128" i="8"/>
  <c r="D128" i="7" s="1"/>
  <c r="P129" i="8"/>
  <c r="D129" i="7" s="1"/>
  <c r="P130" i="8"/>
  <c r="D130" i="7" s="1"/>
  <c r="P131" i="8"/>
  <c r="D131" i="7" s="1"/>
  <c r="P132" i="8"/>
  <c r="D132" i="7" s="1"/>
  <c r="P133" i="8"/>
  <c r="D133" i="7" s="1"/>
  <c r="P134" i="8"/>
  <c r="D134" i="7" s="1"/>
  <c r="P135" i="8"/>
  <c r="D135" i="7" s="1"/>
  <c r="P136" i="8"/>
  <c r="D136" i="7" s="1"/>
  <c r="P137" i="8"/>
  <c r="D137" i="7" s="1"/>
  <c r="P138" i="8"/>
  <c r="D138" i="7" s="1"/>
  <c r="P139" i="8"/>
  <c r="D139" i="7" s="1"/>
  <c r="P140" i="8"/>
  <c r="D140" i="7" s="1"/>
  <c r="P141" i="8"/>
  <c r="D141" i="7" s="1"/>
  <c r="P142" i="8"/>
  <c r="D142" i="7" s="1"/>
  <c r="P143" i="8"/>
  <c r="D143" i="7" s="1"/>
  <c r="P144" i="8"/>
  <c r="D144" i="7" s="1"/>
  <c r="P145" i="8"/>
  <c r="D145" i="7" s="1"/>
  <c r="P146" i="8"/>
  <c r="D146" i="7" s="1"/>
  <c r="P147" i="8"/>
  <c r="D147" i="7" s="1"/>
  <c r="P148" i="8"/>
  <c r="D148" i="7" s="1"/>
  <c r="P149" i="8"/>
  <c r="D149" i="7" s="1"/>
  <c r="P150" i="8"/>
  <c r="D150" i="7" s="1"/>
  <c r="P151" i="8"/>
  <c r="D151" i="7" s="1"/>
  <c r="P152" i="8"/>
  <c r="D152" i="7" s="1"/>
  <c r="P153" i="8"/>
  <c r="D153" i="7" s="1"/>
  <c r="P154" i="8"/>
  <c r="D154" i="7" s="1"/>
  <c r="P155" i="8"/>
  <c r="D155" i="7" s="1"/>
  <c r="P156" i="8"/>
  <c r="D156" i="7" s="1"/>
  <c r="P157" i="8"/>
  <c r="D157" i="7" s="1"/>
  <c r="P158" i="8"/>
  <c r="D158" i="7" s="1"/>
  <c r="P159" i="8"/>
  <c r="D159" i="7" s="1"/>
  <c r="P160" i="8"/>
  <c r="D160" i="7" s="1"/>
  <c r="P161" i="8"/>
  <c r="D161" i="7" s="1"/>
  <c r="P162" i="8"/>
  <c r="D162" i="7" s="1"/>
  <c r="P163" i="8"/>
  <c r="D163" i="7" s="1"/>
  <c r="P164" i="8"/>
  <c r="D164" i="7" s="1"/>
  <c r="P165" i="8"/>
  <c r="D165" i="7" s="1"/>
  <c r="P166" i="8"/>
  <c r="D166" i="7" s="1"/>
  <c r="P167" i="8"/>
  <c r="D167" i="7" s="1"/>
  <c r="P168" i="8"/>
  <c r="D168" i="7" s="1"/>
  <c r="P169" i="8"/>
  <c r="D169" i="7" s="1"/>
  <c r="P170" i="8"/>
  <c r="D170" i="7" s="1"/>
  <c r="P171" i="8"/>
  <c r="D171" i="7" s="1"/>
  <c r="P172" i="8"/>
  <c r="D172" i="7" s="1"/>
  <c r="P173" i="8"/>
  <c r="D173" i="7" s="1"/>
  <c r="P174" i="8"/>
  <c r="D174" i="7" s="1"/>
  <c r="P175" i="8"/>
  <c r="D175" i="7" s="1"/>
  <c r="P176" i="8"/>
  <c r="D176" i="7" s="1"/>
  <c r="P177" i="8"/>
  <c r="D177" i="7" s="1"/>
  <c r="P178" i="8"/>
  <c r="D178" i="7" s="1"/>
  <c r="P179" i="8"/>
  <c r="D179" i="7" s="1"/>
  <c r="P180" i="8"/>
  <c r="D180" i="7" s="1"/>
  <c r="P181" i="8"/>
  <c r="D181" i="7" s="1"/>
  <c r="P182" i="8"/>
  <c r="D182" i="7" s="1"/>
  <c r="P183" i="8"/>
  <c r="D183" i="7" s="1"/>
  <c r="P184" i="8"/>
  <c r="D184" i="7" s="1"/>
  <c r="P185" i="8"/>
  <c r="D185" i="7" s="1"/>
  <c r="F185" i="7" s="1"/>
  <c r="I185" i="7" s="1"/>
  <c r="L185" i="7" s="1"/>
  <c r="P186" i="8"/>
  <c r="D186" i="7" s="1"/>
  <c r="P187" i="8"/>
  <c r="D187" i="7" s="1"/>
  <c r="P188" i="8"/>
  <c r="D188" i="7" s="1"/>
  <c r="P189" i="8"/>
  <c r="D189" i="7" s="1"/>
  <c r="P190" i="8"/>
  <c r="D190" i="7" s="1"/>
  <c r="P191" i="8"/>
  <c r="D191" i="7" s="1"/>
  <c r="P192" i="8"/>
  <c r="D192" i="7" s="1"/>
  <c r="P193" i="8"/>
  <c r="D193" i="7" s="1"/>
  <c r="P194" i="8"/>
  <c r="D194" i="7" s="1"/>
  <c r="P195" i="8"/>
  <c r="D195" i="7" s="1"/>
  <c r="P196" i="8"/>
  <c r="D196" i="7" s="1"/>
  <c r="P197" i="8"/>
  <c r="D197" i="7" s="1"/>
  <c r="P198" i="8"/>
  <c r="D198" i="7" s="1"/>
  <c r="P199" i="8"/>
  <c r="D199" i="7" s="1"/>
  <c r="P200" i="8"/>
  <c r="D200" i="7" s="1"/>
  <c r="P201" i="8"/>
  <c r="D201" i="7" s="1"/>
  <c r="P202" i="8"/>
  <c r="D202" i="7" s="1"/>
  <c r="P203" i="8"/>
  <c r="D203" i="7" s="1"/>
  <c r="P204" i="8"/>
  <c r="D204" i="7" s="1"/>
  <c r="P205" i="8"/>
  <c r="D205" i="7" s="1"/>
  <c r="P206" i="8"/>
  <c r="D206" i="7" s="1"/>
  <c r="P207" i="8"/>
  <c r="D207" i="7" s="1"/>
  <c r="P208" i="8"/>
  <c r="D208" i="7" s="1"/>
  <c r="P209" i="8"/>
  <c r="D209" i="7" s="1"/>
  <c r="P210" i="8"/>
  <c r="D210" i="7" s="1"/>
  <c r="P211" i="8"/>
  <c r="D211" i="7" s="1"/>
  <c r="P212" i="8"/>
  <c r="D212" i="7" s="1"/>
  <c r="P213" i="8"/>
  <c r="D213" i="7" s="1"/>
  <c r="P214" i="8"/>
  <c r="D214" i="7" s="1"/>
  <c r="P215" i="8"/>
  <c r="D215" i="7" s="1"/>
  <c r="P216" i="8"/>
  <c r="D216" i="7" s="1"/>
  <c r="P217" i="8"/>
  <c r="D217" i="7" s="1"/>
  <c r="P218" i="8"/>
  <c r="D218" i="7" s="1"/>
  <c r="P219" i="8"/>
  <c r="D219" i="7" s="1"/>
  <c r="P220" i="8"/>
  <c r="D220" i="7" s="1"/>
  <c r="P221" i="8"/>
  <c r="D221" i="7" s="1"/>
  <c r="P222" i="8"/>
  <c r="D222" i="7" s="1"/>
  <c r="P223" i="8"/>
  <c r="D223" i="7" s="1"/>
  <c r="P224" i="8"/>
  <c r="D224" i="7" s="1"/>
  <c r="P225" i="8"/>
  <c r="D225" i="7" s="1"/>
  <c r="P226" i="8"/>
  <c r="D226" i="7" s="1"/>
  <c r="P227" i="8"/>
  <c r="D227" i="7" s="1"/>
  <c r="P228" i="8"/>
  <c r="D228" i="7" s="1"/>
  <c r="P229" i="8"/>
  <c r="D229" i="7" s="1"/>
  <c r="P230" i="8"/>
  <c r="D230" i="7" s="1"/>
  <c r="P231" i="8"/>
  <c r="D231" i="7" s="1"/>
  <c r="P232" i="8"/>
  <c r="D232" i="7" s="1"/>
  <c r="P233" i="8"/>
  <c r="D233" i="7" s="1"/>
  <c r="P234" i="8"/>
  <c r="D234" i="7" s="1"/>
  <c r="P235" i="8"/>
  <c r="D235" i="7" s="1"/>
  <c r="P236" i="8"/>
  <c r="D236" i="7" s="1"/>
  <c r="P237" i="8"/>
  <c r="D237" i="7" s="1"/>
  <c r="P238" i="8"/>
  <c r="D238" i="7" s="1"/>
  <c r="P239" i="8"/>
  <c r="D239" i="7" s="1"/>
  <c r="P240" i="8"/>
  <c r="D240" i="7" s="1"/>
  <c r="P241" i="8"/>
  <c r="D241" i="7" s="1"/>
  <c r="P242" i="8"/>
  <c r="D242" i="7" s="1"/>
  <c r="P243" i="8"/>
  <c r="D243" i="7" s="1"/>
  <c r="P244" i="8"/>
  <c r="D244" i="7" s="1"/>
  <c r="P245" i="8"/>
  <c r="D245" i="7" s="1"/>
  <c r="P246" i="8"/>
  <c r="D246" i="7" s="1"/>
  <c r="P247" i="8"/>
  <c r="D247" i="7" s="1"/>
  <c r="P248" i="8"/>
  <c r="D248" i="7" s="1"/>
  <c r="P249" i="8"/>
  <c r="D249" i="7" s="1"/>
  <c r="P250" i="8"/>
  <c r="D250" i="7" s="1"/>
  <c r="P251" i="8"/>
  <c r="D251" i="7" s="1"/>
  <c r="P252" i="8"/>
  <c r="D252" i="7" s="1"/>
  <c r="P253" i="8"/>
  <c r="D253" i="7" s="1"/>
  <c r="P254" i="8"/>
  <c r="D254" i="7" s="1"/>
  <c r="P255" i="8"/>
  <c r="D255" i="7" s="1"/>
  <c r="P256" i="8"/>
  <c r="D256" i="7" s="1"/>
  <c r="P257" i="8"/>
  <c r="D257" i="7" s="1"/>
  <c r="P258" i="8"/>
  <c r="D258" i="7" s="1"/>
  <c r="P259" i="8"/>
  <c r="D259" i="7" s="1"/>
  <c r="P260" i="8"/>
  <c r="D260" i="7" s="1"/>
  <c r="P261" i="8"/>
  <c r="D261" i="7" s="1"/>
  <c r="P262" i="8"/>
  <c r="D262" i="7" s="1"/>
  <c r="P263" i="8"/>
  <c r="D263" i="7" s="1"/>
  <c r="P264" i="8"/>
  <c r="D264" i="7" s="1"/>
  <c r="P265" i="8"/>
  <c r="D265" i="7" s="1"/>
  <c r="P266" i="8"/>
  <c r="D266" i="7" s="1"/>
  <c r="P267" i="8"/>
  <c r="D267" i="7" s="1"/>
  <c r="P268" i="8"/>
  <c r="D268" i="7" s="1"/>
  <c r="P269" i="8"/>
  <c r="D269" i="7" s="1"/>
  <c r="P270" i="8"/>
  <c r="D270" i="7" s="1"/>
  <c r="P271" i="8"/>
  <c r="D271" i="7" s="1"/>
  <c r="P272" i="8"/>
  <c r="D272" i="7" s="1"/>
  <c r="P273" i="8"/>
  <c r="D273" i="7" s="1"/>
  <c r="P274" i="8"/>
  <c r="D274" i="7" s="1"/>
  <c r="P275" i="8"/>
  <c r="D275" i="7" s="1"/>
  <c r="P276" i="8"/>
  <c r="D276" i="7" s="1"/>
  <c r="P277" i="8"/>
  <c r="D277" i="7" s="1"/>
  <c r="P278" i="8"/>
  <c r="D278" i="7" s="1"/>
  <c r="P279" i="8"/>
  <c r="D279" i="7" s="1"/>
  <c r="P280" i="8"/>
  <c r="D280" i="7" s="1"/>
  <c r="P281" i="8"/>
  <c r="D281" i="7" s="1"/>
  <c r="P282" i="8"/>
  <c r="D282" i="7" s="1"/>
  <c r="P283" i="8"/>
  <c r="D283" i="7" s="1"/>
  <c r="P284" i="8"/>
  <c r="D284" i="7" s="1"/>
  <c r="P285" i="8"/>
  <c r="D285" i="7" s="1"/>
  <c r="P286" i="8"/>
  <c r="D286" i="7" s="1"/>
  <c r="P287" i="8"/>
  <c r="D287" i="7" s="1"/>
  <c r="P288" i="8"/>
  <c r="D288" i="7" s="1"/>
  <c r="P289" i="8"/>
  <c r="D289" i="7" s="1"/>
  <c r="P290" i="8"/>
  <c r="D290" i="7" s="1"/>
  <c r="P291" i="8"/>
  <c r="D291" i="7" s="1"/>
  <c r="P292" i="8"/>
  <c r="D292" i="7" s="1"/>
  <c r="P293" i="8"/>
  <c r="D293" i="7" s="1"/>
  <c r="P294" i="8"/>
  <c r="D294" i="7" s="1"/>
  <c r="P295" i="8"/>
  <c r="D295" i="7" s="1"/>
  <c r="P296" i="8"/>
  <c r="D296" i="7" s="1"/>
  <c r="P297" i="8"/>
  <c r="D297" i="7" s="1"/>
  <c r="P298" i="8"/>
  <c r="D298" i="7" s="1"/>
  <c r="P7" i="8"/>
  <c r="D7" i="7" s="1"/>
  <c r="K6" i="8"/>
  <c r="L6" i="8"/>
  <c r="M6" i="8"/>
  <c r="N6" i="8"/>
  <c r="O6" i="8"/>
  <c r="I6" i="8"/>
  <c r="C7" i="8"/>
  <c r="L14" i="9" l="1"/>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49" i="9"/>
  <c r="L150" i="9"/>
  <c r="L151" i="9"/>
  <c r="L152" i="9"/>
  <c r="L153" i="9"/>
  <c r="L154" i="9"/>
  <c r="L155" i="9"/>
  <c r="L156" i="9"/>
  <c r="L157" i="9"/>
  <c r="L158" i="9"/>
  <c r="L159" i="9"/>
  <c r="L160" i="9"/>
  <c r="L161" i="9"/>
  <c r="L162" i="9"/>
  <c r="L163" i="9"/>
  <c r="L164" i="9"/>
  <c r="L165" i="9"/>
  <c r="L166" i="9"/>
  <c r="L167" i="9"/>
  <c r="L168" i="9"/>
  <c r="L169" i="9"/>
  <c r="L170" i="9"/>
  <c r="L171" i="9"/>
  <c r="L172" i="9"/>
  <c r="L173" i="9"/>
  <c r="L174" i="9"/>
  <c r="L175" i="9"/>
  <c r="L176" i="9"/>
  <c r="L177" i="9"/>
  <c r="L178" i="9"/>
  <c r="L179" i="9"/>
  <c r="L180" i="9"/>
  <c r="L181" i="9"/>
  <c r="L182" i="9"/>
  <c r="L183" i="9"/>
  <c r="L184" i="9"/>
  <c r="L185" i="9"/>
  <c r="L186" i="9"/>
  <c r="L187" i="9"/>
  <c r="L188" i="9"/>
  <c r="L189" i="9"/>
  <c r="L190" i="9"/>
  <c r="L191" i="9"/>
  <c r="L192" i="9"/>
  <c r="L193" i="9"/>
  <c r="L194" i="9"/>
  <c r="L195" i="9"/>
  <c r="L196" i="9"/>
  <c r="L197" i="9"/>
  <c r="L198" i="9"/>
  <c r="L199" i="9"/>
  <c r="L200" i="9"/>
  <c r="L201" i="9"/>
  <c r="L202" i="9"/>
  <c r="L203" i="9"/>
  <c r="L204" i="9"/>
  <c r="L205" i="9"/>
  <c r="L206" i="9"/>
  <c r="L207" i="9"/>
  <c r="L208" i="9"/>
  <c r="L209" i="9"/>
  <c r="L210" i="9"/>
  <c r="L211" i="9"/>
  <c r="L212" i="9"/>
  <c r="L213" i="9"/>
  <c r="L214" i="9"/>
  <c r="L215" i="9"/>
  <c r="L216" i="9"/>
  <c r="L217" i="9"/>
  <c r="L218" i="9"/>
  <c r="L219" i="9"/>
  <c r="L220" i="9"/>
  <c r="L221" i="9"/>
  <c r="L222" i="9"/>
  <c r="L223" i="9"/>
  <c r="L224" i="9"/>
  <c r="L225" i="9"/>
  <c r="L226" i="9"/>
  <c r="L227" i="9"/>
  <c r="L228" i="9"/>
  <c r="L229" i="9"/>
  <c r="L230" i="9"/>
  <c r="L231" i="9"/>
  <c r="L232" i="9"/>
  <c r="L233" i="9"/>
  <c r="L234" i="9"/>
  <c r="L235" i="9"/>
  <c r="L236" i="9"/>
  <c r="L237" i="9"/>
  <c r="L238" i="9"/>
  <c r="L239" i="9"/>
  <c r="L240" i="9"/>
  <c r="L241" i="9"/>
  <c r="L242" i="9"/>
  <c r="L243" i="9"/>
  <c r="L244" i="9"/>
  <c r="L245" i="9"/>
  <c r="L246" i="9"/>
  <c r="L247" i="9"/>
  <c r="L248" i="9"/>
  <c r="L249" i="9"/>
  <c r="L250" i="9"/>
  <c r="L251" i="9"/>
  <c r="L252" i="9"/>
  <c r="L253" i="9"/>
  <c r="L254" i="9"/>
  <c r="L255" i="9"/>
  <c r="L256" i="9"/>
  <c r="L257" i="9"/>
  <c r="L258" i="9"/>
  <c r="L259" i="9"/>
  <c r="L260" i="9"/>
  <c r="L261" i="9"/>
  <c r="L262" i="9"/>
  <c r="L263" i="9"/>
  <c r="L264" i="9"/>
  <c r="L265" i="9"/>
  <c r="L266" i="9"/>
  <c r="L267" i="9"/>
  <c r="L268" i="9"/>
  <c r="L269" i="9"/>
  <c r="L270" i="9"/>
  <c r="L271" i="9"/>
  <c r="L272" i="9"/>
  <c r="L273" i="9"/>
  <c r="L274" i="9"/>
  <c r="L275" i="9"/>
  <c r="L276" i="9"/>
  <c r="L277" i="9"/>
  <c r="L278" i="9"/>
  <c r="L279" i="9"/>
  <c r="L280" i="9"/>
  <c r="L281" i="9"/>
  <c r="L282" i="9"/>
  <c r="L283" i="9"/>
  <c r="L284" i="9"/>
  <c r="L285" i="9"/>
  <c r="L286" i="9"/>
  <c r="L287" i="9"/>
  <c r="L288" i="9"/>
  <c r="L289" i="9"/>
  <c r="L290" i="9"/>
  <c r="L291" i="9"/>
  <c r="L292" i="9"/>
  <c r="L293" i="9"/>
  <c r="L294" i="9"/>
  <c r="L295" i="9"/>
  <c r="L296" i="9"/>
  <c r="L297" i="9"/>
  <c r="L298" i="9"/>
  <c r="L299" i="9"/>
  <c r="L300" i="9"/>
  <c r="L301" i="9"/>
  <c r="L302" i="9"/>
  <c r="L303" i="9"/>
  <c r="L304" i="9"/>
  <c r="L13" i="9"/>
  <c r="O6" i="7" l="1"/>
  <c r="L4" i="11" l="1"/>
  <c r="O4" i="11" l="1"/>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C12" i="9"/>
  <c r="C8" i="8" l="1"/>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93" i="8"/>
  <c r="C194" i="8"/>
  <c r="C195" i="8"/>
  <c r="C196" i="8"/>
  <c r="C197" i="8"/>
  <c r="C198" i="8"/>
  <c r="C199" i="8"/>
  <c r="C200" i="8"/>
  <c r="C201" i="8"/>
  <c r="C202" i="8"/>
  <c r="C203" i="8"/>
  <c r="C204" i="8"/>
  <c r="C205" i="8"/>
  <c r="C206" i="8"/>
  <c r="C207" i="8"/>
  <c r="C208" i="8"/>
  <c r="C209" i="8"/>
  <c r="C210" i="8"/>
  <c r="C211" i="8"/>
  <c r="C212" i="8"/>
  <c r="C213" i="8"/>
  <c r="C214" i="8"/>
  <c r="C215" i="8"/>
  <c r="C216" i="8"/>
  <c r="C217" i="8"/>
  <c r="C218" i="8"/>
  <c r="C219" i="8"/>
  <c r="C220" i="8"/>
  <c r="C221" i="8"/>
  <c r="C222" i="8"/>
  <c r="C223" i="8"/>
  <c r="C224" i="8"/>
  <c r="C225" i="8"/>
  <c r="C226" i="8"/>
  <c r="C227" i="8"/>
  <c r="C228" i="8"/>
  <c r="C229" i="8"/>
  <c r="C230" i="8"/>
  <c r="C231" i="8"/>
  <c r="C232" i="8"/>
  <c r="C233" i="8"/>
  <c r="C234" i="8"/>
  <c r="C235" i="8"/>
  <c r="C236" i="8"/>
  <c r="C237" i="8"/>
  <c r="C238" i="8"/>
  <c r="C239" i="8"/>
  <c r="C240" i="8"/>
  <c r="C241" i="8"/>
  <c r="C242" i="8"/>
  <c r="C243" i="8"/>
  <c r="C244" i="8"/>
  <c r="C245" i="8"/>
  <c r="C246" i="8"/>
  <c r="C247" i="8"/>
  <c r="C248" i="8"/>
  <c r="C249" i="8"/>
  <c r="C250" i="8"/>
  <c r="C251" i="8"/>
  <c r="C252" i="8"/>
  <c r="C253" i="8"/>
  <c r="C254" i="8"/>
  <c r="C255" i="8"/>
  <c r="C256" i="8"/>
  <c r="C257" i="8"/>
  <c r="C258" i="8"/>
  <c r="C259" i="8"/>
  <c r="C260" i="8"/>
  <c r="C261" i="8"/>
  <c r="C262" i="8"/>
  <c r="C263" i="8"/>
  <c r="C264" i="8"/>
  <c r="C265" i="8"/>
  <c r="C266" i="8"/>
  <c r="C267" i="8"/>
  <c r="C268" i="8"/>
  <c r="C269" i="8"/>
  <c r="C270" i="8"/>
  <c r="C271" i="8"/>
  <c r="C272" i="8"/>
  <c r="C273" i="8"/>
  <c r="C274" i="8"/>
  <c r="C275" i="8"/>
  <c r="C276" i="8"/>
  <c r="C277" i="8"/>
  <c r="C278" i="8"/>
  <c r="C279" i="8"/>
  <c r="C280" i="8"/>
  <c r="C281" i="8"/>
  <c r="C282" i="8"/>
  <c r="C283" i="8"/>
  <c r="C284" i="8"/>
  <c r="C285" i="8"/>
  <c r="C286" i="8"/>
  <c r="C287" i="8"/>
  <c r="C288" i="8"/>
  <c r="C289" i="8"/>
  <c r="C290" i="8"/>
  <c r="C291" i="8"/>
  <c r="C292" i="8"/>
  <c r="C293" i="8"/>
  <c r="C294" i="8"/>
  <c r="C295" i="8"/>
  <c r="C296" i="8"/>
  <c r="C297" i="8"/>
  <c r="C298" i="8"/>
  <c r="Q6" i="7" l="1"/>
  <c r="R299" i="7" l="1"/>
  <c r="R300" i="7"/>
  <c r="R301" i="7"/>
  <c r="R302" i="7"/>
  <c r="R303" i="7"/>
  <c r="R304" i="7"/>
  <c r="R305" i="7"/>
  <c r="R306" i="7"/>
  <c r="R307" i="7"/>
  <c r="R308" i="7"/>
  <c r="R309" i="7"/>
  <c r="R310" i="7"/>
  <c r="R311" i="7"/>
  <c r="R312" i="7"/>
  <c r="R313" i="7"/>
  <c r="R314" i="7"/>
  <c r="R315" i="7"/>
  <c r="R316" i="7"/>
  <c r="R317" i="7"/>
  <c r="R318" i="7"/>
  <c r="R319" i="7"/>
  <c r="R320" i="7"/>
  <c r="R321" i="7"/>
  <c r="R322" i="7"/>
  <c r="R323" i="7"/>
  <c r="R324" i="7"/>
  <c r="R325" i="7"/>
  <c r="R326" i="7"/>
  <c r="R327" i="7"/>
  <c r="R328" i="7"/>
  <c r="R329" i="7"/>
  <c r="R330" i="7"/>
  <c r="R331" i="7"/>
  <c r="R332" i="7"/>
  <c r="R333" i="7"/>
  <c r="R334" i="7"/>
  <c r="R335" i="7"/>
  <c r="R336" i="7"/>
  <c r="R337" i="7"/>
  <c r="R338" i="7"/>
  <c r="R339" i="7"/>
  <c r="R340" i="7"/>
  <c r="R341" i="7"/>
  <c r="R342" i="7"/>
  <c r="R343" i="7"/>
  <c r="R344" i="7"/>
  <c r="R345" i="7"/>
  <c r="R346" i="7"/>
  <c r="R347" i="7"/>
  <c r="R348" i="7"/>
  <c r="R349" i="7"/>
  <c r="R350" i="7"/>
  <c r="R351" i="7"/>
  <c r="R352" i="7"/>
  <c r="R353" i="7"/>
  <c r="R354" i="7"/>
  <c r="R355" i="7"/>
  <c r="R356" i="7"/>
  <c r="R357" i="7"/>
  <c r="R358" i="7"/>
  <c r="R359" i="7"/>
  <c r="R360" i="7"/>
  <c r="R361" i="7"/>
  <c r="R362" i="7"/>
  <c r="R363" i="7"/>
  <c r="R364" i="7"/>
  <c r="R365" i="7"/>
  <c r="R366" i="7"/>
  <c r="R367" i="7"/>
  <c r="R368" i="7"/>
  <c r="R369" i="7"/>
  <c r="R370" i="7"/>
  <c r="R371" i="7"/>
  <c r="R372" i="7"/>
  <c r="R373" i="7"/>
  <c r="F8" i="7" l="1"/>
  <c r="I8" i="7" s="1"/>
  <c r="L8" i="7" s="1"/>
  <c r="F9" i="7"/>
  <c r="I9" i="7" s="1"/>
  <c r="L9" i="7" s="1"/>
  <c r="F10" i="7"/>
  <c r="I10" i="7" s="1"/>
  <c r="L10" i="7" s="1"/>
  <c r="F11" i="7"/>
  <c r="I11" i="7" s="1"/>
  <c r="L11" i="7" s="1"/>
  <c r="F12" i="7"/>
  <c r="I12" i="7" s="1"/>
  <c r="L12" i="7" s="1"/>
  <c r="F13" i="7"/>
  <c r="I13" i="7" s="1"/>
  <c r="L13" i="7" s="1"/>
  <c r="F14" i="7"/>
  <c r="I14" i="7" s="1"/>
  <c r="L14" i="7" s="1"/>
  <c r="F15" i="7"/>
  <c r="I15" i="7" s="1"/>
  <c r="L15" i="7" s="1"/>
  <c r="F16" i="7"/>
  <c r="I16" i="7" s="1"/>
  <c r="L16" i="7" s="1"/>
  <c r="F17" i="7"/>
  <c r="I17" i="7" s="1"/>
  <c r="L17" i="7" s="1"/>
  <c r="F18" i="7"/>
  <c r="I18" i="7" s="1"/>
  <c r="L18" i="7" s="1"/>
  <c r="F19" i="7"/>
  <c r="I19" i="7" s="1"/>
  <c r="L19" i="7" s="1"/>
  <c r="F20" i="7"/>
  <c r="I20" i="7" s="1"/>
  <c r="L20" i="7" s="1"/>
  <c r="F21" i="7"/>
  <c r="I21" i="7" s="1"/>
  <c r="L21" i="7" s="1"/>
  <c r="F22" i="7"/>
  <c r="I22" i="7" s="1"/>
  <c r="L22" i="7" s="1"/>
  <c r="F23" i="7"/>
  <c r="I23" i="7" s="1"/>
  <c r="L23" i="7" s="1"/>
  <c r="F24" i="7"/>
  <c r="I24" i="7" s="1"/>
  <c r="L24" i="7" s="1"/>
  <c r="F25" i="7"/>
  <c r="I25" i="7" s="1"/>
  <c r="L25" i="7" s="1"/>
  <c r="F26" i="7"/>
  <c r="I26" i="7" s="1"/>
  <c r="L26" i="7" s="1"/>
  <c r="F27" i="7"/>
  <c r="I27" i="7" s="1"/>
  <c r="L27" i="7" s="1"/>
  <c r="F28" i="7"/>
  <c r="I28" i="7" s="1"/>
  <c r="L28" i="7" s="1"/>
  <c r="F29" i="7"/>
  <c r="I29" i="7" s="1"/>
  <c r="L29" i="7" s="1"/>
  <c r="F30" i="7"/>
  <c r="I30" i="7" s="1"/>
  <c r="L30" i="7" s="1"/>
  <c r="F31" i="7"/>
  <c r="I31" i="7" s="1"/>
  <c r="L31" i="7" s="1"/>
  <c r="F32" i="7"/>
  <c r="I32" i="7" s="1"/>
  <c r="L32" i="7" s="1"/>
  <c r="F33" i="7"/>
  <c r="I33" i="7" s="1"/>
  <c r="L33" i="7" s="1"/>
  <c r="F34" i="7"/>
  <c r="I34" i="7" s="1"/>
  <c r="L34" i="7" s="1"/>
  <c r="F35" i="7"/>
  <c r="I35" i="7" s="1"/>
  <c r="L35" i="7" s="1"/>
  <c r="F36" i="7"/>
  <c r="I36" i="7" s="1"/>
  <c r="L36" i="7" s="1"/>
  <c r="F37" i="7"/>
  <c r="I37" i="7" s="1"/>
  <c r="L37" i="7" s="1"/>
  <c r="F38" i="7"/>
  <c r="I38" i="7" s="1"/>
  <c r="L38" i="7" s="1"/>
  <c r="F39" i="7"/>
  <c r="I39" i="7" s="1"/>
  <c r="L39" i="7" s="1"/>
  <c r="F40" i="7"/>
  <c r="I40" i="7" s="1"/>
  <c r="L40" i="7" s="1"/>
  <c r="F41" i="7"/>
  <c r="I41" i="7" s="1"/>
  <c r="L41" i="7" s="1"/>
  <c r="F42" i="7"/>
  <c r="I42" i="7" s="1"/>
  <c r="L42" i="7" s="1"/>
  <c r="F43" i="7"/>
  <c r="I43" i="7" s="1"/>
  <c r="L43" i="7" s="1"/>
  <c r="F44" i="7"/>
  <c r="I44" i="7" s="1"/>
  <c r="L44" i="7" s="1"/>
  <c r="F45" i="7"/>
  <c r="I45" i="7" s="1"/>
  <c r="L45" i="7" s="1"/>
  <c r="F46" i="7"/>
  <c r="I46" i="7" s="1"/>
  <c r="L46" i="7" s="1"/>
  <c r="F47" i="7"/>
  <c r="I47" i="7" s="1"/>
  <c r="L47" i="7" s="1"/>
  <c r="F48" i="7"/>
  <c r="I48" i="7" s="1"/>
  <c r="L48" i="7" s="1"/>
  <c r="F49" i="7"/>
  <c r="I49" i="7" s="1"/>
  <c r="L49" i="7" s="1"/>
  <c r="F50" i="7"/>
  <c r="I50" i="7" s="1"/>
  <c r="L50" i="7" s="1"/>
  <c r="F51" i="7"/>
  <c r="I51" i="7" s="1"/>
  <c r="L51" i="7" s="1"/>
  <c r="F52" i="7"/>
  <c r="I52" i="7" s="1"/>
  <c r="L52" i="7" s="1"/>
  <c r="F53" i="7"/>
  <c r="I53" i="7" s="1"/>
  <c r="L53" i="7" s="1"/>
  <c r="F54" i="7"/>
  <c r="I54" i="7" s="1"/>
  <c r="L54" i="7" s="1"/>
  <c r="F55" i="7"/>
  <c r="I55" i="7" s="1"/>
  <c r="L55" i="7" s="1"/>
  <c r="F56" i="7"/>
  <c r="I56" i="7" s="1"/>
  <c r="L56" i="7" s="1"/>
  <c r="F57" i="7"/>
  <c r="I57" i="7" s="1"/>
  <c r="L57" i="7" s="1"/>
  <c r="F58" i="7"/>
  <c r="I58" i="7" s="1"/>
  <c r="L58" i="7" s="1"/>
  <c r="F59" i="7"/>
  <c r="I59" i="7" s="1"/>
  <c r="L59" i="7" s="1"/>
  <c r="F60" i="7"/>
  <c r="I60" i="7" s="1"/>
  <c r="L60" i="7" s="1"/>
  <c r="F61" i="7"/>
  <c r="I61" i="7" s="1"/>
  <c r="L61" i="7" s="1"/>
  <c r="F62" i="7"/>
  <c r="I62" i="7" s="1"/>
  <c r="L62" i="7" s="1"/>
  <c r="F63" i="7"/>
  <c r="I63" i="7" s="1"/>
  <c r="L63" i="7" s="1"/>
  <c r="F64" i="7"/>
  <c r="I64" i="7" s="1"/>
  <c r="L64" i="7" s="1"/>
  <c r="F65" i="7"/>
  <c r="I65" i="7" s="1"/>
  <c r="L65" i="7" s="1"/>
  <c r="F66" i="7"/>
  <c r="I66" i="7" s="1"/>
  <c r="L66" i="7" s="1"/>
  <c r="F67" i="7"/>
  <c r="I67" i="7" s="1"/>
  <c r="L67" i="7" s="1"/>
  <c r="F68" i="7"/>
  <c r="I68" i="7" s="1"/>
  <c r="L68" i="7" s="1"/>
  <c r="F69" i="7"/>
  <c r="I69" i="7" s="1"/>
  <c r="L69" i="7" s="1"/>
  <c r="F70" i="7"/>
  <c r="I70" i="7" s="1"/>
  <c r="L70" i="7" s="1"/>
  <c r="F71" i="7"/>
  <c r="I71" i="7" s="1"/>
  <c r="L71" i="7" s="1"/>
  <c r="F72" i="7"/>
  <c r="I72" i="7" s="1"/>
  <c r="L72" i="7" s="1"/>
  <c r="F73" i="7"/>
  <c r="I73" i="7" s="1"/>
  <c r="L73" i="7" s="1"/>
  <c r="F74" i="7"/>
  <c r="I74" i="7" s="1"/>
  <c r="L74" i="7" s="1"/>
  <c r="F75" i="7"/>
  <c r="I75" i="7" s="1"/>
  <c r="L75" i="7" s="1"/>
  <c r="F76" i="7"/>
  <c r="I76" i="7" s="1"/>
  <c r="L76" i="7" s="1"/>
  <c r="F77" i="7"/>
  <c r="I77" i="7" s="1"/>
  <c r="L77" i="7" s="1"/>
  <c r="F78" i="7"/>
  <c r="I78" i="7" s="1"/>
  <c r="L78" i="7" s="1"/>
  <c r="F79" i="7"/>
  <c r="I79" i="7" s="1"/>
  <c r="L79" i="7" s="1"/>
  <c r="F80" i="7"/>
  <c r="I80" i="7" s="1"/>
  <c r="L80" i="7" s="1"/>
  <c r="F81" i="7"/>
  <c r="I81" i="7" s="1"/>
  <c r="L81" i="7" s="1"/>
  <c r="F82" i="7"/>
  <c r="I82" i="7" s="1"/>
  <c r="L82" i="7" s="1"/>
  <c r="F83" i="7"/>
  <c r="I83" i="7" s="1"/>
  <c r="L83" i="7" s="1"/>
  <c r="F84" i="7"/>
  <c r="I84" i="7" s="1"/>
  <c r="L84" i="7" s="1"/>
  <c r="F85" i="7"/>
  <c r="I85" i="7" s="1"/>
  <c r="L85" i="7" s="1"/>
  <c r="F86" i="7"/>
  <c r="I86" i="7" s="1"/>
  <c r="L86" i="7" s="1"/>
  <c r="F87" i="7"/>
  <c r="I87" i="7" s="1"/>
  <c r="L87" i="7" s="1"/>
  <c r="F88" i="7"/>
  <c r="I88" i="7" s="1"/>
  <c r="L88" i="7" s="1"/>
  <c r="F89" i="7"/>
  <c r="I89" i="7" s="1"/>
  <c r="L89" i="7" s="1"/>
  <c r="F90" i="7"/>
  <c r="I90" i="7" s="1"/>
  <c r="L90" i="7" s="1"/>
  <c r="F91" i="7"/>
  <c r="I91" i="7" s="1"/>
  <c r="L91" i="7" s="1"/>
  <c r="F92" i="7"/>
  <c r="I92" i="7" s="1"/>
  <c r="L92" i="7" s="1"/>
  <c r="F93" i="7"/>
  <c r="I93" i="7" s="1"/>
  <c r="L93" i="7" s="1"/>
  <c r="F94" i="7"/>
  <c r="I94" i="7" s="1"/>
  <c r="L94" i="7" s="1"/>
  <c r="F95" i="7"/>
  <c r="I95" i="7" s="1"/>
  <c r="L95" i="7" s="1"/>
  <c r="F96" i="7"/>
  <c r="I96" i="7" s="1"/>
  <c r="L96" i="7" s="1"/>
  <c r="F97" i="7"/>
  <c r="I97" i="7" s="1"/>
  <c r="L97" i="7" s="1"/>
  <c r="F98" i="7"/>
  <c r="I98" i="7" s="1"/>
  <c r="L98" i="7" s="1"/>
  <c r="F99" i="7"/>
  <c r="I99" i="7" s="1"/>
  <c r="L99" i="7" s="1"/>
  <c r="F100" i="7"/>
  <c r="I100" i="7" s="1"/>
  <c r="L100" i="7" s="1"/>
  <c r="F101" i="7"/>
  <c r="I101" i="7" s="1"/>
  <c r="L101" i="7" s="1"/>
  <c r="F102" i="7"/>
  <c r="I102" i="7" s="1"/>
  <c r="L102" i="7" s="1"/>
  <c r="F103" i="7"/>
  <c r="I103" i="7" s="1"/>
  <c r="L103" i="7" s="1"/>
  <c r="F104" i="7"/>
  <c r="I104" i="7" s="1"/>
  <c r="L104" i="7" s="1"/>
  <c r="F105" i="7"/>
  <c r="I105" i="7" s="1"/>
  <c r="L105" i="7" s="1"/>
  <c r="F106" i="7"/>
  <c r="I106" i="7" s="1"/>
  <c r="L106" i="7" s="1"/>
  <c r="F107" i="7"/>
  <c r="I107" i="7" s="1"/>
  <c r="L107" i="7" s="1"/>
  <c r="F108" i="7"/>
  <c r="I108" i="7" s="1"/>
  <c r="L108" i="7" s="1"/>
  <c r="F109" i="7"/>
  <c r="I109" i="7" s="1"/>
  <c r="L109" i="7" s="1"/>
  <c r="F110" i="7"/>
  <c r="I110" i="7" s="1"/>
  <c r="L110" i="7" s="1"/>
  <c r="F111" i="7"/>
  <c r="I111" i="7" s="1"/>
  <c r="L111" i="7" s="1"/>
  <c r="F112" i="7"/>
  <c r="I112" i="7" s="1"/>
  <c r="L112" i="7" s="1"/>
  <c r="F113" i="7"/>
  <c r="I113" i="7" s="1"/>
  <c r="L113" i="7" s="1"/>
  <c r="F114" i="7"/>
  <c r="I114" i="7" s="1"/>
  <c r="L114" i="7" s="1"/>
  <c r="F115" i="7"/>
  <c r="I115" i="7" s="1"/>
  <c r="L115" i="7" s="1"/>
  <c r="F116" i="7"/>
  <c r="I116" i="7" s="1"/>
  <c r="L116" i="7" s="1"/>
  <c r="F117" i="7"/>
  <c r="I117" i="7" s="1"/>
  <c r="L117" i="7" s="1"/>
  <c r="F118" i="7"/>
  <c r="I118" i="7" s="1"/>
  <c r="L118" i="7" s="1"/>
  <c r="F119" i="7"/>
  <c r="I119" i="7" s="1"/>
  <c r="L119" i="7" s="1"/>
  <c r="F120" i="7"/>
  <c r="I120" i="7" s="1"/>
  <c r="L120" i="7" s="1"/>
  <c r="F121" i="7"/>
  <c r="I121" i="7" s="1"/>
  <c r="L121" i="7" s="1"/>
  <c r="F122" i="7"/>
  <c r="I122" i="7" s="1"/>
  <c r="L122" i="7" s="1"/>
  <c r="F123" i="7"/>
  <c r="I123" i="7" s="1"/>
  <c r="L123" i="7" s="1"/>
  <c r="F124" i="7"/>
  <c r="I124" i="7" s="1"/>
  <c r="L124" i="7" s="1"/>
  <c r="F125" i="7"/>
  <c r="I125" i="7" s="1"/>
  <c r="L125" i="7" s="1"/>
  <c r="F126" i="7"/>
  <c r="I126" i="7" s="1"/>
  <c r="L126" i="7" s="1"/>
  <c r="F127" i="7"/>
  <c r="I127" i="7" s="1"/>
  <c r="L127" i="7" s="1"/>
  <c r="F128" i="7"/>
  <c r="I128" i="7" s="1"/>
  <c r="L128" i="7" s="1"/>
  <c r="F129" i="7"/>
  <c r="I129" i="7" s="1"/>
  <c r="L129" i="7" s="1"/>
  <c r="F130" i="7"/>
  <c r="I130" i="7" s="1"/>
  <c r="L130" i="7" s="1"/>
  <c r="F131" i="7"/>
  <c r="I131" i="7" s="1"/>
  <c r="L131" i="7" s="1"/>
  <c r="F132" i="7"/>
  <c r="I132" i="7" s="1"/>
  <c r="L132" i="7" s="1"/>
  <c r="F133" i="7"/>
  <c r="I133" i="7" s="1"/>
  <c r="L133" i="7" s="1"/>
  <c r="F134" i="7"/>
  <c r="I134" i="7" s="1"/>
  <c r="L134" i="7" s="1"/>
  <c r="F135" i="7"/>
  <c r="I135" i="7" s="1"/>
  <c r="L135" i="7" s="1"/>
  <c r="F136" i="7"/>
  <c r="I136" i="7" s="1"/>
  <c r="L136" i="7" s="1"/>
  <c r="F137" i="7"/>
  <c r="I137" i="7" s="1"/>
  <c r="L137" i="7" s="1"/>
  <c r="F138" i="7"/>
  <c r="I138" i="7" s="1"/>
  <c r="L138" i="7" s="1"/>
  <c r="F139" i="7"/>
  <c r="I139" i="7" s="1"/>
  <c r="L139" i="7" s="1"/>
  <c r="F140" i="7"/>
  <c r="I140" i="7" s="1"/>
  <c r="L140" i="7" s="1"/>
  <c r="F141" i="7"/>
  <c r="I141" i="7" s="1"/>
  <c r="L141" i="7" s="1"/>
  <c r="F142" i="7"/>
  <c r="I142" i="7" s="1"/>
  <c r="L142" i="7" s="1"/>
  <c r="F143" i="7"/>
  <c r="I143" i="7" s="1"/>
  <c r="L143" i="7" s="1"/>
  <c r="F144" i="7"/>
  <c r="I144" i="7" s="1"/>
  <c r="L144" i="7" s="1"/>
  <c r="F145" i="7"/>
  <c r="I145" i="7" s="1"/>
  <c r="L145" i="7" s="1"/>
  <c r="F146" i="7"/>
  <c r="I146" i="7" s="1"/>
  <c r="L146" i="7" s="1"/>
  <c r="F147" i="7"/>
  <c r="I147" i="7" s="1"/>
  <c r="L147" i="7" s="1"/>
  <c r="F148" i="7"/>
  <c r="I148" i="7" s="1"/>
  <c r="L148" i="7" s="1"/>
  <c r="F149" i="7"/>
  <c r="I149" i="7" s="1"/>
  <c r="L149" i="7" s="1"/>
  <c r="F150" i="7"/>
  <c r="I150" i="7" s="1"/>
  <c r="L150" i="7" s="1"/>
  <c r="F151" i="7"/>
  <c r="I151" i="7" s="1"/>
  <c r="L151" i="7" s="1"/>
  <c r="F152" i="7"/>
  <c r="I152" i="7" s="1"/>
  <c r="L152" i="7" s="1"/>
  <c r="F153" i="7"/>
  <c r="I153" i="7" s="1"/>
  <c r="L153" i="7" s="1"/>
  <c r="F154" i="7"/>
  <c r="I154" i="7" s="1"/>
  <c r="L154" i="7" s="1"/>
  <c r="F155" i="7"/>
  <c r="I155" i="7" s="1"/>
  <c r="L155" i="7" s="1"/>
  <c r="F156" i="7"/>
  <c r="I156" i="7" s="1"/>
  <c r="L156" i="7" s="1"/>
  <c r="F157" i="7"/>
  <c r="I157" i="7" s="1"/>
  <c r="L157" i="7" s="1"/>
  <c r="F158" i="7"/>
  <c r="I158" i="7" s="1"/>
  <c r="L158" i="7" s="1"/>
  <c r="F159" i="7"/>
  <c r="I159" i="7" s="1"/>
  <c r="L159" i="7" s="1"/>
  <c r="F160" i="7"/>
  <c r="I160" i="7" s="1"/>
  <c r="L160" i="7" s="1"/>
  <c r="F161" i="7"/>
  <c r="I161" i="7" s="1"/>
  <c r="L161" i="7" s="1"/>
  <c r="F162" i="7"/>
  <c r="I162" i="7" s="1"/>
  <c r="L162" i="7" s="1"/>
  <c r="F163" i="7"/>
  <c r="I163" i="7" s="1"/>
  <c r="L163" i="7" s="1"/>
  <c r="F164" i="7"/>
  <c r="I164" i="7" s="1"/>
  <c r="L164" i="7" s="1"/>
  <c r="F165" i="7"/>
  <c r="I165" i="7" s="1"/>
  <c r="L165" i="7" s="1"/>
  <c r="F166" i="7"/>
  <c r="I166" i="7" s="1"/>
  <c r="L166" i="7" s="1"/>
  <c r="F167" i="7"/>
  <c r="I167" i="7" s="1"/>
  <c r="L167" i="7" s="1"/>
  <c r="F168" i="7"/>
  <c r="I168" i="7" s="1"/>
  <c r="L168" i="7" s="1"/>
  <c r="F169" i="7"/>
  <c r="I169" i="7" s="1"/>
  <c r="L169" i="7" s="1"/>
  <c r="F170" i="7"/>
  <c r="I170" i="7" s="1"/>
  <c r="L170" i="7" s="1"/>
  <c r="F171" i="7"/>
  <c r="I171" i="7" s="1"/>
  <c r="L171" i="7" s="1"/>
  <c r="F172" i="7"/>
  <c r="I172" i="7" s="1"/>
  <c r="L172" i="7" s="1"/>
  <c r="F173" i="7"/>
  <c r="I173" i="7" s="1"/>
  <c r="L173" i="7" s="1"/>
  <c r="F174" i="7"/>
  <c r="I174" i="7" s="1"/>
  <c r="L174" i="7" s="1"/>
  <c r="F175" i="7"/>
  <c r="I175" i="7" s="1"/>
  <c r="L175" i="7" s="1"/>
  <c r="F176" i="7"/>
  <c r="I176" i="7" s="1"/>
  <c r="L176" i="7" s="1"/>
  <c r="F177" i="7"/>
  <c r="I177" i="7" s="1"/>
  <c r="L177" i="7" s="1"/>
  <c r="F178" i="7"/>
  <c r="I178" i="7" s="1"/>
  <c r="L178" i="7" s="1"/>
  <c r="F179" i="7"/>
  <c r="I179" i="7" s="1"/>
  <c r="L179" i="7" s="1"/>
  <c r="F180" i="7"/>
  <c r="I180" i="7" s="1"/>
  <c r="L180" i="7" s="1"/>
  <c r="F181" i="7"/>
  <c r="I181" i="7" s="1"/>
  <c r="L181" i="7" s="1"/>
  <c r="F182" i="7"/>
  <c r="I182" i="7" s="1"/>
  <c r="L182" i="7" s="1"/>
  <c r="F183" i="7"/>
  <c r="I183" i="7" s="1"/>
  <c r="L183" i="7" s="1"/>
  <c r="F184" i="7"/>
  <c r="I184" i="7" s="1"/>
  <c r="L184" i="7" s="1"/>
  <c r="F186" i="7"/>
  <c r="I186" i="7" s="1"/>
  <c r="L186" i="7" s="1"/>
  <c r="F187" i="7"/>
  <c r="I187" i="7" s="1"/>
  <c r="L187" i="7" s="1"/>
  <c r="F188" i="7"/>
  <c r="I188" i="7" s="1"/>
  <c r="L188" i="7" s="1"/>
  <c r="F189" i="7"/>
  <c r="I189" i="7" s="1"/>
  <c r="L189" i="7" s="1"/>
  <c r="F190" i="7"/>
  <c r="I190" i="7" s="1"/>
  <c r="L190" i="7" s="1"/>
  <c r="F191" i="7"/>
  <c r="I191" i="7" s="1"/>
  <c r="L191" i="7" s="1"/>
  <c r="F192" i="7"/>
  <c r="I192" i="7" s="1"/>
  <c r="L192" i="7" s="1"/>
  <c r="F193" i="7"/>
  <c r="I193" i="7" s="1"/>
  <c r="L193" i="7" s="1"/>
  <c r="F194" i="7"/>
  <c r="I194" i="7" s="1"/>
  <c r="L194" i="7" s="1"/>
  <c r="F195" i="7"/>
  <c r="I195" i="7" s="1"/>
  <c r="L195" i="7" s="1"/>
  <c r="F196" i="7"/>
  <c r="I196" i="7" s="1"/>
  <c r="L196" i="7" s="1"/>
  <c r="F197" i="7"/>
  <c r="I197" i="7" s="1"/>
  <c r="L197" i="7" s="1"/>
  <c r="F198" i="7"/>
  <c r="I198" i="7" s="1"/>
  <c r="L198" i="7" s="1"/>
  <c r="F199" i="7"/>
  <c r="I199" i="7" s="1"/>
  <c r="L199" i="7" s="1"/>
  <c r="F200" i="7"/>
  <c r="I200" i="7" s="1"/>
  <c r="L200" i="7" s="1"/>
  <c r="F201" i="7"/>
  <c r="I201" i="7" s="1"/>
  <c r="L201" i="7" s="1"/>
  <c r="F202" i="7"/>
  <c r="I202" i="7" s="1"/>
  <c r="L202" i="7" s="1"/>
  <c r="F203" i="7"/>
  <c r="I203" i="7" s="1"/>
  <c r="L203" i="7" s="1"/>
  <c r="F204" i="7"/>
  <c r="I204" i="7" s="1"/>
  <c r="L204" i="7" s="1"/>
  <c r="F205" i="7"/>
  <c r="I205" i="7" s="1"/>
  <c r="L205" i="7" s="1"/>
  <c r="F206" i="7"/>
  <c r="I206" i="7" s="1"/>
  <c r="L206" i="7" s="1"/>
  <c r="F207" i="7"/>
  <c r="I207" i="7" s="1"/>
  <c r="L207" i="7" s="1"/>
  <c r="F208" i="7"/>
  <c r="I208" i="7" s="1"/>
  <c r="L208" i="7" s="1"/>
  <c r="F209" i="7"/>
  <c r="I209" i="7" s="1"/>
  <c r="L209" i="7" s="1"/>
  <c r="F210" i="7"/>
  <c r="I210" i="7" s="1"/>
  <c r="L210" i="7" s="1"/>
  <c r="F211" i="7"/>
  <c r="I211" i="7" s="1"/>
  <c r="L211" i="7" s="1"/>
  <c r="F212" i="7"/>
  <c r="I212" i="7" s="1"/>
  <c r="L212" i="7" s="1"/>
  <c r="F213" i="7"/>
  <c r="I213" i="7" s="1"/>
  <c r="L213" i="7" s="1"/>
  <c r="F214" i="7"/>
  <c r="I214" i="7" s="1"/>
  <c r="L214" i="7" s="1"/>
  <c r="F215" i="7"/>
  <c r="I215" i="7" s="1"/>
  <c r="L215" i="7" s="1"/>
  <c r="F216" i="7"/>
  <c r="I216" i="7" s="1"/>
  <c r="L216" i="7" s="1"/>
  <c r="F217" i="7"/>
  <c r="I217" i="7" s="1"/>
  <c r="L217" i="7" s="1"/>
  <c r="F218" i="7"/>
  <c r="I218" i="7" s="1"/>
  <c r="L218" i="7" s="1"/>
  <c r="F219" i="7"/>
  <c r="I219" i="7" s="1"/>
  <c r="L219" i="7" s="1"/>
  <c r="F220" i="7"/>
  <c r="I220" i="7" s="1"/>
  <c r="L220" i="7" s="1"/>
  <c r="F221" i="7"/>
  <c r="I221" i="7" s="1"/>
  <c r="L221" i="7" s="1"/>
  <c r="F222" i="7"/>
  <c r="I222" i="7" s="1"/>
  <c r="L222" i="7" s="1"/>
  <c r="F223" i="7"/>
  <c r="I223" i="7" s="1"/>
  <c r="L223" i="7" s="1"/>
  <c r="F224" i="7"/>
  <c r="I224" i="7" s="1"/>
  <c r="L224" i="7" s="1"/>
  <c r="F225" i="7"/>
  <c r="I225" i="7" s="1"/>
  <c r="L225" i="7" s="1"/>
  <c r="F226" i="7"/>
  <c r="I226" i="7" s="1"/>
  <c r="L226" i="7" s="1"/>
  <c r="F227" i="7"/>
  <c r="I227" i="7" s="1"/>
  <c r="L227" i="7" s="1"/>
  <c r="F228" i="7"/>
  <c r="I228" i="7" s="1"/>
  <c r="L228" i="7" s="1"/>
  <c r="F229" i="7"/>
  <c r="I229" i="7" s="1"/>
  <c r="L229" i="7" s="1"/>
  <c r="F230" i="7"/>
  <c r="I230" i="7" s="1"/>
  <c r="L230" i="7" s="1"/>
  <c r="F231" i="7"/>
  <c r="I231" i="7" s="1"/>
  <c r="L231" i="7" s="1"/>
  <c r="F232" i="7"/>
  <c r="I232" i="7" s="1"/>
  <c r="L232" i="7" s="1"/>
  <c r="F233" i="7"/>
  <c r="I233" i="7" s="1"/>
  <c r="L233" i="7" s="1"/>
  <c r="F234" i="7"/>
  <c r="I234" i="7" s="1"/>
  <c r="L234" i="7" s="1"/>
  <c r="F235" i="7"/>
  <c r="I235" i="7" s="1"/>
  <c r="L235" i="7" s="1"/>
  <c r="F236" i="7"/>
  <c r="I236" i="7" s="1"/>
  <c r="L236" i="7" s="1"/>
  <c r="F237" i="7"/>
  <c r="I237" i="7" s="1"/>
  <c r="L237" i="7" s="1"/>
  <c r="F238" i="7"/>
  <c r="I238" i="7" s="1"/>
  <c r="L238" i="7" s="1"/>
  <c r="F239" i="7"/>
  <c r="I239" i="7" s="1"/>
  <c r="L239" i="7" s="1"/>
  <c r="F240" i="7"/>
  <c r="I240" i="7" s="1"/>
  <c r="L240" i="7" s="1"/>
  <c r="F241" i="7"/>
  <c r="I241" i="7" s="1"/>
  <c r="L241" i="7" s="1"/>
  <c r="F242" i="7"/>
  <c r="I242" i="7" s="1"/>
  <c r="L242" i="7" s="1"/>
  <c r="F243" i="7"/>
  <c r="I243" i="7" s="1"/>
  <c r="L243" i="7" s="1"/>
  <c r="F244" i="7"/>
  <c r="I244" i="7" s="1"/>
  <c r="L244" i="7" s="1"/>
  <c r="F245" i="7"/>
  <c r="I245" i="7" s="1"/>
  <c r="L245" i="7" s="1"/>
  <c r="F246" i="7"/>
  <c r="I246" i="7" s="1"/>
  <c r="L246" i="7" s="1"/>
  <c r="F247" i="7"/>
  <c r="I247" i="7" s="1"/>
  <c r="L247" i="7" s="1"/>
  <c r="F248" i="7"/>
  <c r="I248" i="7" s="1"/>
  <c r="L248" i="7" s="1"/>
  <c r="F249" i="7"/>
  <c r="I249" i="7" s="1"/>
  <c r="L249" i="7" s="1"/>
  <c r="F250" i="7"/>
  <c r="I250" i="7" s="1"/>
  <c r="L250" i="7" s="1"/>
  <c r="F251" i="7"/>
  <c r="I251" i="7" s="1"/>
  <c r="L251" i="7" s="1"/>
  <c r="F252" i="7"/>
  <c r="I252" i="7" s="1"/>
  <c r="L252" i="7" s="1"/>
  <c r="F253" i="7"/>
  <c r="I253" i="7" s="1"/>
  <c r="L253" i="7" s="1"/>
  <c r="F254" i="7"/>
  <c r="I254" i="7" s="1"/>
  <c r="L254" i="7" s="1"/>
  <c r="F255" i="7"/>
  <c r="I255" i="7" s="1"/>
  <c r="L255" i="7" s="1"/>
  <c r="F256" i="7"/>
  <c r="I256" i="7" s="1"/>
  <c r="L256" i="7" s="1"/>
  <c r="F257" i="7"/>
  <c r="I257" i="7" s="1"/>
  <c r="L257" i="7" s="1"/>
  <c r="F258" i="7"/>
  <c r="I258" i="7" s="1"/>
  <c r="L258" i="7" s="1"/>
  <c r="F259" i="7"/>
  <c r="I259" i="7" s="1"/>
  <c r="L259" i="7" s="1"/>
  <c r="F260" i="7"/>
  <c r="I260" i="7" s="1"/>
  <c r="L260" i="7" s="1"/>
  <c r="F261" i="7"/>
  <c r="I261" i="7" s="1"/>
  <c r="L261" i="7" s="1"/>
  <c r="F262" i="7"/>
  <c r="I262" i="7" s="1"/>
  <c r="L262" i="7" s="1"/>
  <c r="F263" i="7"/>
  <c r="I263" i="7" s="1"/>
  <c r="L263" i="7" s="1"/>
  <c r="F264" i="7"/>
  <c r="I264" i="7" s="1"/>
  <c r="L264" i="7" s="1"/>
  <c r="F265" i="7"/>
  <c r="I265" i="7" s="1"/>
  <c r="L265" i="7" s="1"/>
  <c r="F266" i="7"/>
  <c r="I266" i="7" s="1"/>
  <c r="L266" i="7" s="1"/>
  <c r="F267" i="7"/>
  <c r="I267" i="7" s="1"/>
  <c r="L267" i="7" s="1"/>
  <c r="F268" i="7"/>
  <c r="I268" i="7" s="1"/>
  <c r="L268" i="7" s="1"/>
  <c r="F269" i="7"/>
  <c r="I269" i="7" s="1"/>
  <c r="L269" i="7" s="1"/>
  <c r="F270" i="7"/>
  <c r="I270" i="7" s="1"/>
  <c r="L270" i="7" s="1"/>
  <c r="F271" i="7"/>
  <c r="I271" i="7" s="1"/>
  <c r="L271" i="7" s="1"/>
  <c r="F272" i="7"/>
  <c r="I272" i="7" s="1"/>
  <c r="L272" i="7" s="1"/>
  <c r="F273" i="7"/>
  <c r="I273" i="7" s="1"/>
  <c r="L273" i="7" s="1"/>
  <c r="F274" i="7"/>
  <c r="I274" i="7" s="1"/>
  <c r="L274" i="7" s="1"/>
  <c r="F275" i="7"/>
  <c r="I275" i="7" s="1"/>
  <c r="L275" i="7" s="1"/>
  <c r="F276" i="7"/>
  <c r="I276" i="7" s="1"/>
  <c r="L276" i="7" s="1"/>
  <c r="F277" i="7"/>
  <c r="I277" i="7" s="1"/>
  <c r="L277" i="7" s="1"/>
  <c r="F278" i="7"/>
  <c r="I278" i="7" s="1"/>
  <c r="L278" i="7" s="1"/>
  <c r="F279" i="7"/>
  <c r="I279" i="7" s="1"/>
  <c r="L279" i="7" s="1"/>
  <c r="F280" i="7"/>
  <c r="I280" i="7" s="1"/>
  <c r="L280" i="7" s="1"/>
  <c r="F281" i="7"/>
  <c r="I281" i="7" s="1"/>
  <c r="L281" i="7" s="1"/>
  <c r="F282" i="7"/>
  <c r="I282" i="7" s="1"/>
  <c r="L282" i="7" s="1"/>
  <c r="F283" i="7"/>
  <c r="I283" i="7" s="1"/>
  <c r="L283" i="7" s="1"/>
  <c r="F284" i="7"/>
  <c r="I284" i="7" s="1"/>
  <c r="L284" i="7" s="1"/>
  <c r="F285" i="7"/>
  <c r="I285" i="7" s="1"/>
  <c r="L285" i="7" s="1"/>
  <c r="F286" i="7"/>
  <c r="I286" i="7" s="1"/>
  <c r="L286" i="7" s="1"/>
  <c r="F287" i="7"/>
  <c r="I287" i="7" s="1"/>
  <c r="L287" i="7" s="1"/>
  <c r="F288" i="7"/>
  <c r="I288" i="7" s="1"/>
  <c r="L288" i="7" s="1"/>
  <c r="F289" i="7"/>
  <c r="I289" i="7" s="1"/>
  <c r="L289" i="7" s="1"/>
  <c r="F290" i="7"/>
  <c r="I290" i="7" s="1"/>
  <c r="L290" i="7" s="1"/>
  <c r="F291" i="7"/>
  <c r="I291" i="7" s="1"/>
  <c r="L291" i="7" s="1"/>
  <c r="F292" i="7"/>
  <c r="I292" i="7" s="1"/>
  <c r="L292" i="7" s="1"/>
  <c r="F293" i="7"/>
  <c r="I293" i="7" s="1"/>
  <c r="L293" i="7" s="1"/>
  <c r="F294" i="7"/>
  <c r="I294" i="7" s="1"/>
  <c r="L294" i="7" s="1"/>
  <c r="F295" i="7"/>
  <c r="I295" i="7" s="1"/>
  <c r="L295" i="7" s="1"/>
  <c r="F296" i="7"/>
  <c r="I296" i="7" s="1"/>
  <c r="L296" i="7" s="1"/>
  <c r="F297" i="7"/>
  <c r="I297" i="7" s="1"/>
  <c r="L297" i="7" s="1"/>
  <c r="F298" i="7"/>
  <c r="I298" i="7" s="1"/>
  <c r="L298" i="7" s="1"/>
  <c r="F7" i="7"/>
  <c r="I7" i="7" s="1"/>
  <c r="M8" i="10"/>
  <c r="L7" i="7" l="1"/>
  <c r="F12" i="12" l="1"/>
  <c r="G12" i="12" s="1"/>
  <c r="U9" i="10" l="1"/>
  <c r="U8" i="10"/>
  <c r="M9" i="10" l="1"/>
  <c r="M10" i="10"/>
  <c r="M11" i="10"/>
  <c r="M12" i="10"/>
  <c r="M13" i="10"/>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36" i="10"/>
  <c r="M137" i="10"/>
  <c r="M138" i="10"/>
  <c r="M139" i="10"/>
  <c r="M140" i="10"/>
  <c r="M141" i="10"/>
  <c r="M142" i="10"/>
  <c r="M143" i="10"/>
  <c r="M144" i="10"/>
  <c r="M145" i="10"/>
  <c r="M146" i="10"/>
  <c r="M147" i="10"/>
  <c r="M148" i="10"/>
  <c r="M149" i="10"/>
  <c r="M150" i="10"/>
  <c r="M151" i="10"/>
  <c r="M152" i="10"/>
  <c r="M153" i="10"/>
  <c r="M154" i="10"/>
  <c r="M155" i="10"/>
  <c r="M156" i="10"/>
  <c r="M157" i="10"/>
  <c r="M158" i="10"/>
  <c r="M159" i="10"/>
  <c r="M160" i="10"/>
  <c r="M161" i="10"/>
  <c r="M162" i="10"/>
  <c r="M163" i="10"/>
  <c r="M165" i="10"/>
  <c r="M166" i="10"/>
  <c r="M167" i="10"/>
  <c r="M168" i="10"/>
  <c r="M169" i="10"/>
  <c r="M170" i="10"/>
  <c r="M171" i="10"/>
  <c r="M172" i="10"/>
  <c r="M173" i="10"/>
  <c r="M174" i="10"/>
  <c r="M175" i="10"/>
  <c r="M176" i="10"/>
  <c r="M177" i="10"/>
  <c r="M178" i="10"/>
  <c r="M179" i="10"/>
  <c r="M180" i="10"/>
  <c r="M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206" i="10"/>
  <c r="M207" i="10"/>
  <c r="M208" i="10"/>
  <c r="M209" i="10"/>
  <c r="M210" i="10"/>
  <c r="M211" i="10"/>
  <c r="M212" i="10"/>
  <c r="M213" i="10"/>
  <c r="M214" i="10"/>
  <c r="M215" i="10"/>
  <c r="M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41" i="10"/>
  <c r="M242" i="10"/>
  <c r="M243" i="10"/>
  <c r="M244" i="10"/>
  <c r="M245" i="10"/>
  <c r="M246" i="10"/>
  <c r="M247" i="10"/>
  <c r="M248" i="10"/>
  <c r="M249" i="10"/>
  <c r="M250" i="10"/>
  <c r="M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76" i="10"/>
  <c r="M277" i="10"/>
  <c r="M278" i="10"/>
  <c r="M279" i="10"/>
  <c r="M280" i="10"/>
  <c r="M281" i="10"/>
  <c r="M282" i="10"/>
  <c r="M283" i="10"/>
  <c r="M284" i="10"/>
  <c r="M285" i="10"/>
  <c r="M286" i="10"/>
  <c r="M287" i="10"/>
  <c r="M288" i="10"/>
  <c r="M289" i="10"/>
  <c r="M290" i="10"/>
  <c r="M291" i="10"/>
  <c r="M292" i="10"/>
  <c r="M293" i="10"/>
  <c r="M294" i="10"/>
  <c r="M295" i="10"/>
  <c r="M296" i="10"/>
  <c r="M297" i="10"/>
  <c r="M298" i="10"/>
  <c r="M299" i="10"/>
  <c r="M7" i="10" l="1"/>
  <c r="J20" i="12" l="1"/>
  <c r="K20" i="12" s="1"/>
  <c r="J28" i="12"/>
  <c r="K28" i="12" s="1"/>
  <c r="J36" i="12"/>
  <c r="K36" i="12" s="1"/>
  <c r="J44" i="12"/>
  <c r="K44" i="12" s="1"/>
  <c r="J52" i="12"/>
  <c r="K52" i="12" s="1"/>
  <c r="J60" i="12"/>
  <c r="K60" i="12" s="1"/>
  <c r="J68" i="12"/>
  <c r="K68" i="12" s="1"/>
  <c r="J76" i="12"/>
  <c r="K76" i="12" s="1"/>
  <c r="J84" i="12"/>
  <c r="K84" i="12" s="1"/>
  <c r="J92" i="12"/>
  <c r="K92" i="12" s="1"/>
  <c r="J100" i="12"/>
  <c r="K100" i="12" s="1"/>
  <c r="J108" i="12"/>
  <c r="K108" i="12" s="1"/>
  <c r="J116" i="12"/>
  <c r="K116" i="12" s="1"/>
  <c r="J124" i="12"/>
  <c r="K124" i="12" s="1"/>
  <c r="J132" i="12"/>
  <c r="K132" i="12" s="1"/>
  <c r="J140" i="12"/>
  <c r="K140" i="12" s="1"/>
  <c r="J148" i="12"/>
  <c r="K148" i="12" s="1"/>
  <c r="J156" i="12"/>
  <c r="K156" i="12" s="1"/>
  <c r="J164" i="12"/>
  <c r="K164" i="12" s="1"/>
  <c r="J172" i="12"/>
  <c r="K172" i="12" s="1"/>
  <c r="J180" i="12"/>
  <c r="K180" i="12" s="1"/>
  <c r="J188" i="12"/>
  <c r="K188" i="12" s="1"/>
  <c r="J196" i="12"/>
  <c r="K196" i="12" s="1"/>
  <c r="J204" i="12"/>
  <c r="K204" i="12" s="1"/>
  <c r="J212" i="12"/>
  <c r="K212" i="12" s="1"/>
  <c r="J220" i="12"/>
  <c r="K220" i="12" s="1"/>
  <c r="J228" i="12"/>
  <c r="K228" i="12" s="1"/>
  <c r="J236" i="12"/>
  <c r="K236" i="12" s="1"/>
  <c r="J244" i="12"/>
  <c r="K244" i="12" s="1"/>
  <c r="J252" i="12"/>
  <c r="K252" i="12" s="1"/>
  <c r="J260" i="12"/>
  <c r="K260" i="12" s="1"/>
  <c r="J268" i="12"/>
  <c r="K268" i="12" s="1"/>
  <c r="J276" i="12"/>
  <c r="K276" i="12" s="1"/>
  <c r="J284" i="12"/>
  <c r="K284" i="12" s="1"/>
  <c r="J292" i="12"/>
  <c r="K292" i="12" s="1"/>
  <c r="J300" i="12"/>
  <c r="K300" i="12" s="1"/>
  <c r="J304" i="12"/>
  <c r="K304" i="12" s="1"/>
  <c r="J13" i="12"/>
  <c r="K13" i="12" s="1"/>
  <c r="J14" i="12"/>
  <c r="K14" i="12" s="1"/>
  <c r="J15" i="12"/>
  <c r="K15" i="12" s="1"/>
  <c r="J16" i="12"/>
  <c r="K16" i="12" s="1"/>
  <c r="J17" i="12"/>
  <c r="K17" i="12" s="1"/>
  <c r="J18" i="12"/>
  <c r="K18" i="12" s="1"/>
  <c r="J19" i="12"/>
  <c r="K19" i="12" s="1"/>
  <c r="J21" i="12"/>
  <c r="K21" i="12" s="1"/>
  <c r="J22" i="12"/>
  <c r="K22" i="12" s="1"/>
  <c r="J23" i="12"/>
  <c r="K23" i="12" s="1"/>
  <c r="J24" i="12"/>
  <c r="K24" i="12" s="1"/>
  <c r="J25" i="12"/>
  <c r="K25" i="12" s="1"/>
  <c r="J26" i="12"/>
  <c r="K26" i="12" s="1"/>
  <c r="J27" i="12"/>
  <c r="K27" i="12" s="1"/>
  <c r="J29" i="12"/>
  <c r="K29" i="12" s="1"/>
  <c r="J30" i="12"/>
  <c r="K30" i="12" s="1"/>
  <c r="J31" i="12"/>
  <c r="K31" i="12" s="1"/>
  <c r="J32" i="12"/>
  <c r="K32" i="12" s="1"/>
  <c r="J33" i="12"/>
  <c r="K33" i="12" s="1"/>
  <c r="J34" i="12"/>
  <c r="K34" i="12" s="1"/>
  <c r="J35" i="12"/>
  <c r="K35" i="12" s="1"/>
  <c r="J37" i="12"/>
  <c r="K37" i="12" s="1"/>
  <c r="J38" i="12"/>
  <c r="K38" i="12" s="1"/>
  <c r="J39" i="12"/>
  <c r="K39" i="12" s="1"/>
  <c r="J40" i="12"/>
  <c r="K40" i="12" s="1"/>
  <c r="J41" i="12"/>
  <c r="K41" i="12" s="1"/>
  <c r="J42" i="12"/>
  <c r="K42" i="12" s="1"/>
  <c r="J43" i="12"/>
  <c r="K43" i="12" s="1"/>
  <c r="J45" i="12"/>
  <c r="K45" i="12" s="1"/>
  <c r="J46" i="12"/>
  <c r="K46" i="12" s="1"/>
  <c r="J47" i="12"/>
  <c r="K47" i="12" s="1"/>
  <c r="J48" i="12"/>
  <c r="K48" i="12" s="1"/>
  <c r="J49" i="12"/>
  <c r="K49" i="12" s="1"/>
  <c r="J50" i="12"/>
  <c r="K50" i="12" s="1"/>
  <c r="J51" i="12"/>
  <c r="K51" i="12" s="1"/>
  <c r="J53" i="12"/>
  <c r="K53" i="12" s="1"/>
  <c r="J54" i="12"/>
  <c r="K54" i="12" s="1"/>
  <c r="J55" i="12"/>
  <c r="K55" i="12" s="1"/>
  <c r="J56" i="12"/>
  <c r="K56" i="12" s="1"/>
  <c r="J57" i="12"/>
  <c r="K57" i="12" s="1"/>
  <c r="J58" i="12"/>
  <c r="K58" i="12" s="1"/>
  <c r="J59" i="12"/>
  <c r="K59" i="12" s="1"/>
  <c r="J61" i="12"/>
  <c r="K61" i="12" s="1"/>
  <c r="J62" i="12"/>
  <c r="K62" i="12" s="1"/>
  <c r="J63" i="12"/>
  <c r="K63" i="12" s="1"/>
  <c r="J64" i="12"/>
  <c r="K64" i="12" s="1"/>
  <c r="J65" i="12"/>
  <c r="K65" i="12" s="1"/>
  <c r="J66" i="12"/>
  <c r="K66" i="12" s="1"/>
  <c r="J67" i="12"/>
  <c r="K67" i="12" s="1"/>
  <c r="J69" i="12"/>
  <c r="K69" i="12" s="1"/>
  <c r="J70" i="12"/>
  <c r="K70" i="12" s="1"/>
  <c r="J71" i="12"/>
  <c r="K71" i="12" s="1"/>
  <c r="J72" i="12"/>
  <c r="K72" i="12" s="1"/>
  <c r="J73" i="12"/>
  <c r="K73" i="12" s="1"/>
  <c r="J74" i="12"/>
  <c r="K74" i="12" s="1"/>
  <c r="J75" i="12"/>
  <c r="K75" i="12" s="1"/>
  <c r="J77" i="12"/>
  <c r="K77" i="12" s="1"/>
  <c r="J78" i="12"/>
  <c r="K78" i="12" s="1"/>
  <c r="J79" i="12"/>
  <c r="K79" i="12" s="1"/>
  <c r="J80" i="12"/>
  <c r="K80" i="12" s="1"/>
  <c r="J81" i="12"/>
  <c r="K81" i="12" s="1"/>
  <c r="J82" i="12"/>
  <c r="K82" i="12" s="1"/>
  <c r="J83" i="12"/>
  <c r="K83" i="12" s="1"/>
  <c r="J85" i="12"/>
  <c r="K85" i="12" s="1"/>
  <c r="J86" i="12"/>
  <c r="K86" i="12" s="1"/>
  <c r="J87" i="12"/>
  <c r="K87" i="12" s="1"/>
  <c r="J88" i="12"/>
  <c r="K88" i="12" s="1"/>
  <c r="J89" i="12"/>
  <c r="K89" i="12" s="1"/>
  <c r="J90" i="12"/>
  <c r="K90" i="12" s="1"/>
  <c r="J91" i="12"/>
  <c r="K91" i="12" s="1"/>
  <c r="J93" i="12"/>
  <c r="K93" i="12" s="1"/>
  <c r="J94" i="12"/>
  <c r="K94" i="12" s="1"/>
  <c r="J95" i="12"/>
  <c r="K95" i="12" s="1"/>
  <c r="J96" i="12"/>
  <c r="K96" i="12" s="1"/>
  <c r="J97" i="12"/>
  <c r="K97" i="12" s="1"/>
  <c r="J98" i="12"/>
  <c r="K98" i="12" s="1"/>
  <c r="J99" i="12"/>
  <c r="K99" i="12" s="1"/>
  <c r="J101" i="12"/>
  <c r="K101" i="12" s="1"/>
  <c r="J102" i="12"/>
  <c r="K102" i="12" s="1"/>
  <c r="J103" i="12"/>
  <c r="K103" i="12" s="1"/>
  <c r="J104" i="12"/>
  <c r="K104" i="12" s="1"/>
  <c r="J105" i="12"/>
  <c r="K105" i="12" s="1"/>
  <c r="J106" i="12"/>
  <c r="K106" i="12" s="1"/>
  <c r="J107" i="12"/>
  <c r="K107" i="12" s="1"/>
  <c r="J109" i="12"/>
  <c r="K109" i="12" s="1"/>
  <c r="J110" i="12"/>
  <c r="K110" i="12" s="1"/>
  <c r="J111" i="12"/>
  <c r="K111" i="12" s="1"/>
  <c r="J112" i="12"/>
  <c r="K112" i="12" s="1"/>
  <c r="J113" i="12"/>
  <c r="K113" i="12" s="1"/>
  <c r="J114" i="12"/>
  <c r="K114" i="12" s="1"/>
  <c r="J115" i="12"/>
  <c r="K115" i="12" s="1"/>
  <c r="J117" i="12"/>
  <c r="K117" i="12" s="1"/>
  <c r="J118" i="12"/>
  <c r="K118" i="12" s="1"/>
  <c r="J119" i="12"/>
  <c r="K119" i="12" s="1"/>
  <c r="J120" i="12"/>
  <c r="K120" i="12" s="1"/>
  <c r="J121" i="12"/>
  <c r="K121" i="12" s="1"/>
  <c r="J122" i="12"/>
  <c r="K122" i="12" s="1"/>
  <c r="J123" i="12"/>
  <c r="K123" i="12" s="1"/>
  <c r="J125" i="12"/>
  <c r="K125" i="12" s="1"/>
  <c r="J126" i="12"/>
  <c r="K126" i="12" s="1"/>
  <c r="J127" i="12"/>
  <c r="K127" i="12" s="1"/>
  <c r="J128" i="12"/>
  <c r="K128" i="12" s="1"/>
  <c r="J129" i="12"/>
  <c r="K129" i="12" s="1"/>
  <c r="J130" i="12"/>
  <c r="K130" i="12" s="1"/>
  <c r="J131" i="12"/>
  <c r="K131" i="12" s="1"/>
  <c r="J133" i="12"/>
  <c r="K133" i="12" s="1"/>
  <c r="J134" i="12"/>
  <c r="K134" i="12" s="1"/>
  <c r="J135" i="12"/>
  <c r="K135" i="12" s="1"/>
  <c r="J136" i="12"/>
  <c r="K136" i="12" s="1"/>
  <c r="J137" i="12"/>
  <c r="K137" i="12" s="1"/>
  <c r="J138" i="12"/>
  <c r="K138" i="12" s="1"/>
  <c r="J139" i="12"/>
  <c r="K139" i="12" s="1"/>
  <c r="J141" i="12"/>
  <c r="K141" i="12" s="1"/>
  <c r="J142" i="12"/>
  <c r="K142" i="12" s="1"/>
  <c r="J143" i="12"/>
  <c r="K143" i="12" s="1"/>
  <c r="J144" i="12"/>
  <c r="K144" i="12" s="1"/>
  <c r="J145" i="12"/>
  <c r="K145" i="12" s="1"/>
  <c r="J146" i="12"/>
  <c r="K146" i="12" s="1"/>
  <c r="J147" i="12"/>
  <c r="K147" i="12" s="1"/>
  <c r="J149" i="12"/>
  <c r="K149" i="12" s="1"/>
  <c r="J150" i="12"/>
  <c r="K150" i="12" s="1"/>
  <c r="J151" i="12"/>
  <c r="K151" i="12" s="1"/>
  <c r="J152" i="12"/>
  <c r="K152" i="12" s="1"/>
  <c r="J153" i="12"/>
  <c r="K153" i="12" s="1"/>
  <c r="J154" i="12"/>
  <c r="K154" i="12" s="1"/>
  <c r="J155" i="12"/>
  <c r="K155" i="12" s="1"/>
  <c r="J157" i="12"/>
  <c r="K157" i="12" s="1"/>
  <c r="J158" i="12"/>
  <c r="K158" i="12" s="1"/>
  <c r="J159" i="12"/>
  <c r="K159" i="12" s="1"/>
  <c r="J160" i="12"/>
  <c r="K160" i="12" s="1"/>
  <c r="J161" i="12"/>
  <c r="K161" i="12" s="1"/>
  <c r="J162" i="12"/>
  <c r="K162" i="12" s="1"/>
  <c r="J163" i="12"/>
  <c r="K163" i="12" s="1"/>
  <c r="J165" i="12"/>
  <c r="K165" i="12" s="1"/>
  <c r="J166" i="12"/>
  <c r="K166" i="12" s="1"/>
  <c r="J167" i="12"/>
  <c r="K167" i="12" s="1"/>
  <c r="J168" i="12"/>
  <c r="K168" i="12" s="1"/>
  <c r="J169" i="12"/>
  <c r="K169" i="12" s="1"/>
  <c r="J170" i="12"/>
  <c r="K170" i="12" s="1"/>
  <c r="J171" i="12"/>
  <c r="K171" i="12" s="1"/>
  <c r="J173" i="12"/>
  <c r="K173" i="12" s="1"/>
  <c r="J174" i="12"/>
  <c r="K174" i="12" s="1"/>
  <c r="J175" i="12"/>
  <c r="K175" i="12" s="1"/>
  <c r="J176" i="12"/>
  <c r="K176" i="12" s="1"/>
  <c r="J177" i="12"/>
  <c r="K177" i="12" s="1"/>
  <c r="J178" i="12"/>
  <c r="K178" i="12" s="1"/>
  <c r="J179" i="12"/>
  <c r="K179" i="12" s="1"/>
  <c r="J181" i="12"/>
  <c r="K181" i="12" s="1"/>
  <c r="J182" i="12"/>
  <c r="K182" i="12" s="1"/>
  <c r="J183" i="12"/>
  <c r="K183" i="12" s="1"/>
  <c r="J184" i="12"/>
  <c r="K184" i="12" s="1"/>
  <c r="J185" i="12"/>
  <c r="K185" i="12" s="1"/>
  <c r="J186" i="12"/>
  <c r="K186" i="12" s="1"/>
  <c r="J187" i="12"/>
  <c r="K187" i="12" s="1"/>
  <c r="J189" i="12"/>
  <c r="K189" i="12" s="1"/>
  <c r="J191" i="12"/>
  <c r="K191" i="12" s="1"/>
  <c r="J192" i="12"/>
  <c r="K192" i="12" s="1"/>
  <c r="J193" i="12"/>
  <c r="K193" i="12" s="1"/>
  <c r="J194" i="12"/>
  <c r="K194" i="12" s="1"/>
  <c r="J195" i="12"/>
  <c r="K195" i="12" s="1"/>
  <c r="J197" i="12"/>
  <c r="K197" i="12" s="1"/>
  <c r="J198" i="12"/>
  <c r="K198" i="12" s="1"/>
  <c r="J199" i="12"/>
  <c r="K199" i="12" s="1"/>
  <c r="J200" i="12"/>
  <c r="K200" i="12" s="1"/>
  <c r="J201" i="12"/>
  <c r="K201" i="12" s="1"/>
  <c r="J202" i="12"/>
  <c r="K202" i="12" s="1"/>
  <c r="J203" i="12"/>
  <c r="K203" i="12" s="1"/>
  <c r="J205" i="12"/>
  <c r="K205" i="12" s="1"/>
  <c r="J206" i="12"/>
  <c r="K206" i="12" s="1"/>
  <c r="J207" i="12"/>
  <c r="K207" i="12" s="1"/>
  <c r="J208" i="12"/>
  <c r="K208" i="12" s="1"/>
  <c r="J209" i="12"/>
  <c r="K209" i="12" s="1"/>
  <c r="J210" i="12"/>
  <c r="K210" i="12" s="1"/>
  <c r="J211" i="12"/>
  <c r="K211" i="12" s="1"/>
  <c r="J213" i="12"/>
  <c r="K213" i="12" s="1"/>
  <c r="J214" i="12"/>
  <c r="K214" i="12" s="1"/>
  <c r="J215" i="12"/>
  <c r="K215" i="12" s="1"/>
  <c r="J216" i="12"/>
  <c r="K216" i="12" s="1"/>
  <c r="J217" i="12"/>
  <c r="K217" i="12" s="1"/>
  <c r="J218" i="12"/>
  <c r="K218" i="12" s="1"/>
  <c r="J219" i="12"/>
  <c r="K219" i="12" s="1"/>
  <c r="J221" i="12"/>
  <c r="K221" i="12" s="1"/>
  <c r="J222" i="12"/>
  <c r="K222" i="12" s="1"/>
  <c r="J223" i="12"/>
  <c r="K223" i="12" s="1"/>
  <c r="J224" i="12"/>
  <c r="K224" i="12" s="1"/>
  <c r="J225" i="12"/>
  <c r="K225" i="12" s="1"/>
  <c r="J226" i="12"/>
  <c r="K226" i="12" s="1"/>
  <c r="J227" i="12"/>
  <c r="K227" i="12" s="1"/>
  <c r="J229" i="12"/>
  <c r="K229" i="12" s="1"/>
  <c r="J230" i="12"/>
  <c r="K230" i="12" s="1"/>
  <c r="J231" i="12"/>
  <c r="K231" i="12" s="1"/>
  <c r="J232" i="12"/>
  <c r="K232" i="12" s="1"/>
  <c r="J233" i="12"/>
  <c r="K233" i="12" s="1"/>
  <c r="J234" i="12"/>
  <c r="K234" i="12" s="1"/>
  <c r="J235" i="12"/>
  <c r="K235" i="12" s="1"/>
  <c r="J237" i="12"/>
  <c r="K237" i="12" s="1"/>
  <c r="J238" i="12"/>
  <c r="K238" i="12" s="1"/>
  <c r="J239" i="12"/>
  <c r="K239" i="12" s="1"/>
  <c r="J240" i="12"/>
  <c r="K240" i="12" s="1"/>
  <c r="J241" i="12"/>
  <c r="K241" i="12" s="1"/>
  <c r="J242" i="12"/>
  <c r="K242" i="12" s="1"/>
  <c r="J243" i="12"/>
  <c r="K243" i="12" s="1"/>
  <c r="J245" i="12"/>
  <c r="K245" i="12" s="1"/>
  <c r="J246" i="12"/>
  <c r="K246" i="12" s="1"/>
  <c r="J247" i="12"/>
  <c r="K247" i="12" s="1"/>
  <c r="J248" i="12"/>
  <c r="K248" i="12" s="1"/>
  <c r="J249" i="12"/>
  <c r="K249" i="12" s="1"/>
  <c r="J250" i="12"/>
  <c r="K250" i="12" s="1"/>
  <c r="J251" i="12"/>
  <c r="K251" i="12" s="1"/>
  <c r="J253" i="12"/>
  <c r="K253" i="12" s="1"/>
  <c r="J254" i="12"/>
  <c r="K254" i="12" s="1"/>
  <c r="J255" i="12"/>
  <c r="K255" i="12" s="1"/>
  <c r="J256" i="12"/>
  <c r="K256" i="12" s="1"/>
  <c r="J257" i="12"/>
  <c r="K257" i="12" s="1"/>
  <c r="J258" i="12"/>
  <c r="K258" i="12" s="1"/>
  <c r="J259" i="12"/>
  <c r="K259" i="12" s="1"/>
  <c r="J261" i="12"/>
  <c r="K261" i="12" s="1"/>
  <c r="J262" i="12"/>
  <c r="K262" i="12" s="1"/>
  <c r="J263" i="12"/>
  <c r="K263" i="12" s="1"/>
  <c r="J264" i="12"/>
  <c r="K264" i="12" s="1"/>
  <c r="J265" i="12"/>
  <c r="K265" i="12" s="1"/>
  <c r="J266" i="12"/>
  <c r="K266" i="12" s="1"/>
  <c r="J267" i="12"/>
  <c r="K267" i="12" s="1"/>
  <c r="J269" i="12"/>
  <c r="K269" i="12" s="1"/>
  <c r="J270" i="12"/>
  <c r="K270" i="12" s="1"/>
  <c r="J271" i="12"/>
  <c r="K271" i="12" s="1"/>
  <c r="J272" i="12"/>
  <c r="K272" i="12" s="1"/>
  <c r="J273" i="12"/>
  <c r="K273" i="12" s="1"/>
  <c r="J274" i="12"/>
  <c r="K274" i="12" s="1"/>
  <c r="J275" i="12"/>
  <c r="K275" i="12" s="1"/>
  <c r="J277" i="12"/>
  <c r="K277" i="12" s="1"/>
  <c r="J278" i="12"/>
  <c r="K278" i="12" s="1"/>
  <c r="J279" i="12"/>
  <c r="K279" i="12" s="1"/>
  <c r="J280" i="12"/>
  <c r="K280" i="12" s="1"/>
  <c r="J281" i="12"/>
  <c r="K281" i="12" s="1"/>
  <c r="J282" i="12"/>
  <c r="K282" i="12" s="1"/>
  <c r="J283" i="12"/>
  <c r="K283" i="12" s="1"/>
  <c r="J285" i="12"/>
  <c r="K285" i="12" s="1"/>
  <c r="J286" i="12"/>
  <c r="K286" i="12" s="1"/>
  <c r="J287" i="12"/>
  <c r="K287" i="12" s="1"/>
  <c r="J288" i="12"/>
  <c r="K288" i="12" s="1"/>
  <c r="J289" i="12"/>
  <c r="K289" i="12" s="1"/>
  <c r="J290" i="12"/>
  <c r="K290" i="12" s="1"/>
  <c r="J291" i="12"/>
  <c r="K291" i="12" s="1"/>
  <c r="J293" i="12"/>
  <c r="K293" i="12" s="1"/>
  <c r="J294" i="12"/>
  <c r="K294" i="12" s="1"/>
  <c r="J295" i="12"/>
  <c r="K295" i="12" s="1"/>
  <c r="J296" i="12"/>
  <c r="K296" i="12" s="1"/>
  <c r="J297" i="12"/>
  <c r="K297" i="12" s="1"/>
  <c r="J298" i="12"/>
  <c r="K298" i="12" s="1"/>
  <c r="J299" i="12"/>
  <c r="K299" i="12" s="1"/>
  <c r="J301" i="12"/>
  <c r="K301" i="12" s="1"/>
  <c r="J302" i="12"/>
  <c r="K302" i="12" s="1"/>
  <c r="J303" i="12"/>
  <c r="K303" i="12" s="1"/>
  <c r="J12" i="12"/>
  <c r="K12" i="12" s="1"/>
  <c r="U10" i="10" l="1"/>
  <c r="U11" i="10"/>
  <c r="U12" i="10"/>
  <c r="U13" i="10"/>
  <c r="U14" i="10"/>
  <c r="U15" i="10"/>
  <c r="U16" i="10"/>
  <c r="U17" i="10"/>
  <c r="U18" i="10"/>
  <c r="U19" i="10"/>
  <c r="U20" i="10"/>
  <c r="U21" i="10"/>
  <c r="U22" i="10"/>
  <c r="U23" i="10"/>
  <c r="U24" i="10"/>
  <c r="U25" i="10"/>
  <c r="U26" i="10"/>
  <c r="U27" i="10"/>
  <c r="U28" i="10"/>
  <c r="U29" i="10"/>
  <c r="U30" i="10"/>
  <c r="U31" i="10"/>
  <c r="U32" i="10"/>
  <c r="U33" i="10"/>
  <c r="U34"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72" i="10"/>
  <c r="U73" i="10"/>
  <c r="U74" i="10"/>
  <c r="U75" i="10"/>
  <c r="U76" i="10"/>
  <c r="U77" i="10"/>
  <c r="U78" i="10"/>
  <c r="U79" i="10"/>
  <c r="U80" i="10"/>
  <c r="U81" i="10"/>
  <c r="U82" i="10"/>
  <c r="U83" i="10"/>
  <c r="U84" i="10"/>
  <c r="U85" i="10"/>
  <c r="U86" i="10"/>
  <c r="U87" i="10"/>
  <c r="U88" i="10"/>
  <c r="U89" i="10"/>
  <c r="U90" i="10"/>
  <c r="U91" i="10"/>
  <c r="U92" i="10"/>
  <c r="U93" i="10"/>
  <c r="U94" i="10"/>
  <c r="U95" i="10"/>
  <c r="U96" i="10"/>
  <c r="U97" i="10"/>
  <c r="U98" i="10"/>
  <c r="U99" i="10"/>
  <c r="U100" i="10"/>
  <c r="U101" i="10"/>
  <c r="U102" i="10"/>
  <c r="U103" i="10"/>
  <c r="U104" i="10"/>
  <c r="U105" i="10"/>
  <c r="U106" i="10"/>
  <c r="U107" i="10"/>
  <c r="U108" i="10"/>
  <c r="U109" i="10"/>
  <c r="U110" i="10"/>
  <c r="U111" i="10"/>
  <c r="U112" i="10"/>
  <c r="U113" i="10"/>
  <c r="U114" i="10"/>
  <c r="U115" i="10"/>
  <c r="U116" i="10"/>
  <c r="U117" i="10"/>
  <c r="U118" i="10"/>
  <c r="U119" i="10"/>
  <c r="U120" i="10"/>
  <c r="U121" i="10"/>
  <c r="U122" i="10"/>
  <c r="U123" i="10"/>
  <c r="U124" i="10"/>
  <c r="U125" i="10"/>
  <c r="U126" i="10"/>
  <c r="U127" i="10"/>
  <c r="U128" i="10"/>
  <c r="U129" i="10"/>
  <c r="U130" i="10"/>
  <c r="U131" i="10"/>
  <c r="U132" i="10"/>
  <c r="U133" i="10"/>
  <c r="U134" i="10"/>
  <c r="U135" i="10"/>
  <c r="U136" i="10"/>
  <c r="U137" i="10"/>
  <c r="U138" i="10"/>
  <c r="U139" i="10"/>
  <c r="U140" i="10"/>
  <c r="U141" i="10"/>
  <c r="U142" i="10"/>
  <c r="U143" i="10"/>
  <c r="U144" i="10"/>
  <c r="U145" i="10"/>
  <c r="U146" i="10"/>
  <c r="U147" i="10"/>
  <c r="U148" i="10"/>
  <c r="U149" i="10"/>
  <c r="U150" i="10"/>
  <c r="U151" i="10"/>
  <c r="U152" i="10"/>
  <c r="U153" i="10"/>
  <c r="U154" i="10"/>
  <c r="U155" i="10"/>
  <c r="U156" i="10"/>
  <c r="U157" i="10"/>
  <c r="U158" i="10"/>
  <c r="U159" i="10"/>
  <c r="U160" i="10"/>
  <c r="U161" i="10"/>
  <c r="U163" i="10"/>
  <c r="U164" i="10"/>
  <c r="U165" i="10"/>
  <c r="U166" i="10"/>
  <c r="U167" i="10"/>
  <c r="U168" i="10"/>
  <c r="U169" i="10"/>
  <c r="U170" i="10"/>
  <c r="U171" i="10"/>
  <c r="U172" i="10"/>
  <c r="U173" i="10"/>
  <c r="U174" i="10"/>
  <c r="U175" i="10"/>
  <c r="U176" i="10"/>
  <c r="U177" i="10"/>
  <c r="U178" i="10"/>
  <c r="U179" i="10"/>
  <c r="U180" i="10"/>
  <c r="U181" i="10"/>
  <c r="U182" i="10"/>
  <c r="U183" i="10"/>
  <c r="U184" i="10"/>
  <c r="U185" i="10"/>
  <c r="U186" i="10"/>
  <c r="U187" i="10"/>
  <c r="U188" i="10"/>
  <c r="U189" i="10"/>
  <c r="U190" i="10"/>
  <c r="U191" i="10"/>
  <c r="U192" i="10"/>
  <c r="U193" i="10"/>
  <c r="U194" i="10"/>
  <c r="U195" i="10"/>
  <c r="U196" i="10"/>
  <c r="U197" i="10"/>
  <c r="U198" i="10"/>
  <c r="U199" i="10"/>
  <c r="U200" i="10"/>
  <c r="U201" i="10"/>
  <c r="U202" i="10"/>
  <c r="U203" i="10"/>
  <c r="U204" i="10"/>
  <c r="U205" i="10"/>
  <c r="U206" i="10"/>
  <c r="U207" i="10"/>
  <c r="U208" i="10"/>
  <c r="U209" i="10"/>
  <c r="U210" i="10"/>
  <c r="U211" i="10"/>
  <c r="U212" i="10"/>
  <c r="U213" i="10"/>
  <c r="U214" i="10"/>
  <c r="U215" i="10"/>
  <c r="U216" i="10"/>
  <c r="U217" i="10"/>
  <c r="U218" i="10"/>
  <c r="U219" i="10"/>
  <c r="U220" i="10"/>
  <c r="U221" i="10"/>
  <c r="U222" i="10"/>
  <c r="U223" i="10"/>
  <c r="U224" i="10"/>
  <c r="U225" i="10"/>
  <c r="U226" i="10"/>
  <c r="U227" i="10"/>
  <c r="U228" i="10"/>
  <c r="U229" i="10"/>
  <c r="U230" i="10"/>
  <c r="U231" i="10"/>
  <c r="U232" i="10"/>
  <c r="U233" i="10"/>
  <c r="U234" i="10"/>
  <c r="U235" i="10"/>
  <c r="U236" i="10"/>
  <c r="U237" i="10"/>
  <c r="U238" i="10"/>
  <c r="U239" i="10"/>
  <c r="U240" i="10"/>
  <c r="U241" i="10"/>
  <c r="U242" i="10"/>
  <c r="U243" i="10"/>
  <c r="U244" i="10"/>
  <c r="U245" i="10"/>
  <c r="U246" i="10"/>
  <c r="U247" i="10"/>
  <c r="U248" i="10"/>
  <c r="U249" i="10"/>
  <c r="U250" i="10"/>
  <c r="U251" i="10"/>
  <c r="U252" i="10"/>
  <c r="U253" i="10"/>
  <c r="U254" i="10"/>
  <c r="U255" i="10"/>
  <c r="U256" i="10"/>
  <c r="U257" i="10"/>
  <c r="U258" i="10"/>
  <c r="U259" i="10"/>
  <c r="U260" i="10"/>
  <c r="U261" i="10"/>
  <c r="U262" i="10"/>
  <c r="U263" i="10"/>
  <c r="U264" i="10"/>
  <c r="U265" i="10"/>
  <c r="U266" i="10"/>
  <c r="U267" i="10"/>
  <c r="U268" i="10"/>
  <c r="U269" i="10"/>
  <c r="U270" i="10"/>
  <c r="U271" i="10"/>
  <c r="U272" i="10"/>
  <c r="U273" i="10"/>
  <c r="U274" i="10"/>
  <c r="U275" i="10"/>
  <c r="U276" i="10"/>
  <c r="U277" i="10"/>
  <c r="U278" i="10"/>
  <c r="U279" i="10"/>
  <c r="U280" i="10"/>
  <c r="U281" i="10"/>
  <c r="U282" i="10"/>
  <c r="U283" i="10"/>
  <c r="U284" i="10"/>
  <c r="U285" i="10"/>
  <c r="U286" i="10"/>
  <c r="U287" i="10"/>
  <c r="U288" i="10"/>
  <c r="U289" i="10"/>
  <c r="U290" i="10"/>
  <c r="U291" i="10"/>
  <c r="U292" i="10"/>
  <c r="U293" i="10"/>
  <c r="U294" i="10"/>
  <c r="U295" i="10"/>
  <c r="U296" i="10"/>
  <c r="U297" i="10"/>
  <c r="U298" i="10"/>
  <c r="U299" i="10"/>
  <c r="S7" i="10"/>
  <c r="T7" i="10"/>
  <c r="U7" i="10" l="1"/>
  <c r="D4" i="14" l="1"/>
  <c r="C4" i="14" l="1"/>
  <c r="D12" i="9" l="1"/>
  <c r="I7" i="10" l="1"/>
  <c r="H7" i="10"/>
  <c r="Q12" i="9" l="1"/>
  <c r="F6" i="7" l="1"/>
  <c r="J11" i="12" l="1"/>
  <c r="I11" i="12"/>
  <c r="H11" i="12"/>
  <c r="G11" i="12"/>
  <c r="C11" i="12"/>
  <c r="F11" i="12"/>
  <c r="E11" i="12"/>
  <c r="K11" i="12" l="1"/>
  <c r="L12" i="12" s="1"/>
  <c r="M7" i="7" s="1"/>
  <c r="L275" i="12"/>
  <c r="M269" i="7" s="1"/>
  <c r="N269" i="7" s="1"/>
  <c r="P269" i="7" s="1"/>
  <c r="L188" i="12"/>
  <c r="M183" i="7" s="1"/>
  <c r="N183" i="7" s="1"/>
  <c r="L220" i="12"/>
  <c r="M214" i="7" s="1"/>
  <c r="N214" i="7" s="1"/>
  <c r="P214" i="7" s="1"/>
  <c r="L276" i="12"/>
  <c r="M270" i="7" s="1"/>
  <c r="N270" i="7" s="1"/>
  <c r="P270" i="7" s="1"/>
  <c r="L92" i="12"/>
  <c r="M87" i="7" s="1"/>
  <c r="N87" i="7" s="1"/>
  <c r="P87" i="7" s="1"/>
  <c r="L24" i="12"/>
  <c r="M19" i="7" s="1"/>
  <c r="N19" i="7" s="1"/>
  <c r="R19" i="7" s="1"/>
  <c r="L248" i="12"/>
  <c r="M242" i="7" s="1"/>
  <c r="N242" i="7" s="1"/>
  <c r="R242" i="7" s="1"/>
  <c r="L280" i="12"/>
  <c r="M274" i="7" s="1"/>
  <c r="N274" i="7" s="1"/>
  <c r="R274" i="7" s="1"/>
  <c r="L28" i="12"/>
  <c r="M23" i="7" s="1"/>
  <c r="N23" i="7" s="1"/>
  <c r="L156" i="12"/>
  <c r="M151" i="7" s="1"/>
  <c r="N151" i="7" s="1"/>
  <c r="L160" i="12"/>
  <c r="M155" i="7" s="1"/>
  <c r="N155" i="7" s="1"/>
  <c r="R155" i="7" s="1"/>
  <c r="L192" i="12"/>
  <c r="M186" i="7" s="1"/>
  <c r="N186" i="7" s="1"/>
  <c r="R186" i="7" s="1"/>
  <c r="L224" i="12"/>
  <c r="M218" i="7" s="1"/>
  <c r="N218" i="7" s="1"/>
  <c r="R218" i="7" s="1"/>
  <c r="L256" i="12"/>
  <c r="M250" i="7" s="1"/>
  <c r="N250" i="7" s="1"/>
  <c r="R250" i="7" s="1"/>
  <c r="L204" i="12"/>
  <c r="M198" i="7" s="1"/>
  <c r="N198" i="7" s="1"/>
  <c r="P198" i="7" s="1"/>
  <c r="L299" i="12"/>
  <c r="M293" i="7" s="1"/>
  <c r="N293" i="7" s="1"/>
  <c r="L36" i="12"/>
  <c r="M31" i="7" s="1"/>
  <c r="N31" i="7" s="1"/>
  <c r="L68" i="12"/>
  <c r="M63" i="7" s="1"/>
  <c r="N63" i="7" s="1"/>
  <c r="L228" i="12"/>
  <c r="M222" i="7" s="1"/>
  <c r="N222" i="7" s="1"/>
  <c r="P222" i="7" s="1"/>
  <c r="L260" i="12"/>
  <c r="M254" i="7" s="1"/>
  <c r="N254" i="7" s="1"/>
  <c r="L292" i="12"/>
  <c r="M286" i="7" s="1"/>
  <c r="N286" i="7" s="1"/>
  <c r="L40" i="12"/>
  <c r="M35" i="7" s="1"/>
  <c r="N35" i="7" s="1"/>
  <c r="L232" i="12"/>
  <c r="M226" i="7" s="1"/>
  <c r="N226" i="7" s="1"/>
  <c r="R226" i="7" s="1"/>
  <c r="L264" i="12"/>
  <c r="M258" i="7" s="1"/>
  <c r="N258" i="7" s="1"/>
  <c r="L296" i="12"/>
  <c r="M290" i="7" s="1"/>
  <c r="N290" i="7" s="1"/>
  <c r="L44" i="12"/>
  <c r="M39" i="7" s="1"/>
  <c r="N39" i="7" s="1"/>
  <c r="L6" i="7"/>
  <c r="L235" i="12" l="1"/>
  <c r="M229" i="7" s="1"/>
  <c r="N229" i="7" s="1"/>
  <c r="P229" i="7" s="1"/>
  <c r="L56" i="12"/>
  <c r="M51" i="7" s="1"/>
  <c r="N51" i="7" s="1"/>
  <c r="L171" i="12"/>
  <c r="M166" i="7" s="1"/>
  <c r="N166" i="7" s="1"/>
  <c r="P166" i="7" s="1"/>
  <c r="L124" i="12"/>
  <c r="M119" i="7" s="1"/>
  <c r="N119" i="7" s="1"/>
  <c r="L227" i="12"/>
  <c r="M221" i="7" s="1"/>
  <c r="N221" i="7" s="1"/>
  <c r="P221" i="7" s="1"/>
  <c r="L268" i="12"/>
  <c r="M262" i="7" s="1"/>
  <c r="N262" i="7" s="1"/>
  <c r="L200" i="12"/>
  <c r="M194" i="7" s="1"/>
  <c r="N194" i="7" s="1"/>
  <c r="L196" i="12"/>
  <c r="M190" i="7" s="1"/>
  <c r="N190" i="7" s="1"/>
  <c r="P190" i="7" s="1"/>
  <c r="L140" i="12"/>
  <c r="M135" i="7" s="1"/>
  <c r="N135" i="7" s="1"/>
  <c r="P135" i="7" s="1"/>
  <c r="L128" i="12"/>
  <c r="M123" i="7" s="1"/>
  <c r="N123" i="7" s="1"/>
  <c r="R123" i="7" s="1"/>
  <c r="L216" i="12"/>
  <c r="M210" i="7" s="1"/>
  <c r="N210" i="7" s="1"/>
  <c r="R210" i="7" s="1"/>
  <c r="L212" i="12"/>
  <c r="M206" i="7" s="1"/>
  <c r="N206" i="7" s="1"/>
  <c r="P206" i="7" s="1"/>
  <c r="L144" i="12"/>
  <c r="M139" i="7" s="1"/>
  <c r="N139" i="7" s="1"/>
  <c r="L163" i="12"/>
  <c r="M158" i="7" s="1"/>
  <c r="N158" i="7" s="1"/>
  <c r="P158" i="7" s="1"/>
  <c r="L60" i="12"/>
  <c r="M55" i="7" s="1"/>
  <c r="N55" i="7" s="1"/>
  <c r="P55" i="7" s="1"/>
  <c r="L236" i="12"/>
  <c r="M230" i="7" s="1"/>
  <c r="N230" i="7" s="1"/>
  <c r="P230" i="7" s="1"/>
  <c r="L168" i="12"/>
  <c r="M163" i="7" s="1"/>
  <c r="N163" i="7" s="1"/>
  <c r="R163" i="7" s="1"/>
  <c r="L164" i="12"/>
  <c r="M159" i="7" s="1"/>
  <c r="N159" i="7" s="1"/>
  <c r="P159" i="7" s="1"/>
  <c r="L76" i="12"/>
  <c r="M71" i="7" s="1"/>
  <c r="N71" i="7" s="1"/>
  <c r="P71" i="7" s="1"/>
  <c r="L96" i="12"/>
  <c r="M91" i="7" s="1"/>
  <c r="N91" i="7" s="1"/>
  <c r="R91" i="7" s="1"/>
  <c r="L184" i="12"/>
  <c r="M179" i="7" s="1"/>
  <c r="N179" i="7" s="1"/>
  <c r="R179" i="7" s="1"/>
  <c r="L148" i="12"/>
  <c r="M143" i="7" s="1"/>
  <c r="N143" i="7" s="1"/>
  <c r="P143" i="7" s="1"/>
  <c r="L112" i="12"/>
  <c r="M107" i="7" s="1"/>
  <c r="N107" i="7" s="1"/>
  <c r="L155" i="12"/>
  <c r="M150" i="7" s="1"/>
  <c r="N150" i="7" s="1"/>
  <c r="P150" i="7" s="1"/>
  <c r="L172" i="12"/>
  <c r="M167" i="7" s="1"/>
  <c r="N167" i="7" s="1"/>
  <c r="P167" i="7" s="1"/>
  <c r="L136" i="12"/>
  <c r="M131" i="7" s="1"/>
  <c r="N131" i="7" s="1"/>
  <c r="R131" i="7" s="1"/>
  <c r="L132" i="12"/>
  <c r="M127" i="7" s="1"/>
  <c r="N127" i="7" s="1"/>
  <c r="P127" i="7" s="1"/>
  <c r="L72" i="12"/>
  <c r="M67" i="7" s="1"/>
  <c r="N67" i="7" s="1"/>
  <c r="R67" i="7" s="1"/>
  <c r="L64" i="12"/>
  <c r="M59" i="7" s="1"/>
  <c r="N59" i="7" s="1"/>
  <c r="P59" i="7" s="1"/>
  <c r="L120" i="12"/>
  <c r="M115" i="7" s="1"/>
  <c r="N115" i="7" s="1"/>
  <c r="L116" i="12"/>
  <c r="M111" i="7" s="1"/>
  <c r="N111" i="7" s="1"/>
  <c r="P111" i="7" s="1"/>
  <c r="L80" i="12"/>
  <c r="M75" i="7" s="1"/>
  <c r="N75" i="7" s="1"/>
  <c r="R75" i="7" s="1"/>
  <c r="L91" i="12"/>
  <c r="M86" i="7" s="1"/>
  <c r="N86" i="7" s="1"/>
  <c r="P86" i="7" s="1"/>
  <c r="L108" i="12"/>
  <c r="M103" i="7" s="1"/>
  <c r="N103" i="7" s="1"/>
  <c r="P103" i="7" s="1"/>
  <c r="L104" i="12"/>
  <c r="M99" i="7" s="1"/>
  <c r="N99" i="7" s="1"/>
  <c r="R99" i="7" s="1"/>
  <c r="L100" i="12"/>
  <c r="M95" i="7" s="1"/>
  <c r="N95" i="7" s="1"/>
  <c r="P95" i="7" s="1"/>
  <c r="L288" i="12"/>
  <c r="M282" i="7" s="1"/>
  <c r="N282" i="7" s="1"/>
  <c r="R282" i="7" s="1"/>
  <c r="L252" i="12"/>
  <c r="M246" i="7" s="1"/>
  <c r="N246" i="7" s="1"/>
  <c r="L88" i="12"/>
  <c r="M83" i="7" s="1"/>
  <c r="N83" i="7" s="1"/>
  <c r="L84" i="12"/>
  <c r="M79" i="7" s="1"/>
  <c r="N79" i="7" s="1"/>
  <c r="P79" i="7" s="1"/>
  <c r="L48" i="12"/>
  <c r="M43" i="7" s="1"/>
  <c r="N43" i="7" s="1"/>
  <c r="R43" i="7" s="1"/>
  <c r="L83" i="12"/>
  <c r="M78" i="7" s="1"/>
  <c r="N78" i="7" s="1"/>
  <c r="P78" i="7" s="1"/>
  <c r="L290" i="12"/>
  <c r="M284" i="7" s="1"/>
  <c r="N284" i="7" s="1"/>
  <c r="L274" i="12"/>
  <c r="M268" i="7" s="1"/>
  <c r="N268" i="7" s="1"/>
  <c r="P268" i="7" s="1"/>
  <c r="L176" i="12"/>
  <c r="M171" i="7" s="1"/>
  <c r="N171" i="7" s="1"/>
  <c r="R171" i="7" s="1"/>
  <c r="L179" i="12"/>
  <c r="M174" i="7" s="1"/>
  <c r="N174" i="7" s="1"/>
  <c r="P174" i="7" s="1"/>
  <c r="L210" i="12"/>
  <c r="M204" i="7" s="1"/>
  <c r="N204" i="7" s="1"/>
  <c r="P204" i="7" s="1"/>
  <c r="L202" i="12"/>
  <c r="M196" i="7" s="1"/>
  <c r="N196" i="7" s="1"/>
  <c r="P196" i="7" s="1"/>
  <c r="L259" i="12"/>
  <c r="M253" i="7" s="1"/>
  <c r="N253" i="7" s="1"/>
  <c r="L147" i="12"/>
  <c r="M142" i="7" s="1"/>
  <c r="N142" i="7" s="1"/>
  <c r="P142" i="7" s="1"/>
  <c r="L194" i="12"/>
  <c r="M188" i="7" s="1"/>
  <c r="N188" i="7" s="1"/>
  <c r="P188" i="7" s="1"/>
  <c r="L32" i="12"/>
  <c r="M27" i="7" s="1"/>
  <c r="N27" i="7" s="1"/>
  <c r="R27" i="7" s="1"/>
  <c r="L152" i="12"/>
  <c r="M147" i="7" s="1"/>
  <c r="N147" i="7" s="1"/>
  <c r="R147" i="7" s="1"/>
  <c r="L180" i="12"/>
  <c r="M175" i="7" s="1"/>
  <c r="N175" i="7" s="1"/>
  <c r="P175" i="7" s="1"/>
  <c r="L300" i="12"/>
  <c r="M294" i="7" s="1"/>
  <c r="N294" i="7" s="1"/>
  <c r="P294" i="7" s="1"/>
  <c r="L243" i="12"/>
  <c r="M237" i="7" s="1"/>
  <c r="N237" i="7" s="1"/>
  <c r="P237" i="7" s="1"/>
  <c r="L99" i="12"/>
  <c r="M94" i="7" s="1"/>
  <c r="N94" i="7" s="1"/>
  <c r="P94" i="7" s="1"/>
  <c r="L114" i="12"/>
  <c r="M109" i="7" s="1"/>
  <c r="N109" i="7" s="1"/>
  <c r="P109" i="7" s="1"/>
  <c r="L98" i="12"/>
  <c r="M93" i="7" s="1"/>
  <c r="N93" i="7" s="1"/>
  <c r="L19" i="12"/>
  <c r="M14" i="7" s="1"/>
  <c r="N14" i="7" s="1"/>
  <c r="P14" i="7" s="1"/>
  <c r="L82" i="12"/>
  <c r="M77" i="7" s="1"/>
  <c r="N77" i="7" s="1"/>
  <c r="P77" i="7" s="1"/>
  <c r="L67" i="12"/>
  <c r="M62" i="7" s="1"/>
  <c r="N62" i="7" s="1"/>
  <c r="L266" i="12"/>
  <c r="M260" i="7" s="1"/>
  <c r="N260" i="7" s="1"/>
  <c r="P260" i="7" s="1"/>
  <c r="L186" i="12"/>
  <c r="M181" i="7" s="1"/>
  <c r="N181" i="7" s="1"/>
  <c r="P181" i="7" s="1"/>
  <c r="L74" i="12"/>
  <c r="M69" i="7" s="1"/>
  <c r="N69" i="7" s="1"/>
  <c r="P69" i="7" s="1"/>
  <c r="L51" i="12"/>
  <c r="M46" i="7" s="1"/>
  <c r="N46" i="7" s="1"/>
  <c r="P46" i="7" s="1"/>
  <c r="L258" i="12"/>
  <c r="M252" i="7" s="1"/>
  <c r="N252" i="7" s="1"/>
  <c r="P252" i="7" s="1"/>
  <c r="L178" i="12"/>
  <c r="M173" i="7" s="1"/>
  <c r="N173" i="7" s="1"/>
  <c r="P173" i="7" s="1"/>
  <c r="L58" i="12"/>
  <c r="M53" i="7" s="1"/>
  <c r="N53" i="7" s="1"/>
  <c r="P53" i="7" s="1"/>
  <c r="L304" i="12"/>
  <c r="M298" i="7" s="1"/>
  <c r="N298" i="7" s="1"/>
  <c r="R298" i="7" s="1"/>
  <c r="L52" i="12"/>
  <c r="M47" i="7" s="1"/>
  <c r="N47" i="7" s="1"/>
  <c r="P47" i="7" s="1"/>
  <c r="L272" i="12"/>
  <c r="M266" i="7" s="1"/>
  <c r="N266" i="7" s="1"/>
  <c r="R266" i="7" s="1"/>
  <c r="L16" i="12"/>
  <c r="M11" i="7" s="1"/>
  <c r="N11" i="7" s="1"/>
  <c r="R11" i="7" s="1"/>
  <c r="L219" i="12"/>
  <c r="M213" i="7" s="1"/>
  <c r="N213" i="7" s="1"/>
  <c r="P213" i="7" s="1"/>
  <c r="L131" i="12"/>
  <c r="M126" i="7" s="1"/>
  <c r="N126" i="7" s="1"/>
  <c r="L43" i="12"/>
  <c r="M38" i="7" s="1"/>
  <c r="N38" i="7" s="1"/>
  <c r="P38" i="7" s="1"/>
  <c r="L250" i="12"/>
  <c r="M244" i="7" s="1"/>
  <c r="N244" i="7" s="1"/>
  <c r="P244" i="7" s="1"/>
  <c r="L162" i="12"/>
  <c r="M157" i="7" s="1"/>
  <c r="N157" i="7" s="1"/>
  <c r="R157" i="7" s="1"/>
  <c r="L50" i="12"/>
  <c r="M45" i="7" s="1"/>
  <c r="N45" i="7" s="1"/>
  <c r="R45" i="7" s="1"/>
  <c r="L20" i="12"/>
  <c r="M15" i="7" s="1"/>
  <c r="N15" i="7" s="1"/>
  <c r="P15" i="7" s="1"/>
  <c r="L240" i="12"/>
  <c r="M234" i="7" s="1"/>
  <c r="N234" i="7" s="1"/>
  <c r="R234" i="7" s="1"/>
  <c r="L291" i="12"/>
  <c r="M285" i="7" s="1"/>
  <c r="N285" i="7" s="1"/>
  <c r="P285" i="7" s="1"/>
  <c r="L211" i="12"/>
  <c r="M205" i="7" s="1"/>
  <c r="N205" i="7" s="1"/>
  <c r="P205" i="7" s="1"/>
  <c r="L115" i="12"/>
  <c r="M110" i="7" s="1"/>
  <c r="N110" i="7" s="1"/>
  <c r="P110" i="7" s="1"/>
  <c r="L35" i="12"/>
  <c r="M30" i="7" s="1"/>
  <c r="N30" i="7" s="1"/>
  <c r="P30" i="7" s="1"/>
  <c r="L242" i="12"/>
  <c r="M236" i="7" s="1"/>
  <c r="N236" i="7" s="1"/>
  <c r="P236" i="7" s="1"/>
  <c r="L146" i="12"/>
  <c r="M141" i="7" s="1"/>
  <c r="N141" i="7" s="1"/>
  <c r="P141" i="7" s="1"/>
  <c r="L273" i="12"/>
  <c r="M267" i="7" s="1"/>
  <c r="N267" i="7" s="1"/>
  <c r="P267" i="7" s="1"/>
  <c r="L244" i="12"/>
  <c r="M238" i="7" s="1"/>
  <c r="N238" i="7" s="1"/>
  <c r="P238" i="7" s="1"/>
  <c r="L284" i="12"/>
  <c r="M278" i="7" s="1"/>
  <c r="N278" i="7" s="1"/>
  <c r="P278" i="7" s="1"/>
  <c r="L208" i="12"/>
  <c r="M202" i="7" s="1"/>
  <c r="N202" i="7" s="1"/>
  <c r="R202" i="7" s="1"/>
  <c r="L283" i="12"/>
  <c r="M277" i="7" s="1"/>
  <c r="N277" i="7" s="1"/>
  <c r="P277" i="7" s="1"/>
  <c r="L195" i="12"/>
  <c r="M189" i="7" s="1"/>
  <c r="N189" i="7" s="1"/>
  <c r="L107" i="12"/>
  <c r="M102" i="7" s="1"/>
  <c r="N102" i="7" s="1"/>
  <c r="P102" i="7" s="1"/>
  <c r="L27" i="12"/>
  <c r="M22" i="7" s="1"/>
  <c r="N22" i="7" s="1"/>
  <c r="P22" i="7" s="1"/>
  <c r="L226" i="12"/>
  <c r="M220" i="7" s="1"/>
  <c r="N220" i="7" s="1"/>
  <c r="P220" i="7" s="1"/>
  <c r="L138" i="12"/>
  <c r="M133" i="7" s="1"/>
  <c r="N133" i="7" s="1"/>
  <c r="P133" i="7" s="1"/>
  <c r="L233" i="12"/>
  <c r="M227" i="7" s="1"/>
  <c r="N227" i="7" s="1"/>
  <c r="P227" i="7" s="1"/>
  <c r="L225" i="12"/>
  <c r="M219" i="7" s="1"/>
  <c r="N219" i="7" s="1"/>
  <c r="P219" i="7" s="1"/>
  <c r="L169" i="12"/>
  <c r="M164" i="7" s="1"/>
  <c r="N164" i="7" s="1"/>
  <c r="P164" i="7" s="1"/>
  <c r="L161" i="12"/>
  <c r="M156" i="7" s="1"/>
  <c r="N156" i="7" s="1"/>
  <c r="P156" i="7" s="1"/>
  <c r="L145" i="12"/>
  <c r="M140" i="7" s="1"/>
  <c r="N140" i="7" s="1"/>
  <c r="P140" i="7" s="1"/>
  <c r="L130" i="12"/>
  <c r="M125" i="7" s="1"/>
  <c r="N125" i="7" s="1"/>
  <c r="P125" i="7" s="1"/>
  <c r="L18" i="12"/>
  <c r="M13" i="7" s="1"/>
  <c r="N13" i="7" s="1"/>
  <c r="P13" i="7" s="1"/>
  <c r="L113" i="12"/>
  <c r="M108" i="7" s="1"/>
  <c r="N108" i="7" s="1"/>
  <c r="P108" i="7" s="1"/>
  <c r="L122" i="12"/>
  <c r="M117" i="7" s="1"/>
  <c r="N117" i="7" s="1"/>
  <c r="P117" i="7" s="1"/>
  <c r="L281" i="12"/>
  <c r="M275" i="7" s="1"/>
  <c r="N275" i="7" s="1"/>
  <c r="P275" i="7" s="1"/>
  <c r="L41" i="12"/>
  <c r="M36" i="7" s="1"/>
  <c r="N36" i="7" s="1"/>
  <c r="P36" i="7" s="1"/>
  <c r="L25" i="12"/>
  <c r="M20" i="7" s="1"/>
  <c r="N20" i="7" s="1"/>
  <c r="P20" i="7" s="1"/>
  <c r="L17" i="12"/>
  <c r="M12" i="7" s="1"/>
  <c r="N12" i="7" s="1"/>
  <c r="P12" i="7" s="1"/>
  <c r="L247" i="12"/>
  <c r="M241" i="7" s="1"/>
  <c r="N241" i="7" s="1"/>
  <c r="R241" i="7" s="1"/>
  <c r="L183" i="12"/>
  <c r="M178" i="7" s="1"/>
  <c r="N178" i="7" s="1"/>
  <c r="R178" i="7" s="1"/>
  <c r="L151" i="12"/>
  <c r="M146" i="7" s="1"/>
  <c r="N146" i="7" s="1"/>
  <c r="R146" i="7" s="1"/>
  <c r="L119" i="12"/>
  <c r="M114" i="7" s="1"/>
  <c r="N114" i="7" s="1"/>
  <c r="R114" i="7" s="1"/>
  <c r="L49" i="12"/>
  <c r="M44" i="7" s="1"/>
  <c r="N44" i="7" s="1"/>
  <c r="P44" i="7" s="1"/>
  <c r="L71" i="12"/>
  <c r="M66" i="7" s="1"/>
  <c r="N66" i="7" s="1"/>
  <c r="R66" i="7" s="1"/>
  <c r="L55" i="12"/>
  <c r="M50" i="7" s="1"/>
  <c r="N50" i="7" s="1"/>
  <c r="R50" i="7" s="1"/>
  <c r="L246" i="12"/>
  <c r="M240" i="7" s="1"/>
  <c r="N240" i="7" s="1"/>
  <c r="R240" i="7" s="1"/>
  <c r="L238" i="12"/>
  <c r="M232" i="7" s="1"/>
  <c r="N232" i="7" s="1"/>
  <c r="R232" i="7" s="1"/>
  <c r="L215" i="12"/>
  <c r="M209" i="7" s="1"/>
  <c r="N209" i="7" s="1"/>
  <c r="R209" i="7" s="1"/>
  <c r="L158" i="12"/>
  <c r="M153" i="7" s="1"/>
  <c r="N153" i="7" s="1"/>
  <c r="P153" i="7" s="1"/>
  <c r="L66" i="12"/>
  <c r="M61" i="7" s="1"/>
  <c r="N61" i="7" s="1"/>
  <c r="P61" i="7" s="1"/>
  <c r="L241" i="12"/>
  <c r="M235" i="7" s="1"/>
  <c r="N235" i="7" s="1"/>
  <c r="P235" i="7" s="1"/>
  <c r="L153" i="12"/>
  <c r="M148" i="7" s="1"/>
  <c r="N148" i="7" s="1"/>
  <c r="P148" i="7" s="1"/>
  <c r="L33" i="12"/>
  <c r="M28" i="7" s="1"/>
  <c r="N28" i="7" s="1"/>
  <c r="P28" i="7" s="1"/>
  <c r="L207" i="12"/>
  <c r="M201" i="7" s="1"/>
  <c r="N201" i="7" s="1"/>
  <c r="R201" i="7" s="1"/>
  <c r="L63" i="12"/>
  <c r="M58" i="7" s="1"/>
  <c r="N58" i="7" s="1"/>
  <c r="R58" i="7" s="1"/>
  <c r="L230" i="12"/>
  <c r="M224" i="7" s="1"/>
  <c r="N224" i="7" s="1"/>
  <c r="R224" i="7" s="1"/>
  <c r="L23" i="12"/>
  <c r="M18" i="7" s="1"/>
  <c r="N18" i="7" s="1"/>
  <c r="R18" i="7" s="1"/>
  <c r="L118" i="12"/>
  <c r="M113" i="7" s="1"/>
  <c r="N113" i="7" s="1"/>
  <c r="P113" i="7" s="1"/>
  <c r="L217" i="12"/>
  <c r="M211" i="7" s="1"/>
  <c r="N211" i="7" s="1"/>
  <c r="P211" i="7" s="1"/>
  <c r="L105" i="12"/>
  <c r="M100" i="7" s="1"/>
  <c r="N100" i="7" s="1"/>
  <c r="P100" i="7" s="1"/>
  <c r="L271" i="12"/>
  <c r="M265" i="7" s="1"/>
  <c r="N265" i="7" s="1"/>
  <c r="R265" i="7" s="1"/>
  <c r="L143" i="12"/>
  <c r="M138" i="7" s="1"/>
  <c r="N138" i="7" s="1"/>
  <c r="R138" i="7" s="1"/>
  <c r="L15" i="12"/>
  <c r="M10" i="7" s="1"/>
  <c r="N10" i="7" s="1"/>
  <c r="R10" i="7" s="1"/>
  <c r="L110" i="12"/>
  <c r="M105" i="7" s="1"/>
  <c r="N105" i="7" s="1"/>
  <c r="R105" i="7" s="1"/>
  <c r="L297" i="12"/>
  <c r="M291" i="7" s="1"/>
  <c r="N291" i="7" s="1"/>
  <c r="P291" i="7" s="1"/>
  <c r="L209" i="12"/>
  <c r="M203" i="7" s="1"/>
  <c r="N203" i="7" s="1"/>
  <c r="P203" i="7" s="1"/>
  <c r="L89" i="12"/>
  <c r="M84" i="7" s="1"/>
  <c r="N84" i="7" s="1"/>
  <c r="P84" i="7" s="1"/>
  <c r="L263" i="12"/>
  <c r="M257" i="7" s="1"/>
  <c r="N257" i="7" s="1"/>
  <c r="R257" i="7" s="1"/>
  <c r="L135" i="12"/>
  <c r="M130" i="7" s="1"/>
  <c r="N130" i="7" s="1"/>
  <c r="R130" i="7" s="1"/>
  <c r="L302" i="12"/>
  <c r="M296" i="7" s="1"/>
  <c r="N296" i="7" s="1"/>
  <c r="R296" i="7" s="1"/>
  <c r="L94" i="12"/>
  <c r="M89" i="7" s="1"/>
  <c r="N89" i="7" s="1"/>
  <c r="R89" i="7" s="1"/>
  <c r="L289" i="12"/>
  <c r="M283" i="7" s="1"/>
  <c r="N283" i="7" s="1"/>
  <c r="P283" i="7" s="1"/>
  <c r="L177" i="12"/>
  <c r="M172" i="7" s="1"/>
  <c r="N172" i="7" s="1"/>
  <c r="P172" i="7" s="1"/>
  <c r="L81" i="12"/>
  <c r="M76" i="7" s="1"/>
  <c r="N76" i="7" s="1"/>
  <c r="R76" i="7" s="1"/>
  <c r="L255" i="12"/>
  <c r="M249" i="7" s="1"/>
  <c r="N249" i="7" s="1"/>
  <c r="R249" i="7" s="1"/>
  <c r="L127" i="12"/>
  <c r="M122" i="7" s="1"/>
  <c r="N122" i="7" s="1"/>
  <c r="R122" i="7" s="1"/>
  <c r="L254" i="12"/>
  <c r="M248" i="7" s="1"/>
  <c r="N248" i="7" s="1"/>
  <c r="R248" i="7" s="1"/>
  <c r="L54" i="12"/>
  <c r="M49" i="7" s="1"/>
  <c r="N49" i="7" s="1"/>
  <c r="R49" i="7" s="1"/>
  <c r="L46" i="12"/>
  <c r="M41" i="7" s="1"/>
  <c r="N41" i="7" s="1"/>
  <c r="R41" i="7" s="1"/>
  <c r="L222" i="12"/>
  <c r="M216" i="7" s="1"/>
  <c r="N216" i="7" s="1"/>
  <c r="R216" i="7" s="1"/>
  <c r="L277" i="12"/>
  <c r="M271" i="7" s="1"/>
  <c r="N271" i="7" s="1"/>
  <c r="R271" i="7" s="1"/>
  <c r="L182" i="12"/>
  <c r="M177" i="7" s="1"/>
  <c r="N177" i="7" s="1"/>
  <c r="R177" i="7" s="1"/>
  <c r="L253" i="12"/>
  <c r="M247" i="7" s="1"/>
  <c r="N247" i="7" s="1"/>
  <c r="R247" i="7" s="1"/>
  <c r="L213" i="12"/>
  <c r="M207" i="7" s="1"/>
  <c r="N207" i="7" s="1"/>
  <c r="R207" i="7" s="1"/>
  <c r="L205" i="12"/>
  <c r="M199" i="7" s="1"/>
  <c r="N199" i="7" s="1"/>
  <c r="P199" i="7" s="1"/>
  <c r="L181" i="12"/>
  <c r="M176" i="7" s="1"/>
  <c r="N176" i="7" s="1"/>
  <c r="R176" i="7" s="1"/>
  <c r="L141" i="12"/>
  <c r="M136" i="7" s="1"/>
  <c r="N136" i="7" s="1"/>
  <c r="R136" i="7" s="1"/>
  <c r="L199" i="12"/>
  <c r="M193" i="7" s="1"/>
  <c r="N193" i="7" s="1"/>
  <c r="R193" i="7" s="1"/>
  <c r="L87" i="12"/>
  <c r="M82" i="7" s="1"/>
  <c r="N82" i="7" s="1"/>
  <c r="R82" i="7" s="1"/>
  <c r="L294" i="12"/>
  <c r="M288" i="7" s="1"/>
  <c r="N288" i="7" s="1"/>
  <c r="R288" i="7" s="1"/>
  <c r="L174" i="12"/>
  <c r="M169" i="7" s="1"/>
  <c r="N169" i="7" s="1"/>
  <c r="P169" i="7" s="1"/>
  <c r="L30" i="12"/>
  <c r="M25" i="7" s="1"/>
  <c r="N25" i="7" s="1"/>
  <c r="R25" i="7" s="1"/>
  <c r="L125" i="12"/>
  <c r="M120" i="7" s="1"/>
  <c r="N120" i="7" s="1"/>
  <c r="R120" i="7" s="1"/>
  <c r="L97" i="12"/>
  <c r="M92" i="7" s="1"/>
  <c r="N92" i="7" s="1"/>
  <c r="P92" i="7" s="1"/>
  <c r="L279" i="12"/>
  <c r="M273" i="7" s="1"/>
  <c r="N273" i="7" s="1"/>
  <c r="R273" i="7" s="1"/>
  <c r="L191" i="12"/>
  <c r="M185" i="7" s="1"/>
  <c r="N185" i="7" s="1"/>
  <c r="R185" i="7" s="1"/>
  <c r="L79" i="12"/>
  <c r="M74" i="7" s="1"/>
  <c r="N74" i="7" s="1"/>
  <c r="P74" i="7" s="1"/>
  <c r="L286" i="12"/>
  <c r="M280" i="7" s="1"/>
  <c r="N280" i="7" s="1"/>
  <c r="R280" i="7" s="1"/>
  <c r="L166" i="12"/>
  <c r="M161" i="7" s="1"/>
  <c r="N161" i="7" s="1"/>
  <c r="R161" i="7" s="1"/>
  <c r="L285" i="12"/>
  <c r="M279" i="7" s="1"/>
  <c r="N279" i="7" s="1"/>
  <c r="R279" i="7" s="1"/>
  <c r="L109" i="12"/>
  <c r="M104" i="7" s="1"/>
  <c r="N104" i="7" s="1"/>
  <c r="R104" i="7" s="1"/>
  <c r="L102" i="12"/>
  <c r="M97" i="7" s="1"/>
  <c r="N97" i="7" s="1"/>
  <c r="R97" i="7" s="1"/>
  <c r="L38" i="12"/>
  <c r="M33" i="7" s="1"/>
  <c r="N33" i="7" s="1"/>
  <c r="R33" i="7" s="1"/>
  <c r="L269" i="12"/>
  <c r="M263" i="7" s="1"/>
  <c r="N263" i="7" s="1"/>
  <c r="R263" i="7" s="1"/>
  <c r="L189" i="12"/>
  <c r="M184" i="7" s="1"/>
  <c r="N184" i="7" s="1"/>
  <c r="P184" i="7" s="1"/>
  <c r="L117" i="12"/>
  <c r="M112" i="7" s="1"/>
  <c r="N112" i="7" s="1"/>
  <c r="L150" i="12"/>
  <c r="M145" i="7" s="1"/>
  <c r="N145" i="7" s="1"/>
  <c r="R145" i="7" s="1"/>
  <c r="L86" i="12"/>
  <c r="M81" i="7" s="1"/>
  <c r="N81" i="7" s="1"/>
  <c r="R81" i="7" s="1"/>
  <c r="L22" i="12"/>
  <c r="M17" i="7" s="1"/>
  <c r="N17" i="7" s="1"/>
  <c r="R17" i="7" s="1"/>
  <c r="L245" i="12"/>
  <c r="M239" i="7" s="1"/>
  <c r="N239" i="7" s="1"/>
  <c r="R239" i="7" s="1"/>
  <c r="L173" i="12"/>
  <c r="M168" i="7" s="1"/>
  <c r="N168" i="7" s="1"/>
  <c r="R168" i="7" s="1"/>
  <c r="L101" i="12"/>
  <c r="M96" i="7" s="1"/>
  <c r="N96" i="7" s="1"/>
  <c r="R96" i="7" s="1"/>
  <c r="L267" i="12"/>
  <c r="M261" i="7" s="1"/>
  <c r="N261" i="7" s="1"/>
  <c r="R261" i="7" s="1"/>
  <c r="L203" i="12"/>
  <c r="M197" i="7" s="1"/>
  <c r="N197" i="7" s="1"/>
  <c r="L139" i="12"/>
  <c r="M134" i="7" s="1"/>
  <c r="N134" i="7" s="1"/>
  <c r="P134" i="7" s="1"/>
  <c r="L75" i="12"/>
  <c r="M70" i="7" s="1"/>
  <c r="N70" i="7" s="1"/>
  <c r="P70" i="7" s="1"/>
  <c r="L298" i="12"/>
  <c r="M292" i="7" s="1"/>
  <c r="N292" i="7" s="1"/>
  <c r="P292" i="7" s="1"/>
  <c r="L234" i="12"/>
  <c r="M228" i="7" s="1"/>
  <c r="N228" i="7" s="1"/>
  <c r="P228" i="7" s="1"/>
  <c r="L170" i="12"/>
  <c r="M165" i="7" s="1"/>
  <c r="N165" i="7" s="1"/>
  <c r="P165" i="7" s="1"/>
  <c r="L106" i="12"/>
  <c r="M101" i="7" s="1"/>
  <c r="N101" i="7" s="1"/>
  <c r="P101" i="7" s="1"/>
  <c r="L42" i="12"/>
  <c r="M37" i="7" s="1"/>
  <c r="N37" i="7" s="1"/>
  <c r="P37" i="7" s="1"/>
  <c r="L265" i="12"/>
  <c r="M259" i="7" s="1"/>
  <c r="N259" i="7" s="1"/>
  <c r="L201" i="12"/>
  <c r="M195" i="7" s="1"/>
  <c r="N195" i="7" s="1"/>
  <c r="R195" i="7" s="1"/>
  <c r="L137" i="12"/>
  <c r="M132" i="7" s="1"/>
  <c r="N132" i="7" s="1"/>
  <c r="R132" i="7" s="1"/>
  <c r="L73" i="12"/>
  <c r="M68" i="7" s="1"/>
  <c r="N68" i="7" s="1"/>
  <c r="P68" i="7" s="1"/>
  <c r="L303" i="12"/>
  <c r="M297" i="7" s="1"/>
  <c r="N297" i="7" s="1"/>
  <c r="R297" i="7" s="1"/>
  <c r="L239" i="12"/>
  <c r="M233" i="7" s="1"/>
  <c r="N233" i="7" s="1"/>
  <c r="R233" i="7" s="1"/>
  <c r="L175" i="12"/>
  <c r="M170" i="7" s="1"/>
  <c r="N170" i="7" s="1"/>
  <c r="R170" i="7" s="1"/>
  <c r="L111" i="12"/>
  <c r="M106" i="7" s="1"/>
  <c r="N106" i="7" s="1"/>
  <c r="R106" i="7" s="1"/>
  <c r="L47" i="12"/>
  <c r="M42" i="7" s="1"/>
  <c r="N42" i="7" s="1"/>
  <c r="R42" i="7" s="1"/>
  <c r="L278" i="12"/>
  <c r="M272" i="7" s="1"/>
  <c r="N272" i="7" s="1"/>
  <c r="R272" i="7" s="1"/>
  <c r="L214" i="12"/>
  <c r="M208" i="7" s="1"/>
  <c r="N208" i="7" s="1"/>
  <c r="P208" i="7" s="1"/>
  <c r="L142" i="12"/>
  <c r="M137" i="7" s="1"/>
  <c r="N137" i="7" s="1"/>
  <c r="R137" i="7" s="1"/>
  <c r="L78" i="12"/>
  <c r="M73" i="7" s="1"/>
  <c r="N73" i="7" s="1"/>
  <c r="R73" i="7" s="1"/>
  <c r="L14" i="12"/>
  <c r="M9" i="7" s="1"/>
  <c r="N9" i="7" s="1"/>
  <c r="R9" i="7" s="1"/>
  <c r="L237" i="12"/>
  <c r="M231" i="7" s="1"/>
  <c r="N231" i="7" s="1"/>
  <c r="R231" i="7" s="1"/>
  <c r="L165" i="12"/>
  <c r="M160" i="7" s="1"/>
  <c r="N160" i="7" s="1"/>
  <c r="R160" i="7" s="1"/>
  <c r="L93" i="12"/>
  <c r="M88" i="7" s="1"/>
  <c r="N88" i="7" s="1"/>
  <c r="R88" i="7" s="1"/>
  <c r="L34" i="12"/>
  <c r="M29" i="7" s="1"/>
  <c r="N29" i="7" s="1"/>
  <c r="R29" i="7" s="1"/>
  <c r="L257" i="12"/>
  <c r="M251" i="7" s="1"/>
  <c r="N251" i="7" s="1"/>
  <c r="P251" i="7" s="1"/>
  <c r="L193" i="12"/>
  <c r="M187" i="7" s="1"/>
  <c r="N187" i="7" s="1"/>
  <c r="P187" i="7" s="1"/>
  <c r="L129" i="12"/>
  <c r="M124" i="7" s="1"/>
  <c r="N124" i="7" s="1"/>
  <c r="R124" i="7" s="1"/>
  <c r="L65" i="12"/>
  <c r="M60" i="7" s="1"/>
  <c r="N60" i="7" s="1"/>
  <c r="L295" i="12"/>
  <c r="M289" i="7" s="1"/>
  <c r="N289" i="7" s="1"/>
  <c r="R289" i="7" s="1"/>
  <c r="L231" i="12"/>
  <c r="M225" i="7" s="1"/>
  <c r="N225" i="7" s="1"/>
  <c r="R225" i="7" s="1"/>
  <c r="L167" i="12"/>
  <c r="M162" i="7" s="1"/>
  <c r="N162" i="7" s="1"/>
  <c r="L103" i="12"/>
  <c r="M98" i="7" s="1"/>
  <c r="N98" i="7" s="1"/>
  <c r="P98" i="7" s="1"/>
  <c r="L39" i="12"/>
  <c r="M34" i="7" s="1"/>
  <c r="N34" i="7" s="1"/>
  <c r="R34" i="7" s="1"/>
  <c r="L270" i="12"/>
  <c r="M264" i="7" s="1"/>
  <c r="N264" i="7" s="1"/>
  <c r="P264" i="7" s="1"/>
  <c r="L206" i="12"/>
  <c r="M200" i="7" s="1"/>
  <c r="N200" i="7" s="1"/>
  <c r="P200" i="7" s="1"/>
  <c r="L134" i="12"/>
  <c r="M129" i="7" s="1"/>
  <c r="N129" i="7" s="1"/>
  <c r="R129" i="7" s="1"/>
  <c r="L70" i="12"/>
  <c r="M65" i="7" s="1"/>
  <c r="N65" i="7" s="1"/>
  <c r="R65" i="7" s="1"/>
  <c r="L301" i="12"/>
  <c r="M295" i="7" s="1"/>
  <c r="N295" i="7" s="1"/>
  <c r="R295" i="7" s="1"/>
  <c r="L229" i="12"/>
  <c r="M223" i="7" s="1"/>
  <c r="N223" i="7" s="1"/>
  <c r="R223" i="7" s="1"/>
  <c r="L157" i="12"/>
  <c r="M152" i="7" s="1"/>
  <c r="N152" i="7" s="1"/>
  <c r="R152" i="7" s="1"/>
  <c r="L85" i="12"/>
  <c r="M80" i="7" s="1"/>
  <c r="N80" i="7" s="1"/>
  <c r="R80" i="7" s="1"/>
  <c r="L251" i="12"/>
  <c r="M245" i="7" s="1"/>
  <c r="N245" i="7" s="1"/>
  <c r="P245" i="7" s="1"/>
  <c r="L187" i="12"/>
  <c r="M182" i="7" s="1"/>
  <c r="N182" i="7" s="1"/>
  <c r="P182" i="7" s="1"/>
  <c r="L123" i="12"/>
  <c r="M118" i="7" s="1"/>
  <c r="N118" i="7" s="1"/>
  <c r="P118" i="7" s="1"/>
  <c r="L59" i="12"/>
  <c r="M54" i="7" s="1"/>
  <c r="N54" i="7" s="1"/>
  <c r="P54" i="7" s="1"/>
  <c r="L282" i="12"/>
  <c r="M276" i="7" s="1"/>
  <c r="N276" i="7" s="1"/>
  <c r="P276" i="7" s="1"/>
  <c r="L218" i="12"/>
  <c r="M212" i="7" s="1"/>
  <c r="N212" i="7" s="1"/>
  <c r="P212" i="7" s="1"/>
  <c r="L154" i="12"/>
  <c r="M149" i="7" s="1"/>
  <c r="N149" i="7" s="1"/>
  <c r="P149" i="7" s="1"/>
  <c r="L90" i="12"/>
  <c r="M85" i="7" s="1"/>
  <c r="N85" i="7" s="1"/>
  <c r="P85" i="7" s="1"/>
  <c r="L26" i="12"/>
  <c r="M21" i="7" s="1"/>
  <c r="N21" i="7" s="1"/>
  <c r="P21" i="7" s="1"/>
  <c r="L249" i="12"/>
  <c r="M243" i="7" s="1"/>
  <c r="N243" i="7" s="1"/>
  <c r="P243" i="7" s="1"/>
  <c r="L185" i="12"/>
  <c r="M180" i="7" s="1"/>
  <c r="N180" i="7" s="1"/>
  <c r="P180" i="7" s="1"/>
  <c r="L121" i="12"/>
  <c r="M116" i="7" s="1"/>
  <c r="N116" i="7" s="1"/>
  <c r="P116" i="7" s="1"/>
  <c r="L57" i="12"/>
  <c r="M52" i="7" s="1"/>
  <c r="N52" i="7" s="1"/>
  <c r="P52" i="7" s="1"/>
  <c r="L287" i="12"/>
  <c r="M281" i="7" s="1"/>
  <c r="N281" i="7" s="1"/>
  <c r="R281" i="7" s="1"/>
  <c r="L223" i="12"/>
  <c r="M217" i="7" s="1"/>
  <c r="N217" i="7" s="1"/>
  <c r="R217" i="7" s="1"/>
  <c r="L159" i="12"/>
  <c r="M154" i="7" s="1"/>
  <c r="N154" i="7" s="1"/>
  <c r="R154" i="7" s="1"/>
  <c r="L95" i="12"/>
  <c r="M90" i="7" s="1"/>
  <c r="N90" i="7" s="1"/>
  <c r="R90" i="7" s="1"/>
  <c r="L31" i="12"/>
  <c r="M26" i="7" s="1"/>
  <c r="N26" i="7" s="1"/>
  <c r="R26" i="7" s="1"/>
  <c r="L262" i="12"/>
  <c r="M256" i="7" s="1"/>
  <c r="N256" i="7" s="1"/>
  <c r="R256" i="7" s="1"/>
  <c r="L198" i="12"/>
  <c r="M192" i="7" s="1"/>
  <c r="N192" i="7" s="1"/>
  <c r="R192" i="7" s="1"/>
  <c r="L126" i="12"/>
  <c r="M121" i="7" s="1"/>
  <c r="N121" i="7" s="1"/>
  <c r="R121" i="7" s="1"/>
  <c r="L62" i="12"/>
  <c r="M57" i="7" s="1"/>
  <c r="N57" i="7" s="1"/>
  <c r="P57" i="7" s="1"/>
  <c r="L293" i="12"/>
  <c r="M287" i="7" s="1"/>
  <c r="N287" i="7" s="1"/>
  <c r="R287" i="7" s="1"/>
  <c r="L221" i="12"/>
  <c r="M215" i="7" s="1"/>
  <c r="N215" i="7" s="1"/>
  <c r="R215" i="7" s="1"/>
  <c r="L149" i="12"/>
  <c r="M144" i="7" s="1"/>
  <c r="N144" i="7" s="1"/>
  <c r="R144" i="7" s="1"/>
  <c r="L61" i="12"/>
  <c r="M56" i="7" s="1"/>
  <c r="N56" i="7" s="1"/>
  <c r="P56" i="7" s="1"/>
  <c r="L53" i="12"/>
  <c r="M48" i="7" s="1"/>
  <c r="N48" i="7" s="1"/>
  <c r="R48" i="7" s="1"/>
  <c r="L45" i="12"/>
  <c r="M40" i="7" s="1"/>
  <c r="N40" i="7" s="1"/>
  <c r="R40" i="7" s="1"/>
  <c r="L37" i="12"/>
  <c r="M32" i="7" s="1"/>
  <c r="N32" i="7" s="1"/>
  <c r="P32" i="7" s="1"/>
  <c r="L29" i="12"/>
  <c r="M24" i="7" s="1"/>
  <c r="N24" i="7" s="1"/>
  <c r="R24" i="7" s="1"/>
  <c r="L21" i="12"/>
  <c r="M16" i="7" s="1"/>
  <c r="N16" i="7" s="1"/>
  <c r="R16" i="7" s="1"/>
  <c r="L77" i="12"/>
  <c r="M72" i="7" s="1"/>
  <c r="N72" i="7" s="1"/>
  <c r="P72" i="7" s="1"/>
  <c r="L13" i="12"/>
  <c r="M8" i="7" s="1"/>
  <c r="N8" i="7" s="1"/>
  <c r="R8" i="7" s="1"/>
  <c r="L261" i="12"/>
  <c r="M255" i="7" s="1"/>
  <c r="N255" i="7" s="1"/>
  <c r="R255" i="7" s="1"/>
  <c r="L197" i="12"/>
  <c r="M191" i="7" s="1"/>
  <c r="N191" i="7" s="1"/>
  <c r="R191" i="7" s="1"/>
  <c r="L133" i="12"/>
  <c r="M128" i="7" s="1"/>
  <c r="N128" i="7" s="1"/>
  <c r="R128" i="7" s="1"/>
  <c r="L69" i="12"/>
  <c r="M64" i="7" s="1"/>
  <c r="N64" i="7" s="1"/>
  <c r="R64" i="7" s="1"/>
  <c r="P76" i="7"/>
  <c r="R59" i="7"/>
  <c r="R270" i="7"/>
  <c r="R141" i="7"/>
  <c r="R53" i="7"/>
  <c r="R203" i="7"/>
  <c r="P91" i="7"/>
  <c r="R111" i="7"/>
  <c r="P177" i="7"/>
  <c r="R84" i="7"/>
  <c r="R86" i="7"/>
  <c r="R213" i="7"/>
  <c r="R172" i="7"/>
  <c r="P123" i="7"/>
  <c r="R206" i="7"/>
  <c r="P155" i="7"/>
  <c r="R188" i="7"/>
  <c r="R117" i="7"/>
  <c r="R118" i="7"/>
  <c r="P168" i="7"/>
  <c r="P9" i="7"/>
  <c r="P27" i="7"/>
  <c r="R47" i="7"/>
  <c r="R238" i="7"/>
  <c r="R156" i="7"/>
  <c r="P41" i="7"/>
  <c r="P282" i="7"/>
  <c r="R22" i="7"/>
  <c r="R150" i="7"/>
  <c r="R277" i="7"/>
  <c r="R290" i="7"/>
  <c r="P290" i="7"/>
  <c r="R83" i="7"/>
  <c r="P83" i="7"/>
  <c r="R184" i="7"/>
  <c r="R143" i="7"/>
  <c r="P63" i="7"/>
  <c r="R63" i="7"/>
  <c r="P183" i="7"/>
  <c r="R183" i="7"/>
  <c r="R107" i="7"/>
  <c r="P107" i="7"/>
  <c r="P62" i="7"/>
  <c r="R62" i="7"/>
  <c r="R112" i="7"/>
  <c r="P112" i="7"/>
  <c r="P186" i="7"/>
  <c r="P39" i="7"/>
  <c r="R39" i="7"/>
  <c r="P151" i="7"/>
  <c r="R151" i="7"/>
  <c r="P293" i="7"/>
  <c r="R293" i="7"/>
  <c r="P119" i="7"/>
  <c r="R119" i="7"/>
  <c r="R175" i="7"/>
  <c r="R165" i="7"/>
  <c r="P218" i="7"/>
  <c r="P246" i="7"/>
  <c r="R246" i="7"/>
  <c r="P286" i="7"/>
  <c r="R286" i="7"/>
  <c r="R139" i="7"/>
  <c r="P139" i="7"/>
  <c r="R51" i="7"/>
  <c r="P51" i="7"/>
  <c r="P253" i="7"/>
  <c r="R253" i="7"/>
  <c r="R284" i="7"/>
  <c r="P284" i="7"/>
  <c r="P93" i="7"/>
  <c r="R93" i="7"/>
  <c r="R162" i="7"/>
  <c r="P162" i="7"/>
  <c r="R194" i="7"/>
  <c r="P194" i="7"/>
  <c r="P250" i="7"/>
  <c r="R258" i="7"/>
  <c r="P258" i="7"/>
  <c r="P23" i="7"/>
  <c r="R23" i="7"/>
  <c r="P126" i="7"/>
  <c r="R126" i="7"/>
  <c r="P60" i="7"/>
  <c r="R60" i="7"/>
  <c r="R115" i="7"/>
  <c r="P115" i="7"/>
  <c r="P31" i="7"/>
  <c r="R31" i="7"/>
  <c r="P259" i="7"/>
  <c r="R259" i="7"/>
  <c r="P157" i="7"/>
  <c r="R35" i="7"/>
  <c r="P35" i="7"/>
  <c r="P197" i="7"/>
  <c r="R197" i="7"/>
  <c r="P254" i="7"/>
  <c r="R254" i="7"/>
  <c r="P189" i="7"/>
  <c r="R189" i="7"/>
  <c r="P262" i="7"/>
  <c r="R262" i="7"/>
  <c r="P233" i="7"/>
  <c r="R55" i="7"/>
  <c r="R87" i="7"/>
  <c r="R214" i="7"/>
  <c r="R278" i="7"/>
  <c r="P271" i="7"/>
  <c r="R180" i="7"/>
  <c r="R113" i="7"/>
  <c r="R204" i="7"/>
  <c r="P18" i="7"/>
  <c r="P82" i="7"/>
  <c r="P114" i="7"/>
  <c r="P146" i="7"/>
  <c r="P241" i="7"/>
  <c r="R20" i="7"/>
  <c r="R108" i="7"/>
  <c r="R260" i="7"/>
  <c r="P67" i="7"/>
  <c r="P99" i="7"/>
  <c r="P131" i="7"/>
  <c r="P163" i="7"/>
  <c r="P226" i="7"/>
  <c r="R36" i="7"/>
  <c r="R227" i="7"/>
  <c r="R61" i="7"/>
  <c r="R125" i="7"/>
  <c r="R30" i="7"/>
  <c r="R94" i="7"/>
  <c r="R158" i="7"/>
  <c r="R221" i="7"/>
  <c r="R285" i="7"/>
  <c r="R95" i="7"/>
  <c r="R127" i="7"/>
  <c r="R159" i="7"/>
  <c r="R222" i="7"/>
  <c r="R236" i="7"/>
  <c r="R153" i="7"/>
  <c r="R219" i="7"/>
  <c r="R57" i="7"/>
  <c r="P280" i="7"/>
  <c r="R244" i="7"/>
  <c r="P249" i="7"/>
  <c r="R140" i="7"/>
  <c r="R291" i="7"/>
  <c r="P11" i="7"/>
  <c r="P43" i="7"/>
  <c r="P171" i="7"/>
  <c r="P202" i="7"/>
  <c r="P234" i="7"/>
  <c r="P298" i="7"/>
  <c r="R268" i="7"/>
  <c r="R69" i="7"/>
  <c r="R133" i="7"/>
  <c r="R38" i="7"/>
  <c r="R102" i="7"/>
  <c r="R166" i="7"/>
  <c r="R229" i="7"/>
  <c r="R71" i="7"/>
  <c r="R103" i="7"/>
  <c r="R135" i="7"/>
  <c r="R167" i="7"/>
  <c r="R198" i="7"/>
  <c r="R294" i="7"/>
  <c r="P232" i="7"/>
  <c r="R275" i="7"/>
  <c r="P191" i="7"/>
  <c r="P288" i="7"/>
  <c r="P129" i="7"/>
  <c r="P130" i="7"/>
  <c r="R164" i="7"/>
  <c r="R173" i="7"/>
  <c r="P19" i="7"/>
  <c r="P147" i="7"/>
  <c r="P179" i="7"/>
  <c r="P210" i="7"/>
  <c r="P242" i="7"/>
  <c r="P274" i="7"/>
  <c r="P45" i="7"/>
  <c r="R77" i="7"/>
  <c r="R109" i="7"/>
  <c r="R14" i="7"/>
  <c r="R46" i="7"/>
  <c r="R78" i="7"/>
  <c r="R110" i="7"/>
  <c r="R142" i="7"/>
  <c r="R174" i="7"/>
  <c r="R205" i="7"/>
  <c r="R269" i="7"/>
  <c r="R252" i="7"/>
  <c r="N7" i="7"/>
  <c r="P75" i="7" l="1"/>
  <c r="R181" i="7"/>
  <c r="R267" i="7"/>
  <c r="P178" i="7"/>
  <c r="R237" i="7"/>
  <c r="R190" i="7"/>
  <c r="R220" i="7"/>
  <c r="P266" i="7"/>
  <c r="R196" i="7"/>
  <c r="R79" i="7"/>
  <c r="R13" i="7"/>
  <c r="R230" i="7"/>
  <c r="R15" i="7"/>
  <c r="P248" i="7"/>
  <c r="P265" i="7"/>
  <c r="P50" i="7"/>
  <c r="R264" i="7"/>
  <c r="P247" i="7"/>
  <c r="R211" i="7"/>
  <c r="R28" i="7"/>
  <c r="R44" i="7"/>
  <c r="R235" i="7"/>
  <c r="R12" i="7"/>
  <c r="P66" i="7"/>
  <c r="P88" i="7"/>
  <c r="R100" i="7"/>
  <c r="P42" i="7"/>
  <c r="P24" i="7"/>
  <c r="P281" i="7"/>
  <c r="P223" i="7"/>
  <c r="P49" i="7"/>
  <c r="R200" i="7"/>
  <c r="R228" i="7"/>
  <c r="R74" i="7"/>
  <c r="P201" i="7"/>
  <c r="P124" i="7"/>
  <c r="P240" i="7"/>
  <c r="P176" i="7"/>
  <c r="P65" i="7"/>
  <c r="P289" i="7"/>
  <c r="P193" i="7"/>
  <c r="R243" i="7"/>
  <c r="P239" i="7"/>
  <c r="P263" i="7"/>
  <c r="R101" i="7"/>
  <c r="P138" i="7"/>
  <c r="P170" i="7"/>
  <c r="R283" i="7"/>
  <c r="P216" i="7"/>
  <c r="P48" i="7"/>
  <c r="P256" i="7"/>
  <c r="P224" i="7"/>
  <c r="P105" i="7"/>
  <c r="P96" i="7"/>
  <c r="P296" i="7"/>
  <c r="R92" i="7"/>
  <c r="P209" i="7"/>
  <c r="R212" i="7"/>
  <c r="R56" i="7"/>
  <c r="P192" i="7"/>
  <c r="R116" i="7"/>
  <c r="R148" i="7"/>
  <c r="P25" i="7"/>
  <c r="P81" i="7"/>
  <c r="P231" i="7"/>
  <c r="P257" i="7"/>
  <c r="P132" i="7"/>
  <c r="P207" i="7"/>
  <c r="P122" i="7"/>
  <c r="P279" i="7"/>
  <c r="P89" i="7"/>
  <c r="P80" i="7"/>
  <c r="P73" i="7"/>
  <c r="P297" i="7"/>
  <c r="R21" i="7"/>
  <c r="P10" i="7"/>
  <c r="P136" i="7"/>
  <c r="P90" i="7"/>
  <c r="P58" i="7"/>
  <c r="P273" i="7"/>
  <c r="R68" i="7"/>
  <c r="P26" i="7"/>
  <c r="R292" i="7"/>
  <c r="R187" i="7"/>
  <c r="P137" i="7"/>
  <c r="P185" i="7"/>
  <c r="R245" i="7"/>
  <c r="P17" i="7"/>
  <c r="P33" i="7"/>
  <c r="P144" i="7"/>
  <c r="R70" i="7"/>
  <c r="R208" i="7"/>
  <c r="R199" i="7"/>
  <c r="P34" i="7"/>
  <c r="P97" i="7"/>
  <c r="P215" i="7"/>
  <c r="R251" i="7"/>
  <c r="P152" i="7"/>
  <c r="P154" i="7"/>
  <c r="R85" i="7"/>
  <c r="P217" i="7"/>
  <c r="R54" i="7"/>
  <c r="P261" i="7"/>
  <c r="R52" i="7"/>
  <c r="R169" i="7"/>
  <c r="P161" i="7"/>
  <c r="P272" i="7"/>
  <c r="P287" i="7"/>
  <c r="R98" i="7"/>
  <c r="P195" i="7"/>
  <c r="P120" i="7"/>
  <c r="R134" i="7"/>
  <c r="P40" i="7"/>
  <c r="R149" i="7"/>
  <c r="P104" i="7"/>
  <c r="P29" i="7"/>
  <c r="P145" i="7"/>
  <c r="R182" i="7"/>
  <c r="P128" i="7"/>
  <c r="R276" i="7"/>
  <c r="R37" i="7"/>
  <c r="P225" i="7"/>
  <c r="P106" i="7"/>
  <c r="P295" i="7"/>
  <c r="R32" i="7"/>
  <c r="P160" i="7"/>
  <c r="P121" i="7"/>
  <c r="P16" i="7"/>
  <c r="P8" i="7"/>
  <c r="P255" i="7"/>
  <c r="N11" i="12"/>
  <c r="M11" i="12" s="1"/>
  <c r="P64" i="7"/>
  <c r="M6" i="7"/>
  <c r="R72" i="7"/>
  <c r="R7" i="7"/>
  <c r="P7" i="7"/>
  <c r="C4" i="11"/>
  <c r="F7" i="10"/>
  <c r="C7" i="10"/>
  <c r="R6" i="7" l="1"/>
  <c r="P6" i="7"/>
  <c r="N7" i="10"/>
  <c r="N8" i="10" s="1"/>
  <c r="N70" i="10"/>
  <c r="N134" i="10"/>
  <c r="N197" i="10"/>
  <c r="N261" i="10"/>
  <c r="N256" i="10"/>
  <c r="N186" i="10"/>
  <c r="N187" i="10"/>
  <c r="N55" i="10"/>
  <c r="N119" i="10"/>
  <c r="N183" i="10"/>
  <c r="N246" i="10"/>
  <c r="N224" i="10"/>
  <c r="N44" i="10"/>
  <c r="N188" i="10"/>
  <c r="N56" i="10"/>
  <c r="N120" i="10"/>
  <c r="N184" i="10"/>
  <c r="N247" i="10"/>
  <c r="N232" i="10"/>
  <c r="N139" i="10"/>
  <c r="N116" i="10"/>
  <c r="N133" i="10"/>
  <c r="N41" i="10"/>
  <c r="N105" i="10"/>
  <c r="N169" i="10"/>
  <c r="N147" i="10"/>
  <c r="N180" i="10"/>
  <c r="N181" i="10"/>
  <c r="N42" i="10"/>
  <c r="N106" i="10"/>
  <c r="N170" i="10"/>
  <c r="N233" i="10"/>
  <c r="N163" i="10"/>
  <c r="N156" i="10"/>
  <c r="N165" i="10"/>
  <c r="N272" i="10"/>
  <c r="N172" i="10"/>
  <c r="N49" i="10"/>
  <c r="N200" i="10"/>
  <c r="N179" i="10"/>
  <c r="N204" i="10"/>
  <c r="N50" i="10"/>
  <c r="N178" i="10"/>
  <c r="N241" i="10"/>
  <c r="N202" i="10"/>
  <c r="N212" i="10"/>
  <c r="N249" i="10"/>
  <c r="N235" i="10"/>
  <c r="N271" i="10"/>
  <c r="N284" i="10"/>
  <c r="N250" i="10"/>
  <c r="N130" i="10"/>
  <c r="N274" i="10"/>
  <c r="N87" i="10"/>
  <c r="N24" i="10"/>
  <c r="N282" i="10"/>
  <c r="N137" i="10"/>
  <c r="N10" i="10"/>
  <c r="N37" i="10"/>
  <c r="N68" i="10"/>
  <c r="N159" i="10"/>
  <c r="N13" i="10"/>
  <c r="N287" i="10"/>
  <c r="N81" i="10"/>
  <c r="N69" i="10"/>
  <c r="N52" i="10"/>
  <c r="N91" i="10"/>
  <c r="N126" i="10"/>
  <c r="N148" i="10"/>
  <c r="N48" i="10"/>
  <c r="N92" i="10"/>
  <c r="N157" i="10"/>
  <c r="N124" i="10"/>
  <c r="N14" i="10"/>
  <c r="N78" i="10"/>
  <c r="N142" i="10"/>
  <c r="N205" i="10"/>
  <c r="N269" i="10"/>
  <c r="N280" i="10"/>
  <c r="N226" i="10"/>
  <c r="N227" i="10"/>
  <c r="N220" i="10"/>
  <c r="N63" i="10"/>
  <c r="N127" i="10"/>
  <c r="N190" i="10"/>
  <c r="N254" i="10"/>
  <c r="N264" i="10"/>
  <c r="N100" i="10"/>
  <c r="N228" i="10"/>
  <c r="N64" i="10"/>
  <c r="N128" i="10"/>
  <c r="N191" i="10"/>
  <c r="N255" i="10"/>
  <c r="N171" i="10"/>
  <c r="N196" i="10"/>
  <c r="N113" i="10"/>
  <c r="N211" i="10"/>
  <c r="N114" i="10"/>
  <c r="N195" i="10"/>
  <c r="N252" i="10"/>
  <c r="N281" i="10"/>
  <c r="N129" i="10"/>
  <c r="N283" i="10"/>
  <c r="N193" i="10"/>
  <c r="N276" i="10"/>
  <c r="N214" i="10"/>
  <c r="N267" i="10"/>
  <c r="N215" i="10"/>
  <c r="N9" i="10"/>
  <c r="N290" i="10"/>
  <c r="N138" i="10"/>
  <c r="N132" i="10"/>
  <c r="N83" i="10"/>
  <c r="N31" i="10"/>
  <c r="N286" i="10"/>
  <c r="N160" i="10"/>
  <c r="N17" i="10"/>
  <c r="N36" i="10"/>
  <c r="N59" i="10"/>
  <c r="N117" i="10"/>
  <c r="N93" i="10"/>
  <c r="N240" i="10"/>
  <c r="N175" i="10"/>
  <c r="N176" i="10"/>
  <c r="N33" i="10"/>
  <c r="N162" i="10"/>
  <c r="N22" i="10"/>
  <c r="N86" i="10"/>
  <c r="N150" i="10"/>
  <c r="N213" i="10"/>
  <c r="N277" i="10"/>
  <c r="N257" i="10"/>
  <c r="N258" i="10"/>
  <c r="N259" i="10"/>
  <c r="N260" i="10"/>
  <c r="N71" i="10"/>
  <c r="N135" i="10"/>
  <c r="N198" i="10"/>
  <c r="N262" i="10"/>
  <c r="N296" i="10"/>
  <c r="N164" i="10"/>
  <c r="N268" i="10"/>
  <c r="N72" i="10"/>
  <c r="N136" i="10"/>
  <c r="N199" i="10"/>
  <c r="N263" i="10"/>
  <c r="N265" i="10"/>
  <c r="N194" i="10"/>
  <c r="N203" i="10"/>
  <c r="N244" i="10"/>
  <c r="N57" i="10"/>
  <c r="N121" i="10"/>
  <c r="N216" i="10"/>
  <c r="N218" i="10"/>
  <c r="N251" i="10"/>
  <c r="N236" i="10"/>
  <c r="N58" i="10"/>
  <c r="N122" i="10"/>
  <c r="N234" i="10"/>
  <c r="N207" i="10"/>
  <c r="N65" i="10"/>
  <c r="N292" i="10"/>
  <c r="N273" i="10"/>
  <c r="N23" i="10"/>
  <c r="N88" i="10"/>
  <c r="N291" i="10"/>
  <c r="N288" i="10"/>
  <c r="N74" i="10"/>
  <c r="N12" i="10"/>
  <c r="N177" i="10"/>
  <c r="N95" i="10"/>
  <c r="N131" i="10"/>
  <c r="N223" i="10"/>
  <c r="N21" i="10"/>
  <c r="N11" i="10"/>
  <c r="N146" i="10"/>
  <c r="N26" i="10"/>
  <c r="N76" i="10"/>
  <c r="N155" i="10"/>
  <c r="N47" i="10"/>
  <c r="N266" i="10"/>
  <c r="N239" i="10"/>
  <c r="N97" i="10"/>
  <c r="N34" i="10"/>
  <c r="N125" i="10"/>
  <c r="N30" i="10"/>
  <c r="N94" i="10"/>
  <c r="N158" i="10"/>
  <c r="N221" i="10"/>
  <c r="N285" i="10"/>
  <c r="N297" i="10"/>
  <c r="N298" i="10"/>
  <c r="N299" i="10"/>
  <c r="N15" i="10"/>
  <c r="N79" i="10"/>
  <c r="N143" i="10"/>
  <c r="N206" i="10"/>
  <c r="N270" i="10"/>
  <c r="N289" i="10"/>
  <c r="N219" i="10"/>
  <c r="N16" i="10"/>
  <c r="N80" i="10"/>
  <c r="N144" i="10"/>
  <c r="N242" i="10"/>
  <c r="N243" i="10"/>
  <c r="N248" i="10"/>
  <c r="N66" i="10"/>
  <c r="N275" i="10"/>
  <c r="N278" i="10"/>
  <c r="N152" i="10"/>
  <c r="N19" i="10"/>
  <c r="N73" i="10"/>
  <c r="N29" i="10"/>
  <c r="N27" i="10"/>
  <c r="N237" i="10"/>
  <c r="N222" i="10"/>
  <c r="N96" i="10"/>
  <c r="N20" i="10"/>
  <c r="N145" i="10"/>
  <c r="N82" i="10"/>
  <c r="N53" i="10"/>
  <c r="N217" i="10"/>
  <c r="N189" i="10"/>
  <c r="N149" i="10"/>
  <c r="N141" i="10"/>
  <c r="N107" i="10"/>
  <c r="N140" i="10"/>
  <c r="N123" i="10"/>
  <c r="N38" i="10"/>
  <c r="N102" i="10"/>
  <c r="N166" i="10"/>
  <c r="N229" i="10"/>
  <c r="N293" i="10"/>
  <c r="N43" i="10"/>
  <c r="N28" i="10"/>
  <c r="N45" i="10"/>
  <c r="N151" i="10"/>
  <c r="N35" i="10"/>
  <c r="N279" i="10"/>
  <c r="N201" i="10"/>
  <c r="N51" i="10"/>
  <c r="N18" i="10"/>
  <c r="N90" i="10"/>
  <c r="N62" i="10"/>
  <c r="N238" i="10"/>
  <c r="N192" i="10"/>
  <c r="N99" i="10"/>
  <c r="N225" i="10"/>
  <c r="N46" i="10"/>
  <c r="N110" i="10"/>
  <c r="N174" i="10"/>
  <c r="N77" i="10"/>
  <c r="N32" i="10"/>
  <c r="N209" i="10"/>
  <c r="N185" i="10"/>
  <c r="N161" i="10"/>
  <c r="N54" i="10"/>
  <c r="N118" i="10"/>
  <c r="N182" i="10"/>
  <c r="N245" i="10"/>
  <c r="N208" i="10"/>
  <c r="N115" i="10"/>
  <c r="N108" i="10"/>
  <c r="N109" i="10"/>
  <c r="N39" i="10"/>
  <c r="N103" i="10"/>
  <c r="N167" i="10"/>
  <c r="N230" i="10"/>
  <c r="N294" i="10"/>
  <c r="N210" i="10"/>
  <c r="N85" i="10"/>
  <c r="N40" i="10"/>
  <c r="N104" i="10"/>
  <c r="N168" i="10"/>
  <c r="N231" i="10"/>
  <c r="N295" i="10"/>
  <c r="N75" i="10"/>
  <c r="N60" i="10"/>
  <c r="N61" i="10"/>
  <c r="N25" i="10"/>
  <c r="N89" i="10"/>
  <c r="N153" i="10"/>
  <c r="N67" i="10"/>
  <c r="N84" i="10"/>
  <c r="N154" i="10"/>
  <c r="N253" i="10"/>
  <c r="N111" i="10"/>
  <c r="N112" i="10"/>
  <c r="N101" i="10"/>
  <c r="N98" i="10"/>
  <c r="AD12" i="9"/>
  <c r="N173" i="10" l="1"/>
  <c r="O12" i="9"/>
  <c r="P6" i="8"/>
  <c r="I4" i="11" l="1"/>
  <c r="J4" i="11"/>
  <c r="H4" i="11"/>
  <c r="G4" i="11"/>
  <c r="F4" i="11"/>
  <c r="E4" i="11"/>
  <c r="D4" i="11"/>
  <c r="R7" i="10" l="1"/>
  <c r="Q7" i="10"/>
  <c r="P7" i="10"/>
  <c r="U12" i="9"/>
  <c r="P12" i="9" l="1"/>
  <c r="J6" i="8" l="1"/>
  <c r="C6" i="8"/>
  <c r="H6" i="8"/>
  <c r="G6" i="8"/>
  <c r="F6" i="8"/>
  <c r="E6" i="8"/>
  <c r="D6" i="8"/>
  <c r="N6" i="7"/>
  <c r="K6" i="7"/>
  <c r="I6" i="7"/>
  <c r="H6" i="7"/>
  <c r="E6" i="7"/>
  <c r="D6" i="7"/>
  <c r="C6" i="7"/>
  <c r="K12" i="9" l="1"/>
  <c r="L12" i="9" s="1"/>
  <c r="M12" i="9" s="1"/>
  <c r="J12" i="9"/>
  <c r="I12" i="9"/>
  <c r="E12" i="9"/>
  <c r="F12" i="9" l="1"/>
  <c r="G12" i="9" s="1"/>
  <c r="G21" i="9" l="1"/>
  <c r="G29" i="9"/>
  <c r="G37" i="9"/>
  <c r="G45" i="9"/>
  <c r="G53" i="9"/>
  <c r="G61" i="9"/>
  <c r="G69" i="9"/>
  <c r="G77" i="9"/>
  <c r="G85" i="9"/>
  <c r="G93" i="9"/>
  <c r="G101" i="9"/>
  <c r="G109" i="9"/>
  <c r="G117" i="9"/>
  <c r="G125" i="9"/>
  <c r="G133" i="9"/>
  <c r="G141" i="9"/>
  <c r="G149" i="9"/>
  <c r="G157" i="9"/>
  <c r="G165" i="9"/>
  <c r="G173" i="9"/>
  <c r="G181" i="9"/>
  <c r="G189" i="9"/>
  <c r="G196" i="9"/>
  <c r="G204" i="9"/>
  <c r="G212" i="9"/>
  <c r="G220" i="9"/>
  <c r="G228" i="9"/>
  <c r="G236" i="9"/>
  <c r="G244" i="9"/>
  <c r="G252" i="9"/>
  <c r="G260" i="9"/>
  <c r="G268" i="9"/>
  <c r="G276" i="9"/>
  <c r="G284" i="9"/>
  <c r="G292" i="9"/>
  <c r="G300" i="9"/>
  <c r="G14" i="9"/>
  <c r="G22" i="9"/>
  <c r="G30" i="9"/>
  <c r="G38" i="9"/>
  <c r="G46" i="9"/>
  <c r="G54" i="9"/>
  <c r="G62" i="9"/>
  <c r="G70" i="9"/>
  <c r="G78" i="9"/>
  <c r="G86" i="9"/>
  <c r="G94" i="9"/>
  <c r="G102" i="9"/>
  <c r="G110" i="9"/>
  <c r="G118" i="9"/>
  <c r="G126" i="9"/>
  <c r="G134" i="9"/>
  <c r="G142" i="9"/>
  <c r="G150" i="9"/>
  <c r="G158" i="9"/>
  <c r="G166" i="9"/>
  <c r="G174" i="9"/>
  <c r="G182" i="9"/>
  <c r="G190" i="9"/>
  <c r="G197" i="9"/>
  <c r="G205" i="9"/>
  <c r="G213" i="9"/>
  <c r="G221" i="9"/>
  <c r="G229" i="9"/>
  <c r="G237" i="9"/>
  <c r="G245" i="9"/>
  <c r="G253" i="9"/>
  <c r="G261" i="9"/>
  <c r="G269" i="9"/>
  <c r="G277" i="9"/>
  <c r="G285" i="9"/>
  <c r="G293" i="9"/>
  <c r="G301" i="9"/>
  <c r="G15" i="9"/>
  <c r="G23" i="9"/>
  <c r="G31" i="9"/>
  <c r="G39" i="9"/>
  <c r="G47" i="9"/>
  <c r="G55" i="9"/>
  <c r="G63" i="9"/>
  <c r="G71" i="9"/>
  <c r="G79" i="9"/>
  <c r="G87" i="9"/>
  <c r="G95" i="9"/>
  <c r="G103" i="9"/>
  <c r="G111" i="9"/>
  <c r="G119" i="9"/>
  <c r="G127" i="9"/>
  <c r="G135" i="9"/>
  <c r="G143" i="9"/>
  <c r="G151" i="9"/>
  <c r="G159" i="9"/>
  <c r="G167" i="9"/>
  <c r="G175" i="9"/>
  <c r="G183" i="9"/>
  <c r="G198" i="9"/>
  <c r="G206" i="9"/>
  <c r="G214" i="9"/>
  <c r="G222" i="9"/>
  <c r="G230" i="9"/>
  <c r="G238" i="9"/>
  <c r="G246" i="9"/>
  <c r="G254" i="9"/>
  <c r="G262" i="9"/>
  <c r="G270" i="9"/>
  <c r="G278" i="9"/>
  <c r="G286" i="9"/>
  <c r="G294" i="9"/>
  <c r="G302" i="9"/>
  <c r="G16" i="9"/>
  <c r="G24" i="9"/>
  <c r="G32" i="9"/>
  <c r="G40" i="9"/>
  <c r="G48" i="9"/>
  <c r="G56" i="9"/>
  <c r="G64" i="9"/>
  <c r="G72" i="9"/>
  <c r="G80" i="9"/>
  <c r="G88" i="9"/>
  <c r="G96" i="9"/>
  <c r="G104" i="9"/>
  <c r="G112" i="9"/>
  <c r="G120" i="9"/>
  <c r="G128" i="9"/>
  <c r="G136" i="9"/>
  <c r="G144" i="9"/>
  <c r="G152" i="9"/>
  <c r="G160" i="9"/>
  <c r="G168" i="9"/>
  <c r="G176" i="9"/>
  <c r="G184" i="9"/>
  <c r="G191" i="9"/>
  <c r="G199" i="9"/>
  <c r="G207" i="9"/>
  <c r="G215" i="9"/>
  <c r="G223" i="9"/>
  <c r="G231" i="9"/>
  <c r="G239" i="9"/>
  <c r="G247" i="9"/>
  <c r="G255" i="9"/>
  <c r="G263" i="9"/>
  <c r="G271" i="9"/>
  <c r="G279" i="9"/>
  <c r="G287" i="9"/>
  <c r="G295" i="9"/>
  <c r="G303" i="9"/>
  <c r="G17" i="9"/>
  <c r="G25" i="9"/>
  <c r="G33" i="9"/>
  <c r="G41" i="9"/>
  <c r="G49" i="9"/>
  <c r="G57" i="9"/>
  <c r="G65" i="9"/>
  <c r="G73" i="9"/>
  <c r="G81" i="9"/>
  <c r="G89" i="9"/>
  <c r="G97" i="9"/>
  <c r="G105" i="9"/>
  <c r="G113" i="9"/>
  <c r="G121" i="9"/>
  <c r="G129" i="9"/>
  <c r="G137" i="9"/>
  <c r="G145" i="9"/>
  <c r="G153" i="9"/>
  <c r="G161" i="9"/>
  <c r="G169" i="9"/>
  <c r="G177" i="9"/>
  <c r="G185" i="9"/>
  <c r="G192" i="9"/>
  <c r="G200" i="9"/>
  <c r="G208" i="9"/>
  <c r="G216" i="9"/>
  <c r="G224" i="9"/>
  <c r="G232" i="9"/>
  <c r="G240" i="9"/>
  <c r="G248" i="9"/>
  <c r="G256" i="9"/>
  <c r="G264" i="9"/>
  <c r="G272" i="9"/>
  <c r="G280" i="9"/>
  <c r="G288" i="9"/>
  <c r="G296" i="9"/>
  <c r="G304" i="9"/>
  <c r="G18" i="9"/>
  <c r="G26" i="9"/>
  <c r="G34" i="9"/>
  <c r="G42" i="9"/>
  <c r="G50" i="9"/>
  <c r="G58" i="9"/>
  <c r="G66" i="9"/>
  <c r="G74" i="9"/>
  <c r="G82" i="9"/>
  <c r="G90" i="9"/>
  <c r="G98" i="9"/>
  <c r="G106" i="9"/>
  <c r="G114" i="9"/>
  <c r="G122" i="9"/>
  <c r="G130" i="9"/>
  <c r="G138" i="9"/>
  <c r="G146" i="9"/>
  <c r="G154" i="9"/>
  <c r="G162" i="9"/>
  <c r="G170" i="9"/>
  <c r="G178" i="9"/>
  <c r="G186" i="9"/>
  <c r="G193" i="9"/>
  <c r="G201" i="9"/>
  <c r="G209" i="9"/>
  <c r="G217" i="9"/>
  <c r="G225" i="9"/>
  <c r="G233" i="9"/>
  <c r="G241" i="9"/>
  <c r="G249" i="9"/>
  <c r="G257" i="9"/>
  <c r="G265" i="9"/>
  <c r="G273" i="9"/>
  <c r="G281" i="9"/>
  <c r="G289" i="9"/>
  <c r="G297" i="9"/>
  <c r="G13" i="9"/>
  <c r="G19" i="9"/>
  <c r="G27" i="9"/>
  <c r="G35" i="9"/>
  <c r="G43" i="9"/>
  <c r="G51" i="9"/>
  <c r="G59" i="9"/>
  <c r="G67" i="9"/>
  <c r="G75" i="9"/>
  <c r="G83" i="9"/>
  <c r="G91" i="9"/>
  <c r="G99" i="9"/>
  <c r="G107" i="9"/>
  <c r="G115" i="9"/>
  <c r="G123" i="9"/>
  <c r="G131" i="9"/>
  <c r="G139" i="9"/>
  <c r="G147" i="9"/>
  <c r="G155" i="9"/>
  <c r="G163" i="9"/>
  <c r="G171" i="9"/>
  <c r="G179" i="9"/>
  <c r="G187" i="9"/>
  <c r="G194" i="9"/>
  <c r="G202" i="9"/>
  <c r="G210" i="9"/>
  <c r="G218" i="9"/>
  <c r="G226" i="9"/>
  <c r="G234" i="9"/>
  <c r="G242" i="9"/>
  <c r="G250" i="9"/>
  <c r="G258" i="9"/>
  <c r="G266" i="9"/>
  <c r="G274" i="9"/>
  <c r="G282" i="9"/>
  <c r="G290" i="9"/>
  <c r="G298" i="9"/>
  <c r="G20" i="9"/>
  <c r="G28" i="9"/>
  <c r="G36" i="9"/>
  <c r="G44" i="9"/>
  <c r="G52" i="9"/>
  <c r="G60" i="9"/>
  <c r="G68" i="9"/>
  <c r="G76" i="9"/>
  <c r="G84" i="9"/>
  <c r="G92" i="9"/>
  <c r="G100" i="9"/>
  <c r="G108" i="9"/>
  <c r="G116" i="9"/>
  <c r="G124" i="9"/>
  <c r="G132" i="9"/>
  <c r="G140" i="9"/>
  <c r="G148" i="9"/>
  <c r="G156" i="9"/>
  <c r="G164" i="9"/>
  <c r="G172" i="9"/>
  <c r="G180" i="9"/>
  <c r="G188" i="9"/>
  <c r="G195" i="9"/>
  <c r="G203" i="9"/>
  <c r="G211" i="9"/>
  <c r="G219" i="9"/>
  <c r="G227" i="9"/>
  <c r="G235" i="9"/>
  <c r="G243" i="9"/>
  <c r="G251" i="9"/>
  <c r="G259" i="9"/>
  <c r="G267" i="9"/>
  <c r="G275" i="9"/>
  <c r="G283" i="9"/>
  <c r="G291" i="9"/>
  <c r="G299" i="9"/>
  <c r="B3" i="9"/>
  <c r="R13" i="22" l="1"/>
  <c r="P13" i="22"/>
</calcChain>
</file>

<file path=xl/comments1.xml><?xml version="1.0" encoding="utf-8"?>
<comments xmlns="http://schemas.openxmlformats.org/spreadsheetml/2006/main">
  <authors>
    <author>Heimberg Unna (VM)</author>
  </authors>
  <commentList>
    <comment ref="N3" authorId="0" shapeId="0">
      <text>
        <r>
          <rPr>
            <b/>
            <sz val="9"/>
            <color indexed="81"/>
            <rFont val="Tahoma"/>
            <family val="2"/>
          </rPr>
          <t>Heimberg Unna (VM):</t>
        </r>
        <r>
          <rPr>
            <sz val="9"/>
            <color indexed="81"/>
            <rFont val="Tahoma"/>
            <family val="2"/>
          </rPr>
          <t xml:space="preserve">
Tällä erällä korjataan TE-palveluiden rahoitusta siten, että puolet rahoituksesta määräytyy kustannusperusteisesti (laskennallinen nykytila) ja puolet uusien valtionosuuskriteerien perusteella. Katso tarkemmin TE25-välilehdet tiedoston lopussa.</t>
        </r>
      </text>
    </comment>
  </commentList>
</comments>
</file>

<file path=xl/comments2.xml><?xml version="1.0" encoding="utf-8"?>
<comments xmlns="http://schemas.openxmlformats.org/spreadsheetml/2006/main">
  <authors>
    <author>Heimberg Unna (VM)</author>
  </authors>
  <commentList>
    <comment ref="G11" authorId="0" shapeId="0">
      <text>
        <r>
          <rPr>
            <b/>
            <sz val="9"/>
            <color indexed="81"/>
            <rFont val="Tahoma"/>
            <family val="2"/>
          </rPr>
          <t>Heimberg Unna (VM):</t>
        </r>
        <r>
          <rPr>
            <sz val="9"/>
            <color indexed="81"/>
            <rFont val="Tahoma"/>
            <family val="2"/>
          </rPr>
          <t xml:space="preserve">
Huomioidaan vos-lain 1 §:n 1 mom 21 kohdan mukaiset tehtävät</t>
        </r>
      </text>
    </comment>
  </commentList>
</comments>
</file>

<file path=xl/sharedStrings.xml><?xml version="1.0" encoding="utf-8"?>
<sst xmlns="http://schemas.openxmlformats.org/spreadsheetml/2006/main" count="3994" uniqueCount="1208">
  <si>
    <t>Valtionosuusprosentti:</t>
  </si>
  <si>
    <t>Kuntien lkm</t>
  </si>
  <si>
    <t>Kuntanumero</t>
  </si>
  <si>
    <t>Kunta</t>
  </si>
  <si>
    <t>Ikärakenne, laskennallinen kustannus</t>
  </si>
  <si>
    <t>Laskennalliset kustannukset yhteensä</t>
  </si>
  <si>
    <t>Omarahoitusosuus, €/as</t>
  </si>
  <si>
    <t>Omarahoitusosuus, €</t>
  </si>
  <si>
    <t>Valtionosuus omarahoitusosuuden jälkeen (välisumma)</t>
  </si>
  <si>
    <t>Lisäosat yhteensä</t>
  </si>
  <si>
    <t>Valtionosuuteen tehtävät vähennykset ja lisäykset, netto</t>
  </si>
  <si>
    <t>YHTEENSÄ</t>
  </si>
  <si>
    <t>Alajärvi</t>
  </si>
  <si>
    <t>Alavieska</t>
  </si>
  <si>
    <t>Alavus</t>
  </si>
  <si>
    <t>Asikkala</t>
  </si>
  <si>
    <t>Askola</t>
  </si>
  <si>
    <t>Aura</t>
  </si>
  <si>
    <t>Akaa</t>
  </si>
  <si>
    <t>Enonkoski</t>
  </si>
  <si>
    <t>Enontekiö</t>
  </si>
  <si>
    <t>Espoo</t>
  </si>
  <si>
    <t>Eura</t>
  </si>
  <si>
    <t>Eurajoki</t>
  </si>
  <si>
    <t>Evijärvi</t>
  </si>
  <si>
    <t>Forssa</t>
  </si>
  <si>
    <t>Haapajärvi</t>
  </si>
  <si>
    <t>Haapavesi</t>
  </si>
  <si>
    <t>Hailuoto</t>
  </si>
  <si>
    <t>Halsua</t>
  </si>
  <si>
    <t>Hamina</t>
  </si>
  <si>
    <t>Hankasalmi</t>
  </si>
  <si>
    <t>Hanko</t>
  </si>
  <si>
    <t>Harjavalta</t>
  </si>
  <si>
    <t>Hartola</t>
  </si>
  <si>
    <t>Hattula</t>
  </si>
  <si>
    <t>Hausjärvi</t>
  </si>
  <si>
    <t>Heinävesi</t>
  </si>
  <si>
    <t>Helsinki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</si>
  <si>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</si>
  <si>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</si>
  <si>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</si>
  <si>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</si>
  <si>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</si>
  <si>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</si>
  <si>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</si>
  <si>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</si>
  <si>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</si>
  <si>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</si>
  <si>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</si>
  <si>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</si>
  <si>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</si>
  <si>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</si>
  <si>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</si>
  <si>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</si>
  <si>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</si>
  <si>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</si>
  <si>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</si>
  <si>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</si>
  <si>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</si>
  <si>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</si>
  <si>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</si>
  <si>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</si>
  <si>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</si>
  <si>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</si>
  <si>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</si>
  <si>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</si>
  <si>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</si>
  <si>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</si>
  <si>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</si>
  <si>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</si>
  <si>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</si>
  <si>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</si>
  <si>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</si>
  <si>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</si>
  <si>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</si>
  <si>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</si>
  <si>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</si>
  <si>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</si>
  <si>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</si>
  <si>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</si>
  <si>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</si>
  <si>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</si>
  <si>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</si>
  <si>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</si>
  <si>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</si>
  <si>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</si>
  <si>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</si>
  <si>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</si>
  <si>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</si>
  <si>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</si>
  <si>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</si>
  <si>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</si>
  <si>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</si>
  <si>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</si>
  <si>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</si>
  <si>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</si>
  <si>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</si>
  <si>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</si>
  <si>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</si>
  <si>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</si>
  <si>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</si>
  <si>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</si>
  <si>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</si>
  <si>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</si>
  <si>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</si>
  <si>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</si>
  <si>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</si>
  <si>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</si>
  <si>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</si>
  <si>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</si>
  <si>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</si>
  <si>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Kristiinankaupunki</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</si>
  <si>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</si>
  <si>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</si>
  <si>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</si>
  <si>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</si>
  <si>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</si>
  <si>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</si>
  <si>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</si>
  <si>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</si>
  <si>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</si>
  <si>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</si>
  <si>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</si>
  <si>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</si>
  <si>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</si>
  <si>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</si>
  <si>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</si>
  <si>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</si>
  <si>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</si>
  <si>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</si>
  <si>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</si>
  <si>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</si>
  <si>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</si>
  <si>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</si>
  <si>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</si>
  <si>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</si>
  <si>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</si>
  <si>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</si>
  <si>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</si>
  <si>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</si>
  <si>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</si>
  <si>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</si>
  <si>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</si>
  <si>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</si>
  <si>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</si>
  <si>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</si>
  <si>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</si>
  <si>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</si>
  <si>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</si>
  <si>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</si>
  <si>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</si>
  <si>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</si>
  <si>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</si>
  <si>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</si>
  <si>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</si>
  <si>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</si>
  <si>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</si>
  <si>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</si>
  <si>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</si>
  <si>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</si>
  <si>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</si>
  <si>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</si>
  <si>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</si>
  <si>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</si>
  <si>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</si>
  <si>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</si>
  <si>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</si>
  <si>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</si>
  <si>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</si>
  <si>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</si>
  <si>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</si>
  <si>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</si>
  <si>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</si>
  <si>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</si>
  <si>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</si>
  <si>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</si>
  <si>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</si>
  <si>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</si>
  <si>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</si>
  <si>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</si>
  <si>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</si>
  <si>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</si>
  <si>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</si>
  <si>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</si>
  <si>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</si>
  <si>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</si>
  <si>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</si>
  <si>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</si>
  <si>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</si>
  <si>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Pertunmaa</t>
  </si>
  <si>
    <t>Petäjävesi</t>
  </si>
  <si>
    <t>Pieksämäki</t>
  </si>
  <si>
    <t>Pielavesi</t>
  </si>
  <si>
    <t>Pietarsaari</t>
  </si>
  <si>
    <t>Pedersöre</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</si>
  <si>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</si>
  <si>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</si>
  <si>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</si>
  <si>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</si>
  <si>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</si>
  <si>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</si>
  <si>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</si>
  <si>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</si>
  <si>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</si>
  <si>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</si>
  <si>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</si>
  <si>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</si>
  <si>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</si>
  <si>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</si>
  <si>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</si>
  <si>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</si>
  <si>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</si>
  <si>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</si>
  <si>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</si>
  <si>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</si>
  <si>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</si>
  <si>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</si>
  <si>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</si>
  <si>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</si>
  <si>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</si>
  <si>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</si>
  <si>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</si>
  <si>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</si>
  <si>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</si>
  <si>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</si>
  <si>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</si>
  <si>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</si>
  <si>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</si>
  <si>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</si>
  <si>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</si>
  <si>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</si>
  <si>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</si>
  <si>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</si>
  <si>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</si>
  <si>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</si>
  <si>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</si>
  <si>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</si>
  <si>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</si>
  <si>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</si>
  <si>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</si>
  <si>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</si>
  <si>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</si>
  <si>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</si>
  <si>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</si>
  <si>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</si>
  <si>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</si>
  <si>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</si>
  <si>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</si>
  <si>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</si>
  <si>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</si>
  <si>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</si>
  <si>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</si>
  <si>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</si>
  <si>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</si>
  <si>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</si>
  <si>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</si>
  <si>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</si>
  <si>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</si>
  <si>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</si>
  <si>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</si>
  <si>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</si>
  <si>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</si>
  <si>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</si>
  <si>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</si>
  <si>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</si>
  <si>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</si>
  <si>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</si>
  <si>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</si>
  <si>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</si>
  <si>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</si>
  <si>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</si>
  <si>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</si>
  <si>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</si>
  <si>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</si>
  <si>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</si>
  <si>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</si>
  <si>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</si>
  <si>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</si>
  <si>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</si>
  <si>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</si>
  <si>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</si>
  <si>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</si>
  <si>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</si>
  <si>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</si>
  <si>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</si>
  <si>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</si>
  <si>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</si>
  <si>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</si>
  <si>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</si>
  <si>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</si>
  <si>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</si>
  <si>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</si>
  <si>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</si>
  <si>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</si>
  <si>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</si>
  <si>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</si>
  <si>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</si>
  <si>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</si>
  <si>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</si>
  <si>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</si>
  <si>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</si>
  <si>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</si>
  <si>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</si>
  <si>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</si>
  <si>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BJÖRNEBORGS SVENSKA SAMSKOLAS</t>
  </si>
  <si>
    <t>KOTKA SVENSKA SAMSKOLAS GARANT</t>
  </si>
  <si>
    <t>FÖRENINGEN FÖR SVENSKA SAMSKOL</t>
  </si>
  <si>
    <t>KOULUYHDISTYS PESTALOZZI SCHUL</t>
  </si>
  <si>
    <t>SKOLGARANTIFÖRENINGEN R.F.</t>
  </si>
  <si>
    <t>APOLLON YHTEISKOULUN KANNATUSY</t>
  </si>
  <si>
    <t>SUOMALAISEN YHTEISKOULUN OSAKE</t>
  </si>
  <si>
    <t>MAANVILJELYSLYSEON OSAKEYHTIÖ</t>
  </si>
  <si>
    <t>OY HELSINGIN YHTEISKOULU JA RE</t>
  </si>
  <si>
    <t>VIIPURIN REAALIKOULU OY</t>
  </si>
  <si>
    <t>KULOSAAREN YHTEISKOULUN OSAKEY</t>
  </si>
  <si>
    <t>TAMPEREEN STEINER-KOULUYHDISTY</t>
  </si>
  <si>
    <t>POHJOIS-HAAGAN YHTEISKOULU OY</t>
  </si>
  <si>
    <t>TÖÖLÖN YHTEISKOULU OSAKEYHTIÖ</t>
  </si>
  <si>
    <t>HELSINGIN JUUTALAINEN SEURAKUN</t>
  </si>
  <si>
    <t>NUORTEN YSTÄVÄT RY</t>
  </si>
  <si>
    <t>PERHEKUNTOUTUSKESKUS LAUSTE RY</t>
  </si>
  <si>
    <t>SYLVIA-KOTI YHDISTYS RY</t>
  </si>
  <si>
    <t>HOITOPEDAGOGISEN RUDOLF STEINE</t>
  </si>
  <si>
    <t>HELSINGIN KANSAINVÄLISEN KOULU</t>
  </si>
  <si>
    <t>ELIAS-KOULUN KOULUYHDISTYS RY</t>
  </si>
  <si>
    <t>VAPAAN KYLÄKOULUN KANNATUSYHDI</t>
  </si>
  <si>
    <t>OULUN STEINERKOULUN KANNATUSYH</t>
  </si>
  <si>
    <t>PORIN SEUDUN STEINERKOULUYHDIS</t>
  </si>
  <si>
    <t>ETELÄ-POHJANMAAN STEINERKOULUY</t>
  </si>
  <si>
    <t>TURUN SEUDUN STEINERKOULUYHDIS</t>
  </si>
  <si>
    <t>VANTAAN SEUDUN STEINERKOULUN K</t>
  </si>
  <si>
    <t>VAASAN STEINERPEDAGOGIIKAN KAN</t>
  </si>
  <si>
    <t>SUOMEN ADVENTTIKIRKKO</t>
  </si>
  <si>
    <t>LAPPEENRANNAN SEUDUN STEINERKO</t>
  </si>
  <si>
    <t>ESPOON STEINERKOULUN KANNATUSY</t>
  </si>
  <si>
    <t>HELSINGIN KRISTILLISEN KOULUN</t>
  </si>
  <si>
    <t>ITÄ-SUOMEN SUOMALAIS-VENÄLÄISE</t>
  </si>
  <si>
    <t>PORIN KRISTILLISEN KOULUN KANN</t>
  </si>
  <si>
    <t>RAUMAN AVOKAS RY</t>
  </si>
  <si>
    <t>KUOPION KRISTILLISEN PÄIVÄKODI</t>
  </si>
  <si>
    <t>ESPOON KRISTILLISEN KOULUN KAN</t>
  </si>
  <si>
    <t>JYVÄSKYLÄN KRISTILLISEN KOULUN</t>
  </si>
  <si>
    <t>KYMENLAAKSON STEINERKOULUN KAN</t>
  </si>
  <si>
    <t>LAHDEN KRISTILLISEN KOULUN KAN</t>
  </si>
  <si>
    <t>OULUN KRISTILLINEN KASVATUS RY</t>
  </si>
  <si>
    <t>JOENSUUN STEINERKOULUN KANNATU</t>
  </si>
  <si>
    <t>PORVOON STEINERKOULUN KANNATUS</t>
  </si>
  <si>
    <t>ROVANIEMEN SEUDUN KRISTILLISEN</t>
  </si>
  <si>
    <t>HELSINGIN MONTESSORI-YHDISTYS</t>
  </si>
  <si>
    <t>OULUN REGGIO EMILIA KANNATUSYH</t>
  </si>
  <si>
    <t>HELSINGIN RANSKALAIS-SUOMALAIN</t>
  </si>
  <si>
    <t>SUOMALAIS-VENÄLÄINEN KOULU</t>
  </si>
  <si>
    <t>VALTION KOULUKODIT</t>
  </si>
  <si>
    <t>VALTERI-KOULU</t>
  </si>
  <si>
    <t>ITÄ-SUOMEN YLIOPISTO</t>
  </si>
  <si>
    <t>VM/KAO</t>
  </si>
  <si>
    <t>Ikäryhmähinnat:</t>
  </si>
  <si>
    <t>Laskentatekijät:</t>
  </si>
  <si>
    <t>Ikä 6</t>
  </si>
  <si>
    <t>Koko maa</t>
  </si>
  <si>
    <t>Saaristo</t>
  </si>
  <si>
    <t>Hinnat:</t>
  </si>
  <si>
    <t>Syrjäisyys</t>
  </si>
  <si>
    <t>Yhteensä</t>
  </si>
  <si>
    <t>Tasausraja: 100 %</t>
  </si>
  <si>
    <t>Verotuloihin perustuva valtionosuuksien tasaus:</t>
  </si>
  <si>
    <t>Kaikki kunnat</t>
  </si>
  <si>
    <t xml:space="preserve">Alajärvi           </t>
  </si>
  <si>
    <t xml:space="preserve">Alavieska          </t>
  </si>
  <si>
    <t xml:space="preserve">Alavus             </t>
  </si>
  <si>
    <t xml:space="preserve">Asikkala           </t>
  </si>
  <si>
    <t xml:space="preserve">Askola             </t>
  </si>
  <si>
    <t xml:space="preserve">Aura               </t>
  </si>
  <si>
    <t xml:space="preserve">Enonkoski          </t>
  </si>
  <si>
    <t xml:space="preserve">Enontekiö          </t>
  </si>
  <si>
    <t xml:space="preserve">Espoo              </t>
  </si>
  <si>
    <t xml:space="preserve">Eura               </t>
  </si>
  <si>
    <t xml:space="preserve">Eurajoki           </t>
  </si>
  <si>
    <t xml:space="preserve">Evijärvi           </t>
  </si>
  <si>
    <t xml:space="preserve">Forssa             </t>
  </si>
  <si>
    <t xml:space="preserve">Haapajärvi         </t>
  </si>
  <si>
    <t xml:space="preserve">Haapavesi          </t>
  </si>
  <si>
    <t xml:space="preserve">Hailuoto           </t>
  </si>
  <si>
    <t xml:space="preserve">Halsua             </t>
  </si>
  <si>
    <t xml:space="preserve">Hamina             </t>
  </si>
  <si>
    <t xml:space="preserve">Hankasalmi         </t>
  </si>
  <si>
    <t xml:space="preserve">Hanko              </t>
  </si>
  <si>
    <t xml:space="preserve">Harjavalta         </t>
  </si>
  <si>
    <t xml:space="preserve">Hartola            </t>
  </si>
  <si>
    <t xml:space="preserve">Hattula            </t>
  </si>
  <si>
    <t xml:space="preserve">Hausjärvi          </t>
  </si>
  <si>
    <t xml:space="preserve">Heinävesi          </t>
  </si>
  <si>
    <t xml:space="preserve">Helsinki           </t>
  </si>
  <si>
    <t xml:space="preserve">Vantaa             </t>
  </si>
  <si>
    <t xml:space="preserve">Hirvensalmi        </t>
  </si>
  <si>
    <t xml:space="preserve">Hollola            </t>
  </si>
  <si>
    <t xml:space="preserve">Huittinen          </t>
  </si>
  <si>
    <t xml:space="preserve">Humppila           </t>
  </si>
  <si>
    <t xml:space="preserve">Hyrynsalmi         </t>
  </si>
  <si>
    <t xml:space="preserve">Hyvinkää           </t>
  </si>
  <si>
    <t xml:space="preserve">Hämeenkyrö         </t>
  </si>
  <si>
    <t xml:space="preserve">Hämeenlinna        </t>
  </si>
  <si>
    <t xml:space="preserve">Heinola            </t>
  </si>
  <si>
    <t xml:space="preserve">Ii                 </t>
  </si>
  <si>
    <t xml:space="preserve">Iisalmi            </t>
  </si>
  <si>
    <t xml:space="preserve">Iitti              </t>
  </si>
  <si>
    <t xml:space="preserve">Ikaalinen          </t>
  </si>
  <si>
    <t xml:space="preserve">Ilmajoki           </t>
  </si>
  <si>
    <t xml:space="preserve">Ilomantsi          </t>
  </si>
  <si>
    <t xml:space="preserve">Inari              </t>
  </si>
  <si>
    <t xml:space="preserve">Inkoo              </t>
  </si>
  <si>
    <t xml:space="preserve">Isojoki            </t>
  </si>
  <si>
    <t xml:space="preserve">Isokyrö            </t>
  </si>
  <si>
    <t xml:space="preserve">Imatra             </t>
  </si>
  <si>
    <t xml:space="preserve">Janakkala          </t>
  </si>
  <si>
    <t xml:space="preserve">Joensuu            </t>
  </si>
  <si>
    <t xml:space="preserve">Jokioinen          </t>
  </si>
  <si>
    <t xml:space="preserve">Joroinen           </t>
  </si>
  <si>
    <t xml:space="preserve">Joutsa             </t>
  </si>
  <si>
    <t xml:space="preserve">Juuka              </t>
  </si>
  <si>
    <t xml:space="preserve">Juupajoki          </t>
  </si>
  <si>
    <t xml:space="preserve">Juva               </t>
  </si>
  <si>
    <t xml:space="preserve">Jyväskylä          </t>
  </si>
  <si>
    <t xml:space="preserve">Jämijärvi          </t>
  </si>
  <si>
    <t xml:space="preserve">Järvenpää          </t>
  </si>
  <si>
    <t xml:space="preserve">Kaarina            </t>
  </si>
  <si>
    <t xml:space="preserve">Kaavi              </t>
  </si>
  <si>
    <t xml:space="preserve">Kajaani            </t>
  </si>
  <si>
    <t xml:space="preserve">Kalajoki           </t>
  </si>
  <si>
    <t xml:space="preserve">Kangasala          </t>
  </si>
  <si>
    <t xml:space="preserve">Kangasniemi        </t>
  </si>
  <si>
    <t xml:space="preserve">Kankaanpää         </t>
  </si>
  <si>
    <t xml:space="preserve">Kannonkoski        </t>
  </si>
  <si>
    <t xml:space="preserve">Kannus             </t>
  </si>
  <si>
    <t xml:space="preserve">Karijoki           </t>
  </si>
  <si>
    <t xml:space="preserve">Karkkila           </t>
  </si>
  <si>
    <t xml:space="preserve">Karstula           </t>
  </si>
  <si>
    <t xml:space="preserve">Karvia             </t>
  </si>
  <si>
    <t xml:space="preserve">Kaskinen           </t>
  </si>
  <si>
    <t xml:space="preserve">Kauhajoki          </t>
  </si>
  <si>
    <t xml:space="preserve">Kauhava            </t>
  </si>
  <si>
    <t xml:space="preserve">Kauniainen         </t>
  </si>
  <si>
    <t xml:space="preserve">Kaustinen          </t>
  </si>
  <si>
    <t xml:space="preserve">Keitele            </t>
  </si>
  <si>
    <t xml:space="preserve">Kemi               </t>
  </si>
  <si>
    <t xml:space="preserve">Keminmaa           </t>
  </si>
  <si>
    <t xml:space="preserve">Kempele            </t>
  </si>
  <si>
    <t xml:space="preserve">Kerava             </t>
  </si>
  <si>
    <t xml:space="preserve">Keuruu             </t>
  </si>
  <si>
    <t xml:space="preserve">Kihniö             </t>
  </si>
  <si>
    <t xml:space="preserve">Kinnula            </t>
  </si>
  <si>
    <t xml:space="preserve">Kirkkonummi        </t>
  </si>
  <si>
    <t xml:space="preserve">Kitee              </t>
  </si>
  <si>
    <t xml:space="preserve">Kittilä            </t>
  </si>
  <si>
    <t xml:space="preserve">Kiuruvesi          </t>
  </si>
  <si>
    <t xml:space="preserve">Kivijärvi          </t>
  </si>
  <si>
    <t xml:space="preserve">Kokemäki           </t>
  </si>
  <si>
    <t xml:space="preserve">Kokkola            </t>
  </si>
  <si>
    <t xml:space="preserve">Kolari             </t>
  </si>
  <si>
    <t xml:space="preserve">Konnevesi          </t>
  </si>
  <si>
    <t xml:space="preserve">Kontiolahti        </t>
  </si>
  <si>
    <t xml:space="preserve">Korsnäs            </t>
  </si>
  <si>
    <t xml:space="preserve">Koski Tl           </t>
  </si>
  <si>
    <t xml:space="preserve">Kotka              </t>
  </si>
  <si>
    <t xml:space="preserve">Kouvola            </t>
  </si>
  <si>
    <t xml:space="preserve">Kristiinankaupunki </t>
  </si>
  <si>
    <t xml:space="preserve">Kruunupyy          </t>
  </si>
  <si>
    <t xml:space="preserve">Kuhmo              </t>
  </si>
  <si>
    <t xml:space="preserve">Kuhmoinen          </t>
  </si>
  <si>
    <t xml:space="preserve">Kuopio             </t>
  </si>
  <si>
    <t xml:space="preserve">Kuortane           </t>
  </si>
  <si>
    <t xml:space="preserve">Kurikka            </t>
  </si>
  <si>
    <t xml:space="preserve">Kustavi            </t>
  </si>
  <si>
    <t xml:space="preserve">Kuusamo            </t>
  </si>
  <si>
    <t xml:space="preserve">Outokumpu          </t>
  </si>
  <si>
    <t xml:space="preserve">Kyyjärvi           </t>
  </si>
  <si>
    <t xml:space="preserve">Kärkölä            </t>
  </si>
  <si>
    <t xml:space="preserve">Kärsämäki          </t>
  </si>
  <si>
    <t xml:space="preserve">Kemijärvi          </t>
  </si>
  <si>
    <t xml:space="preserve">Lahti              </t>
  </si>
  <si>
    <t xml:space="preserve">Laihia             </t>
  </si>
  <si>
    <t xml:space="preserve">Laitila            </t>
  </si>
  <si>
    <t xml:space="preserve">Lapinlahti         </t>
  </si>
  <si>
    <t xml:space="preserve">Lappajärvi         </t>
  </si>
  <si>
    <t xml:space="preserve">Lappeenranta       </t>
  </si>
  <si>
    <t xml:space="preserve">Lapinjärvi         </t>
  </si>
  <si>
    <t xml:space="preserve">Lapua              </t>
  </si>
  <si>
    <t xml:space="preserve">Laukaa             </t>
  </si>
  <si>
    <t xml:space="preserve">Lemi               </t>
  </si>
  <si>
    <t xml:space="preserve">Lempäälä           </t>
  </si>
  <si>
    <t xml:space="preserve">Leppävirta         </t>
  </si>
  <si>
    <t xml:space="preserve">Lestijärvi         </t>
  </si>
  <si>
    <t xml:space="preserve">Lieksa             </t>
  </si>
  <si>
    <t xml:space="preserve">Lieto              </t>
  </si>
  <si>
    <t xml:space="preserve">Liminka            </t>
  </si>
  <si>
    <t xml:space="preserve">Liperi             </t>
  </si>
  <si>
    <t xml:space="preserve">Loimaa             </t>
  </si>
  <si>
    <t xml:space="preserve">Loppi              </t>
  </si>
  <si>
    <t xml:space="preserve">Loviisa            </t>
  </si>
  <si>
    <t xml:space="preserve">Luhanka            </t>
  </si>
  <si>
    <t xml:space="preserve">Lumijoki           </t>
  </si>
  <si>
    <t xml:space="preserve">Luoto              </t>
  </si>
  <si>
    <t xml:space="preserve">Luumäki            </t>
  </si>
  <si>
    <t xml:space="preserve">Lohja              </t>
  </si>
  <si>
    <t xml:space="preserve">Maalahti           </t>
  </si>
  <si>
    <t xml:space="preserve">Marttila           </t>
  </si>
  <si>
    <t xml:space="preserve">Masku              </t>
  </si>
  <si>
    <t xml:space="preserve">Merijärvi          </t>
  </si>
  <si>
    <t xml:space="preserve">Merikarvia         </t>
  </si>
  <si>
    <t xml:space="preserve">Miehikkälä         </t>
  </si>
  <si>
    <t xml:space="preserve">Mikkeli            </t>
  </si>
  <si>
    <t xml:space="preserve">Muhos              </t>
  </si>
  <si>
    <t xml:space="preserve">Multia             </t>
  </si>
  <si>
    <t xml:space="preserve">Muonio             </t>
  </si>
  <si>
    <t xml:space="preserve">Mustasaari         </t>
  </si>
  <si>
    <t xml:space="preserve">Muurame            </t>
  </si>
  <si>
    <t xml:space="preserve">Mynämäki           </t>
  </si>
  <si>
    <t xml:space="preserve">Myrskylä           </t>
  </si>
  <si>
    <t xml:space="preserve">Mäntsälä           </t>
  </si>
  <si>
    <t xml:space="preserve">Mäntyharju         </t>
  </si>
  <si>
    <t xml:space="preserve">Mänttä-Vilppula             </t>
  </si>
  <si>
    <t xml:space="preserve">Naantali           </t>
  </si>
  <si>
    <t xml:space="preserve">Nakkila            </t>
  </si>
  <si>
    <t xml:space="preserve">Nivala             </t>
  </si>
  <si>
    <t xml:space="preserve">Nokia              </t>
  </si>
  <si>
    <t xml:space="preserve">Nousiainen         </t>
  </si>
  <si>
    <t xml:space="preserve">Nurmes             </t>
  </si>
  <si>
    <t xml:space="preserve">Nurmijärvi         </t>
  </si>
  <si>
    <t xml:space="preserve">Närpiö             </t>
  </si>
  <si>
    <t xml:space="preserve">Orimattila         </t>
  </si>
  <si>
    <t xml:space="preserve">Oripää             </t>
  </si>
  <si>
    <t xml:space="preserve">Oulainen           </t>
  </si>
  <si>
    <t xml:space="preserve">Oulu               </t>
  </si>
  <si>
    <t xml:space="preserve">Padasjoki          </t>
  </si>
  <si>
    <t xml:space="preserve">Paimio             </t>
  </si>
  <si>
    <t xml:space="preserve">Paltamo            </t>
  </si>
  <si>
    <t xml:space="preserve">Parikkala          </t>
  </si>
  <si>
    <t xml:space="preserve">Parkano            </t>
  </si>
  <si>
    <t xml:space="preserve">Pelkosenniemi      </t>
  </si>
  <si>
    <t xml:space="preserve">Perho              </t>
  </si>
  <si>
    <t xml:space="preserve">Pertunmaa          </t>
  </si>
  <si>
    <t xml:space="preserve">Petäjävesi         </t>
  </si>
  <si>
    <t xml:space="preserve">Pieksämäki         </t>
  </si>
  <si>
    <t xml:space="preserve">Pielavesi          </t>
  </si>
  <si>
    <t xml:space="preserve">Pietarsaari        </t>
  </si>
  <si>
    <t>Pedersören kunta</t>
  </si>
  <si>
    <t xml:space="preserve">Pihtipudas         </t>
  </si>
  <si>
    <t xml:space="preserve">Pirkkala           </t>
  </si>
  <si>
    <t xml:space="preserve">Polvijärvi         </t>
  </si>
  <si>
    <t xml:space="preserve">Pomarkku           </t>
  </si>
  <si>
    <t xml:space="preserve">Pori               </t>
  </si>
  <si>
    <t xml:space="preserve">Pornainen          </t>
  </si>
  <si>
    <t xml:space="preserve">Posio              </t>
  </si>
  <si>
    <t xml:space="preserve">Pudasjärvi         </t>
  </si>
  <si>
    <t xml:space="preserve">Pukkila            </t>
  </si>
  <si>
    <t xml:space="preserve">Punkalaidun        </t>
  </si>
  <si>
    <t xml:space="preserve">Puolanka           </t>
  </si>
  <si>
    <t xml:space="preserve">Puumala            </t>
  </si>
  <si>
    <t xml:space="preserve">Pyhäjoki           </t>
  </si>
  <si>
    <t xml:space="preserve">Pyhäntä            </t>
  </si>
  <si>
    <t xml:space="preserve">Pyhäranta          </t>
  </si>
  <si>
    <t xml:space="preserve">Pälkäne            </t>
  </si>
  <si>
    <t xml:space="preserve">Pöytyä             </t>
  </si>
  <si>
    <t xml:space="preserve">Porvoo             </t>
  </si>
  <si>
    <t xml:space="preserve">Raahe              </t>
  </si>
  <si>
    <t xml:space="preserve">Raisio             </t>
  </si>
  <si>
    <t xml:space="preserve">Rantasalmi         </t>
  </si>
  <si>
    <t xml:space="preserve">Ranua              </t>
  </si>
  <si>
    <t xml:space="preserve">Rauma              </t>
  </si>
  <si>
    <t xml:space="preserve">Rautalampi         </t>
  </si>
  <si>
    <t xml:space="preserve">Rautavaara         </t>
  </si>
  <si>
    <t xml:space="preserve">Rautjärvi          </t>
  </si>
  <si>
    <t xml:space="preserve">Reisjärvi          </t>
  </si>
  <si>
    <t xml:space="preserve">Riihimäki          </t>
  </si>
  <si>
    <t xml:space="preserve">Ristijärvi         </t>
  </si>
  <si>
    <t xml:space="preserve">Rovaniemi          </t>
  </si>
  <si>
    <t xml:space="preserve">Ruokolahti         </t>
  </si>
  <si>
    <t xml:space="preserve">Ruovesi            </t>
  </si>
  <si>
    <t xml:space="preserve">Rusko              </t>
  </si>
  <si>
    <t xml:space="preserve">Rääkkylä           </t>
  </si>
  <si>
    <t xml:space="preserve">Saarijärvi         </t>
  </si>
  <si>
    <t xml:space="preserve">Salla              </t>
  </si>
  <si>
    <t xml:space="preserve">Salo               </t>
  </si>
  <si>
    <t xml:space="preserve">Sauvo              </t>
  </si>
  <si>
    <t xml:space="preserve">Savitaipale        </t>
  </si>
  <si>
    <t xml:space="preserve">Savonlinna         </t>
  </si>
  <si>
    <t xml:space="preserve">Savukoski          </t>
  </si>
  <si>
    <t xml:space="preserve">Seinäjoki          </t>
  </si>
  <si>
    <t xml:space="preserve">Sievi              </t>
  </si>
  <si>
    <t xml:space="preserve">Siikainen          </t>
  </si>
  <si>
    <t xml:space="preserve">Siikajoki          </t>
  </si>
  <si>
    <t xml:space="preserve">Siilinjärvi        </t>
  </si>
  <si>
    <t xml:space="preserve">Simo               </t>
  </si>
  <si>
    <t xml:space="preserve">Sipoo              </t>
  </si>
  <si>
    <t xml:space="preserve">Siuntio            </t>
  </si>
  <si>
    <t xml:space="preserve">Sodankylä          </t>
  </si>
  <si>
    <t xml:space="preserve">Soini              </t>
  </si>
  <si>
    <t xml:space="preserve">Somero             </t>
  </si>
  <si>
    <t xml:space="preserve">Sonkajärvi         </t>
  </si>
  <si>
    <t xml:space="preserve">Sotkamo            </t>
  </si>
  <si>
    <t xml:space="preserve">Sulkava            </t>
  </si>
  <si>
    <t xml:space="preserve">Suomussalmi        </t>
  </si>
  <si>
    <t xml:space="preserve">Suonenjoki         </t>
  </si>
  <si>
    <t xml:space="preserve">Sysmä              </t>
  </si>
  <si>
    <t xml:space="preserve">Säkylä             </t>
  </si>
  <si>
    <t xml:space="preserve">Vaala              </t>
  </si>
  <si>
    <t xml:space="preserve">Taipalsaari        </t>
  </si>
  <si>
    <t xml:space="preserve">Taivalkoski        </t>
  </si>
  <si>
    <t xml:space="preserve">Taivassalo         </t>
  </si>
  <si>
    <t xml:space="preserve">Tammela            </t>
  </si>
  <si>
    <t xml:space="preserve">Tampere            </t>
  </si>
  <si>
    <t xml:space="preserve">Tervo              </t>
  </si>
  <si>
    <t xml:space="preserve">Tervola            </t>
  </si>
  <si>
    <t xml:space="preserve">Teuva              </t>
  </si>
  <si>
    <t xml:space="preserve">Tohmajärvi         </t>
  </si>
  <si>
    <t xml:space="preserve">Toholampi          </t>
  </si>
  <si>
    <t xml:space="preserve">Toivakka           </t>
  </si>
  <si>
    <t xml:space="preserve">Tornio             </t>
  </si>
  <si>
    <t xml:space="preserve">Turku              </t>
  </si>
  <si>
    <t xml:space="preserve">Pello              </t>
  </si>
  <si>
    <t xml:space="preserve">Tuusniemi          </t>
  </si>
  <si>
    <t xml:space="preserve">Tuusula            </t>
  </si>
  <si>
    <t xml:space="preserve">Tyrnävä            </t>
  </si>
  <si>
    <t xml:space="preserve">Ulvila             </t>
  </si>
  <si>
    <t xml:space="preserve">Urjala             </t>
  </si>
  <si>
    <t xml:space="preserve">Utajärvi           </t>
  </si>
  <si>
    <t xml:space="preserve">Utsjoki            </t>
  </si>
  <si>
    <t xml:space="preserve">Uurainen           </t>
  </si>
  <si>
    <t xml:space="preserve">Uusikaarlepyy      </t>
  </si>
  <si>
    <t xml:space="preserve">Uusikaupunki       </t>
  </si>
  <si>
    <t xml:space="preserve">Vaasa              </t>
  </si>
  <si>
    <t xml:space="preserve">Valkeakoski        </t>
  </si>
  <si>
    <t xml:space="preserve">Varkaus            </t>
  </si>
  <si>
    <t xml:space="preserve">Vehmaa             </t>
  </si>
  <si>
    <t xml:space="preserve">Vesanto            </t>
  </si>
  <si>
    <t xml:space="preserve">Vesilahti          </t>
  </si>
  <si>
    <t xml:space="preserve">Veteli             </t>
  </si>
  <si>
    <t xml:space="preserve">Vieremä            </t>
  </si>
  <si>
    <t xml:space="preserve">Vihti              </t>
  </si>
  <si>
    <t xml:space="preserve">Viitasaari         </t>
  </si>
  <si>
    <t xml:space="preserve">Vimpeli            </t>
  </si>
  <si>
    <t xml:space="preserve">Virolahti          </t>
  </si>
  <si>
    <t xml:space="preserve">Virrat             </t>
  </si>
  <si>
    <t xml:space="preserve">Ylitornio          </t>
  </si>
  <si>
    <t xml:space="preserve">Ylivieska          </t>
  </si>
  <si>
    <t xml:space="preserve">Ylöjärvi           </t>
  </si>
  <si>
    <t xml:space="preserve">Ypäjä              </t>
  </si>
  <si>
    <t xml:space="preserve">Ähtäri             </t>
  </si>
  <si>
    <t xml:space="preserve">Äänekoski          </t>
  </si>
  <si>
    <t>Ikärakenne:</t>
  </si>
  <si>
    <t>Työttömyysaste</t>
  </si>
  <si>
    <t>Vieraskielisyys</t>
  </si>
  <si>
    <t>Asukastiheys</t>
  </si>
  <si>
    <t>Saaristo-osakunta</t>
  </si>
  <si>
    <t>Koulutustausta</t>
  </si>
  <si>
    <t>Työpaikkaomavaraisuus</t>
  </si>
  <si>
    <t>Laskennalliset kustannukset, IKÄRAKENNE yhteensä, €</t>
  </si>
  <si>
    <t>Kunta-numero</t>
  </si>
  <si>
    <t>Laskennalliset kustannukset ikäryhmittäin, €:</t>
  </si>
  <si>
    <t>Ikä 0–5</t>
  </si>
  <si>
    <t>Ikä 7–12</t>
  </si>
  <si>
    <t>Ikä 13–15</t>
  </si>
  <si>
    <t>Työttömyyskerroin</t>
  </si>
  <si>
    <t>Kieliasema</t>
  </si>
  <si>
    <t>Kieliasema:</t>
  </si>
  <si>
    <t>0 = yksikielinen S</t>
  </si>
  <si>
    <t>1 = kaksikielinen S</t>
  </si>
  <si>
    <t xml:space="preserve">2 = yksikielinen  R </t>
  </si>
  <si>
    <t>3 = kaksikielinen R</t>
  </si>
  <si>
    <t>Asukastiheyskerroin (maks kerroin x20)</t>
  </si>
  <si>
    <t>Saaristoasema</t>
  </si>
  <si>
    <t>0 = ei</t>
  </si>
  <si>
    <t>1 = saaristo</t>
  </si>
  <si>
    <t>2 = saaristo, &gt; 50 % i.k.t.</t>
  </si>
  <si>
    <t>3 = saaristo-osakunta</t>
  </si>
  <si>
    <t>Saaristoasema:</t>
  </si>
  <si>
    <t>Laskennalliset kustannukset, €</t>
  </si>
  <si>
    <t>Kaksikielisyys I (koko väestö)</t>
  </si>
  <si>
    <t>Kaksikielisyys II, (ruotsink.)</t>
  </si>
  <si>
    <t>Muut lask. kustannukset yhteensä</t>
  </si>
  <si>
    <t>Saamenkielisen väestön osuus, %</t>
  </si>
  <si>
    <t>Saamen kotiseutu</t>
  </si>
  <si>
    <t>Saamen kotiseutu, 1 = kyllä 0 = ei</t>
  </si>
  <si>
    <t xml:space="preserve">Työpaikkaomavaraisuus </t>
  </si>
  <si>
    <t>Valtionosuus, €</t>
  </si>
  <si>
    <t>Kunnallisvero (maksuunpantu), €</t>
  </si>
  <si>
    <t>Verotettava tulo (kunnallisvero), €</t>
  </si>
  <si>
    <t>Laskennallinen verotulo yhteensä, €</t>
  </si>
  <si>
    <t>Laskennallinen verotulo yhteensä, €/asukas (=tasausraja)</t>
  </si>
  <si>
    <t>Tasaus,  €/asukas</t>
  </si>
  <si>
    <t>Tasaus, €</t>
  </si>
  <si>
    <t>Kuntien lkm:</t>
  </si>
  <si>
    <t>HELSINGIN YLIOPISTO</t>
  </si>
  <si>
    <t>JYVÄSKYLÄN YLIOPISTO</t>
  </si>
  <si>
    <t>OULUN YLIOPISTO</t>
  </si>
  <si>
    <t>TURUN YLIOPISTO</t>
  </si>
  <si>
    <t>ÅBO AKADEMI</t>
  </si>
  <si>
    <t>LAPIN YLIOPISTO</t>
  </si>
  <si>
    <t>Maksettava yhteisövero, €</t>
  </si>
  <si>
    <t>Laskennallinen kunnallisvero, €</t>
  </si>
  <si>
    <t xml:space="preserve">Kunnan  peruspalvelujen valtionosuus </t>
  </si>
  <si>
    <t>MUNKKINIEMEN KOULUTUSSÄÄTIÖ SR</t>
  </si>
  <si>
    <t>TAMPEREEN KORKEAKOULUSÄÄTIÖ SR</t>
  </si>
  <si>
    <t>Veroperustemuutoksista johtuvien veromenetysten korvaus</t>
  </si>
  <si>
    <t xml:space="preserve">Muut laskennalliset kustannukset </t>
  </si>
  <si>
    <t>16 vuotta täyttäneet</t>
  </si>
  <si>
    <t>0–5-vuotiaat</t>
  </si>
  <si>
    <t>6 vuotiaat</t>
  </si>
  <si>
    <t>7–12-vuotiaat</t>
  </si>
  <si>
    <t>13–15-vuotiaat</t>
  </si>
  <si>
    <t>Ikä 16+</t>
  </si>
  <si>
    <t>Syrjäisyysluku (tiestö) 2022-2026</t>
  </si>
  <si>
    <t>HYTE-kerroin</t>
  </si>
  <si>
    <t>Väestön kasvu</t>
  </si>
  <si>
    <t xml:space="preserve">HYTE-kerroin </t>
  </si>
  <si>
    <t>Sote-uudistuksen muutosrajoitin</t>
  </si>
  <si>
    <t>Väestöllä painotettu HYTE-kerroin</t>
  </si>
  <si>
    <t xml:space="preserve">Lisätietoja: </t>
  </si>
  <si>
    <t>02 9553 0280 / etunimi.sukunimi@gov.fi</t>
  </si>
  <si>
    <t xml:space="preserve">Koulutustausta, ilman tutkintoa osuus </t>
  </si>
  <si>
    <t>HYTE-kerroin (sis. Kulttuurihyte)</t>
  </si>
  <si>
    <t>Kumulatiivinen verotuloihin perustuvan tasauksen muutoksen neutralisointi</t>
  </si>
  <si>
    <t>LAHDEN YHTEISKOULUN SÄÄTIÖ SR</t>
  </si>
  <si>
    <t>Lauri Piirainen, finanssiasiantuntija</t>
  </si>
  <si>
    <t>02 9553 0521 / etunimi.sukunimi@gov.fi</t>
  </si>
  <si>
    <t>Laskennallinen kiinteistövero, €</t>
  </si>
  <si>
    <t>Tasauslisä-%:</t>
  </si>
  <si>
    <t>Tasausvähennys-%:</t>
  </si>
  <si>
    <t>Hyte-kertoimen väestöpainotus</t>
  </si>
  <si>
    <t>VM maksatus (valtionosuus + verokomp. + kotikuntakorv.)</t>
  </si>
  <si>
    <t>Kunnan rahoitusosuus perustoimeentulotuesta</t>
  </si>
  <si>
    <t>Lisäykset ja vähennykset yhteensä, €</t>
  </si>
  <si>
    <t>Valtionosuudet ja veromenetysten korvaukset, yhteensä</t>
  </si>
  <si>
    <t xml:space="preserve">Koulutustausta-kerroin </t>
  </si>
  <si>
    <t>Veromenetysten korvaus 2024</t>
  </si>
  <si>
    <t>Valtiovarainministeriö, Kunta- ja alueosasto</t>
  </si>
  <si>
    <t>OULUNKYLÄN YHTEISKOULUN SÄÄTIÖ</t>
  </si>
  <si>
    <t>SATEENKAAREN KOULUN KUNTAYHTYM</t>
  </si>
  <si>
    <t>Kuntien yhdistymisavustus (-0,99 €/as)</t>
  </si>
  <si>
    <t>Kriisikuntien harkinnanvarainen yhdistymisavustus (-0,99 €/as)</t>
  </si>
  <si>
    <t>Aloittavien koulujen rahoitukseen liittyvä vähennys (-0,01 €/as)</t>
  </si>
  <si>
    <t>Valtionosuus ennen verotuloihin perustuvaa valtionosuuden tasausta</t>
  </si>
  <si>
    <t>Verotuloihin perustuva valtionosuuden tasaus</t>
  </si>
  <si>
    <t>Erotus = tasausraja - laskennallinen verotulo, €/asukas</t>
  </si>
  <si>
    <t>Ennakollinen kunnan peruspalvelujen valtionosuuslaskelma vuodelle 2025</t>
  </si>
  <si>
    <t>Laskelmassa ei ole huomioitu opetus- ja kuttuuritoimen valtionosuutta.</t>
  </si>
  <si>
    <t>Vuosien 2026-2028 valtionosuusennusteet löytyvät kuntakohtaisesta painelaskelmasta: vm.fi/kuntatalousohjelma.</t>
  </si>
  <si>
    <t>TE-uudistuksen vaikutus valtionosuuteen vuonna 2025</t>
  </si>
  <si>
    <t>Ennakollinen kunnan peruspalvelujen valtionosuus vuonna 2025</t>
  </si>
  <si>
    <t>Asukasmäärä 31.12.2023</t>
  </si>
  <si>
    <t>Tieto ei sisällä OKM:n valtionosuuksia</t>
  </si>
  <si>
    <t>Laskennalliset kustannukset 2025, IKÄRAKENNE 31.12.2023 mukaan</t>
  </si>
  <si>
    <t>18–64-vuotiaat</t>
  </si>
  <si>
    <t>Ikä 18-64</t>
  </si>
  <si>
    <t>Laskennalliset kustannukset 2025; MUUT KRITEERIT</t>
  </si>
  <si>
    <t>Työttömät työnhakijat 2023</t>
  </si>
  <si>
    <t>Työvoima 2023</t>
  </si>
  <si>
    <t>Keskim. työttömyysaste 2023, %</t>
  </si>
  <si>
    <t>Ruotsinkielisten määrä 31.12.2023</t>
  </si>
  <si>
    <t>Vieraskielisten määrä 31.12.2023</t>
  </si>
  <si>
    <t>30 - 54 v. väestö 31.12.2023</t>
  </si>
  <si>
    <r>
      <t>30 - 54 v. ilman tutkintoa 31.12.</t>
    </r>
    <r>
      <rPr>
        <sz val="11"/>
        <color rgb="FFFF0000"/>
        <rFont val="Arial"/>
        <family val="2"/>
      </rPr>
      <t>2022</t>
    </r>
  </si>
  <si>
    <t>Työttömät ja palveluissa olevat</t>
  </si>
  <si>
    <t>Perushinnat:</t>
  </si>
  <si>
    <t xml:space="preserve">Työttömät ja palveluissa olevat </t>
  </si>
  <si>
    <t>Maapinta-ala km2, 31.12.2023</t>
  </si>
  <si>
    <t>Asukastiehys 2023</t>
  </si>
  <si>
    <t>Työttömät ja palveluissa olevat 2023</t>
  </si>
  <si>
    <t>Saamenkielisen väestön määrä 31.12.2023</t>
  </si>
  <si>
    <t>Työpaikat 2022</t>
  </si>
  <si>
    <t>Työlliset 2022</t>
  </si>
  <si>
    <t>Työpaikkaomavaraisuus 2022</t>
  </si>
  <si>
    <t>Työpaikkaomavaraisuuskerroin</t>
  </si>
  <si>
    <t>Positiivinen väestön kasvu 2021-2023</t>
  </si>
  <si>
    <t>Lisäosat vuonna 2025</t>
  </si>
  <si>
    <t>Valtionosuuteen tehtävät vähennykset ja lisäykset v. 2025</t>
  </si>
  <si>
    <t>Harkinnanvaraisten avustusten vähennys (-1,79 €/as)</t>
  </si>
  <si>
    <t>Sote-uudistuksen järjestelmämuutoksen tasaus vuodelle 2025</t>
  </si>
  <si>
    <t>Määräaikaisen v 2024 tehdyn lisäyksen takaisinperintä (1/3)</t>
  </si>
  <si>
    <t>TE25: Kunnan työttömyysetuuksien rahoitusvastuun laajentamisen korvaus</t>
  </si>
  <si>
    <t>Veroennuste vuodelle 2023</t>
  </si>
  <si>
    <t>Verotulohin perustuva valtionosuuden tasaus 2025 (arvio)</t>
  </si>
  <si>
    <t>Asukasluku 31.12.2022</t>
  </si>
  <si>
    <t>Tuloveroprosentti 2023</t>
  </si>
  <si>
    <t>Veromuutosten (-menetysten) korvaus v. 2025</t>
  </si>
  <si>
    <t>Veromenetysten korvaus 2025</t>
  </si>
  <si>
    <t>Korvaukset vuosilta 2010-2023, €</t>
  </si>
  <si>
    <t>Veromenetysten korvaus 2010-2025 yhteensä, €</t>
  </si>
  <si>
    <t>STM/KELA</t>
  </si>
  <si>
    <t xml:space="preserve">Välilehdellä on kuvattu kuntien työttömyysturvan kustannusten nykytilaa sekä uudistuksen jälkeistä kustannusta. </t>
  </si>
  <si>
    <t>Kunta nro</t>
  </si>
  <si>
    <t>Asukasluku 2022</t>
  </si>
  <si>
    <t>Nykytila, kuntien osuus työmarkkinatuesta</t>
  </si>
  <si>
    <t>Uudistuksen mukainen osuus peruspäivärahasta</t>
  </si>
  <si>
    <t>Uudistuksen mukainen osuus ansiopäivärahasta</t>
  </si>
  <si>
    <t>Uudistuksen mukainen rahoitusvastuu yhteensä</t>
  </si>
  <si>
    <t>Manner-Suomi</t>
  </si>
  <si>
    <t>Nykytila perustuu kuntien osarahoittaman työmarkkinatuen tasoon vuonna 2023 (sarake D).</t>
  </si>
  <si>
    <t>Asukasluku 2023</t>
  </si>
  <si>
    <t>Muutos rahoitusvastuussa vuoden 2023 tasossa = korvaus</t>
  </si>
  <si>
    <t>Uudistus huomioiden rahoitusvastuu olisi vuoden 2023 tasossa noin 695 milj. euroa (sarake H).</t>
  </si>
  <si>
    <t xml:space="preserve">Uudistuksen myötä kuntien osuus työttömyysturvan rahoituksesta kasvaa noin 216 milj. euroa vuoden 2023 tasossa (sarake I). </t>
  </si>
  <si>
    <t>Uudistuksen kustannusarvio perustuu  työttömyysetuusjaksojen kertymään vuonna 2023.</t>
  </si>
  <si>
    <t>Kuntien laajeneva rahoitusosuus korvataan valtionosuuden lisäyksenä (ks. Välilehti Muut lis_väh).</t>
  </si>
  <si>
    <t>Palvelut + toimintamenot</t>
  </si>
  <si>
    <t>Perushinnat, €</t>
  </si>
  <si>
    <t xml:space="preserve"> </t>
  </si>
  <si>
    <t xml:space="preserve">  </t>
  </si>
  <si>
    <t xml:space="preserve">Määräytymistekijät </t>
  </si>
  <si>
    <t>Väestö, 18-64-vuotiaat</t>
  </si>
  <si>
    <t>Vieraskieliset</t>
  </si>
  <si>
    <t>Väestö, 18-64-vuotiaat (2023)</t>
  </si>
  <si>
    <t>Työttömät ja palveluissa olevat (2023)</t>
  </si>
  <si>
    <t>Vieraskieliset (2023)</t>
  </si>
  <si>
    <t xml:space="preserve">Vuoden 2025 valtionosuutta koskevat tiedot ovat yhä alustavia ja ne tulevat päivittymään valtion talousarvioesityksen valmistelun yhteydessä. </t>
  </si>
  <si>
    <t xml:space="preserve">Laskelman viimeisillä välilehdiltä löytyy tarkempaa tietoa TE-uudistuksen vaikutuksista peruspalveluiden valtionosuuteen vuonna 2025. </t>
  </si>
  <si>
    <t xml:space="preserve"> Vuonna 2025  rahoituksesta 50 % määräytyy kustannusten mukaan (ks seuraava välilehti)</t>
  </si>
  <si>
    <t xml:space="preserve">Vastaavasti laskennallisesta rahoituksesta vähennetään 50 %  </t>
  </si>
  <si>
    <t xml:space="preserve">Tämä tiedosto sisältää ennakollisen kuntakohtaisen laskelman vuodelle 2025 myönnettävistä kuntien peruspalvelujen valtionosuuksista, kotikuntakorvauksista sekä veromenetysten korvauksista. </t>
  </si>
  <si>
    <t>TE25: Uudistuksen rahoituksen siirtymäajan porrastus (50 % kustannusperusteinen / 50 % vos-kriteerit)</t>
  </si>
  <si>
    <t>Siirtymäajan rahoituksen vaikutus nettona (ks välilehti Muut lis_väh)</t>
  </si>
  <si>
    <t>Siirtyvän henkilöstön ELY-keskus ja TE-toimistokohtaiset toimintamenot</t>
  </si>
  <si>
    <t>Valtakunnalliset toimintamenot</t>
  </si>
  <si>
    <t>Toimintamenot yhteensä</t>
  </si>
  <si>
    <t>Kotoutumiskoulutus</t>
  </si>
  <si>
    <t>Arvio työvoimapalveluiden kustannuksista vuonna 2023, €.</t>
  </si>
  <si>
    <t>Työvoimaviranomaisille siirtyvä kotoutumiskoulutus</t>
  </si>
  <si>
    <t>Muu työvoimakoulutus</t>
  </si>
  <si>
    <t>Valmennus</t>
  </si>
  <si>
    <t>Yksityisen sektorin palkkatuettu työ</t>
  </si>
  <si>
    <t>Julkisen sektorin palkkatuettu työ</t>
  </si>
  <si>
    <t>Starttiraha</t>
  </si>
  <si>
    <t>Muut palvelut</t>
  </si>
  <si>
    <t>Palvelut yhteensä</t>
  </si>
  <si>
    <t>Palvelut + toimintamenot, huomioitu vuonna 2025 poistuvat tehtävät</t>
  </si>
  <si>
    <t>TE-palvelut, valtiolta kunnille siirtyvien tehtävien rahoitus kuntakohtaisesti</t>
  </si>
  <si>
    <t>Julkisten työvoima- ja yrityspalveluiden rahoituksen siirto kunnille</t>
  </si>
  <si>
    <t>ELY-keskusten toimintamenojen siirto kunnille</t>
  </si>
  <si>
    <t>TE-toimistojen toimintamenojen siirto kunnille</t>
  </si>
  <si>
    <t>Perusturvan palkkatuen ja starttirahan siirto kunnille</t>
  </si>
  <si>
    <t>Ansioturvan palkkatuen ja starttirahan siirto kunnille</t>
  </si>
  <si>
    <t>Työurien pidentämistä koskevien toimien rahoituksen siirto kunnille</t>
  </si>
  <si>
    <t>Kotoutumislain kokonaisuudistus</t>
  </si>
  <si>
    <t>Maahanmuuttajaäitien aseman parantaminen (HO 2023)</t>
  </si>
  <si>
    <t>Pakolaiskiintiön lasku 500 henkilöön, kotoutumiskoulutus (HO 2023)</t>
  </si>
  <si>
    <t>Ruotsinkielinen kotoutumiskoulutus (HO 2023)</t>
  </si>
  <si>
    <t>Siirrot muilta momenteilta peruspalvelujen valtionosuusmomentille</t>
  </si>
  <si>
    <t>Kuntien työllistämisvelvoitteen kumoaminen</t>
  </si>
  <si>
    <t>NETTO</t>
  </si>
  <si>
    <t xml:space="preserve">Skaalattu siirtyvän rahoituksen tasoon </t>
  </si>
  <si>
    <t>Kuntien palkkatuen rajoittaminen</t>
  </si>
  <si>
    <t>Siirtymäajan rahoitus:</t>
  </si>
  <si>
    <t>Palveluiden rahoitus siirtymäajan rahoitus ja tehtävämuutokset huomioiden vuonna 2025</t>
  </si>
  <si>
    <t>Jakautuminen kriteereihin:</t>
  </si>
  <si>
    <t>TE- ja kotoutumispalvelut, valtiolta kunnille siirtyvien palveluiden rahoitus koko maan tasolla</t>
  </si>
  <si>
    <t>TE- ja kotoutumispalveluihin liittyvät tehtävämuuokset, joiden on esitetty tulevan voimaan vuonna 2025</t>
  </si>
  <si>
    <t>Työvoimapalveluiden järjestämisestä annetun lain mukaiset tehtävät (siirtymäajan rahoitus)</t>
  </si>
  <si>
    <t>Kotoutumisen edistämisestä annetun lain mukaiset tehtävät (täysin laskennallinen rahoitus)</t>
  </si>
  <si>
    <t>Perushinta, €</t>
  </si>
  <si>
    <t>Kotoutumislain mukaiset tehtävät (täysin laskennallinen rahoitus vieraskielisyyskriteerillä)</t>
  </si>
  <si>
    <t xml:space="preserve"> Vuonna 2025  rahoituksesta 50 % määräytyy kustannusten mukaan</t>
  </si>
  <si>
    <t>Laskennallisen rahoituksen muodostuminen, siirtymäajan rahoituksessa huomioitavat erät:</t>
  </si>
  <si>
    <t>Saaristoväestö 2023</t>
  </si>
  <si>
    <t>VM/KAO Kesäkuu 2024</t>
  </si>
  <si>
    <t>Kuntanumero /opetuksen järjestäjän tunnus</t>
  </si>
  <si>
    <t>Kunta /opetuksen järjestäjä</t>
  </si>
  <si>
    <t>Kotikuntakorvaukset, tulot</t>
  </si>
  <si>
    <t>Alv</t>
  </si>
  <si>
    <t>Kotikuntakorvaukset, menot</t>
  </si>
  <si>
    <t>Kotikuntakorvaukset, netto</t>
  </si>
  <si>
    <t>(valtio / kotikuntaa vailla olevien menot)</t>
  </si>
  <si>
    <t>ALAJÄRVEN KAUPUNKI</t>
  </si>
  <si>
    <t>ALAVIESKAN KUNTA</t>
  </si>
  <si>
    <t>ALAVUDEN KAUPUNKI</t>
  </si>
  <si>
    <t>ASIKKALAN KUNTA</t>
  </si>
  <si>
    <t>ASKOLAN KUNTA</t>
  </si>
  <si>
    <t>AURAN KUNTA</t>
  </si>
  <si>
    <t>AKAAN KAUPUNKI</t>
  </si>
  <si>
    <t>ENONKOSKEN KUNTA</t>
  </si>
  <si>
    <t>ENONTEKIÖN KUNTA</t>
  </si>
  <si>
    <t>ESPOON KAUPUNKI</t>
  </si>
  <si>
    <t>EURAN KUNTA</t>
  </si>
  <si>
    <t>EURAJOEN KUNTA</t>
  </si>
  <si>
    <t>EVIJÄRVEN KUNTA</t>
  </si>
  <si>
    <t>FORSSAN KAUPUNKI</t>
  </si>
  <si>
    <t>HAAPAJÄRVEN KAUPUNKI</t>
  </si>
  <si>
    <t>HAAPAVEDEN KAUPUNKI</t>
  </si>
  <si>
    <t>HAILUODON KUNTA</t>
  </si>
  <si>
    <t>HALSUAN KUNTA</t>
  </si>
  <si>
    <t>HAMINAN KAUPUNKI</t>
  </si>
  <si>
    <t>HANKASALMEN KUNTA</t>
  </si>
  <si>
    <t>HANGON KAUPUNKI</t>
  </si>
  <si>
    <t>HARJAVALLAN KAUPUNKI</t>
  </si>
  <si>
    <t>HARTOLAN KUNTA</t>
  </si>
  <si>
    <t>HATTULAN KUNTA</t>
  </si>
  <si>
    <t>HAUSJÄRVEN KUNTA</t>
  </si>
  <si>
    <t>HEINÄVEDEN KUNTA</t>
  </si>
  <si>
    <t>HELSINGIN KAUPUNKI</t>
  </si>
  <si>
    <t>VANTAAN KAUPUNKI</t>
  </si>
  <si>
    <t>HIRVENSALMEN KUNTA</t>
  </si>
  <si>
    <t>HOLLOLAN KUNTA</t>
  </si>
  <si>
    <t>HUITTISTEN KAUPUNKI</t>
  </si>
  <si>
    <t>HUMPPILAN KUNTA</t>
  </si>
  <si>
    <t>HYRYNSALMEN KUNTA</t>
  </si>
  <si>
    <t>HYVINKÄÄN KAUPUNKI</t>
  </si>
  <si>
    <t>HÄMEENKYRÖN KUNTA</t>
  </si>
  <si>
    <t>HÄMEENLINNAN KAUPUNKI</t>
  </si>
  <si>
    <t>HEINOLAN KAUPUNKI</t>
  </si>
  <si>
    <t>IIN KUNTA</t>
  </si>
  <si>
    <t>IISALMEN KAUPUNKI</t>
  </si>
  <si>
    <t>IITIN KUNTA</t>
  </si>
  <si>
    <t>IKAALISTEN KAUPUNKI</t>
  </si>
  <si>
    <t>ILMAJOEN KUNTA</t>
  </si>
  <si>
    <t>ILOMANTSIN KUNTA</t>
  </si>
  <si>
    <t>INARIN KUNTA</t>
  </si>
  <si>
    <t>ISOJOEN KUNTA</t>
  </si>
  <si>
    <t>ISONKYRÖN KUNTA</t>
  </si>
  <si>
    <t>IMATRAN KAUPUNKI</t>
  </si>
  <si>
    <t>JANAKKALAN KUNTA</t>
  </si>
  <si>
    <t>JOENSUUN KAUPUNKI</t>
  </si>
  <si>
    <t>JOKIOISTEN KUNTA</t>
  </si>
  <si>
    <t>JOROISTEN KUNTA</t>
  </si>
  <si>
    <t>JOUTSAN KUNTA</t>
  </si>
  <si>
    <t>JUUAN KUNTA</t>
  </si>
  <si>
    <t>JUUPAJOEN KUNTA</t>
  </si>
  <si>
    <t>JUVAN KUNTA</t>
  </si>
  <si>
    <t>JYVÄSKYLÄN KAUPUNKI</t>
  </si>
  <si>
    <t>JÄMIJÄRVEN KUNTA</t>
  </si>
  <si>
    <t>JÄMSÄN KAUPUNKI</t>
  </si>
  <si>
    <t>JÄRVENPÄÄN KAUPUNKI</t>
  </si>
  <si>
    <t>KAARINAN KAUPUNKI</t>
  </si>
  <si>
    <t>KAAVIN KUNTA</t>
  </si>
  <si>
    <t>KAJAANIN KAUPUNKI</t>
  </si>
  <si>
    <t>KALAJOEN KAUPUNKI</t>
  </si>
  <si>
    <t>KANGASALAN KAUPUNKI</t>
  </si>
  <si>
    <t>KANGASNIEMEN KUNTA</t>
  </si>
  <si>
    <t>KANKAANPÄÄN KAUPUNKI</t>
  </si>
  <si>
    <t>KANNONKOSKEN KUNTA</t>
  </si>
  <si>
    <t>KANNUKSEN KAUPUNKI</t>
  </si>
  <si>
    <t>KARIJOEN KUNTA</t>
  </si>
  <si>
    <t>KARKKILAN KAUPUNKI</t>
  </si>
  <si>
    <t>KARSTULAN KUNTA</t>
  </si>
  <si>
    <t>KARVIAN KUNTA</t>
  </si>
  <si>
    <t>KAUHAJOEN KAUPUNKI</t>
  </si>
  <si>
    <t>KAUHAVAN KAUPUNKI</t>
  </si>
  <si>
    <t>KAUNIAISTEN KAUPUNKI</t>
  </si>
  <si>
    <t>KAUSTISEN KUNTA</t>
  </si>
  <si>
    <t>KEITELEEN KUNTA</t>
  </si>
  <si>
    <t>KEMIN KAUPUNKI</t>
  </si>
  <si>
    <t>KEMINMAAN KUNTA</t>
  </si>
  <si>
    <t>KEMPELEEN KUNTA</t>
  </si>
  <si>
    <t>KERAVAN KAUPUNKI</t>
  </si>
  <si>
    <t>KEURUUN KAUPUNKI</t>
  </si>
  <si>
    <t>KIHNIÖN KUNTA</t>
  </si>
  <si>
    <t>KINNULAN KUNTA</t>
  </si>
  <si>
    <t>KIRKKONUMMEN KUNTA</t>
  </si>
  <si>
    <t>KITEEN KAUPUNKI</t>
  </si>
  <si>
    <t>KITTILÄN KUNTA</t>
  </si>
  <si>
    <t>KIURUVEDEN KAUPUNKI</t>
  </si>
  <si>
    <t>KIVIJÄRVEN KUNTA</t>
  </si>
  <si>
    <t>KOKEMÄEN KAUPUNKI</t>
  </si>
  <si>
    <t>KOKKOLAN KAUPUNKI</t>
  </si>
  <si>
    <t>KOLARIN KUNTA</t>
  </si>
  <si>
    <t>KONNEVEDEN KUNTA</t>
  </si>
  <si>
    <t>KONTIOLAHDEN KUNTA</t>
  </si>
  <si>
    <t>KORSNÄS KOMMUN</t>
  </si>
  <si>
    <t>KOSKEN TL KUNTA</t>
  </si>
  <si>
    <t>KOTKAN KAUPUNKI</t>
  </si>
  <si>
    <t>KOUVOLAN KAUPUNKI</t>
  </si>
  <si>
    <t>KRONOBY KOMMUN</t>
  </si>
  <si>
    <t>KUHMON KAUPUNKI</t>
  </si>
  <si>
    <t>KUHMOISTEN KUNTA</t>
  </si>
  <si>
    <t>KUOPION KAUPUNKI</t>
  </si>
  <si>
    <t>KUORTANEEN KUNTA</t>
  </si>
  <si>
    <t>KURIKAN KAUPUNKI</t>
  </si>
  <si>
    <t>KUSTAVIN KUNTA</t>
  </si>
  <si>
    <t>KUUSAMON KAUPUNKI</t>
  </si>
  <si>
    <t>OUTOKUMMUN KAUPUNKI</t>
  </si>
  <si>
    <t>KYYJÄRVEN KUNTA</t>
  </si>
  <si>
    <t>KÄRKÖLÄN KUNTA</t>
  </si>
  <si>
    <t>KÄRSÄMÄEN KUNTA</t>
  </si>
  <si>
    <t>KEMIJÄRVEN KAUPUNKI</t>
  </si>
  <si>
    <t>LAHDEN KAUPUNKI</t>
  </si>
  <si>
    <t>LAIHIAN KUNTA</t>
  </si>
  <si>
    <t>LAITILAN KAUPUNKI</t>
  </si>
  <si>
    <t>LAPINLAHDEN KUNTA</t>
  </si>
  <si>
    <t>LAPPAJÄRVEN KUNTA</t>
  </si>
  <si>
    <t>LAPPEENRANNAN KAUPUNKI</t>
  </si>
  <si>
    <t>LAPINJÄRVEN KUNTA</t>
  </si>
  <si>
    <t>LAPUAN KAUPUNKI</t>
  </si>
  <si>
    <t>LAUKAAN KUNTA</t>
  </si>
  <si>
    <t>LEMIN KUNTA</t>
  </si>
  <si>
    <t>LEMPÄÄLÄN KUNTA</t>
  </si>
  <si>
    <t>LEPPÄVIRRAN KUNTA</t>
  </si>
  <si>
    <t>LESTIJÄRVEN KUNTA</t>
  </si>
  <si>
    <t>LIEKSAN KAUPUNKI</t>
  </si>
  <si>
    <t>LIEDON KAUPUNKI</t>
  </si>
  <si>
    <t>LIMINGAN KUNTA</t>
  </si>
  <si>
    <t>LIPERIN KUNTA</t>
  </si>
  <si>
    <t>LOIMAAN KAUPUNKI</t>
  </si>
  <si>
    <t>LOPEN KUNTA</t>
  </si>
  <si>
    <t>LOVIISAN KAUPUNKI</t>
  </si>
  <si>
    <t>LUHANGAN KUNTA</t>
  </si>
  <si>
    <t>LUMIJOEN KUNTA</t>
  </si>
  <si>
    <t>LARSMO KOMMUN</t>
  </si>
  <si>
    <t>LUUMÄEN KUNTA</t>
  </si>
  <si>
    <t>LOHJAN KAUPUNKI</t>
  </si>
  <si>
    <t>MARTTILAN KUNTA</t>
  </si>
  <si>
    <t>MASKUN KUNTA</t>
  </si>
  <si>
    <t>MERIJÄRVEN KUNTA</t>
  </si>
  <si>
    <t>MERIKARVIAN KUNTA</t>
  </si>
  <si>
    <t>MIKKELIN KAUPUNKI</t>
  </si>
  <si>
    <t>MUHOKSEN KUNTA</t>
  </si>
  <si>
    <t>MULTIAN KUNTA</t>
  </si>
  <si>
    <t>MUONION KUNTA</t>
  </si>
  <si>
    <t>MUURAMEN KUNTA</t>
  </si>
  <si>
    <t>MYNÄMÄEN KUNTA</t>
  </si>
  <si>
    <t>MYRSKYLÄN KUNTA</t>
  </si>
  <si>
    <t>MÄNTSÄLÄN KUNTA</t>
  </si>
  <si>
    <t>MÄNTYHARJUN KUNTA</t>
  </si>
  <si>
    <t>MÄNTTÄ-VILPPULAN KAUPUNKI</t>
  </si>
  <si>
    <t>NAANTALIN KAUPUNKI</t>
  </si>
  <si>
    <t>NAKKILAN KUNTA</t>
  </si>
  <si>
    <t>NIVALAN KAUPUNKI</t>
  </si>
  <si>
    <t>NOKIAN KAUPUNKI</t>
  </si>
  <si>
    <t>NOUSIAISTEN KUNTA</t>
  </si>
  <si>
    <t>NURMEKSEN KAUPUNKI</t>
  </si>
  <si>
    <t>NURMIJÄRVEN KUNTA</t>
  </si>
  <si>
    <t>NÄRPES STAD</t>
  </si>
  <si>
    <t>ORIMATTILAN KAUPUNKI</t>
  </si>
  <si>
    <t>ORIPÄÄN KUNTA</t>
  </si>
  <si>
    <t>ORIVEDEN KAUPUNKI</t>
  </si>
  <si>
    <t>OULAISTEN KAUPUNKI</t>
  </si>
  <si>
    <t>OULUN KAUPUNKI</t>
  </si>
  <si>
    <t>PADASJOEN KUNTA</t>
  </si>
  <si>
    <t>PAIMION KAUPUNKI</t>
  </si>
  <si>
    <t>PALTAMON KUNTA</t>
  </si>
  <si>
    <t>PARIKKALAN KUNTA</t>
  </si>
  <si>
    <t>PARKANON KAUPUNKI</t>
  </si>
  <si>
    <t>PELKOSENNIEMEN KUNTA</t>
  </si>
  <si>
    <t>PERHON KUNTA</t>
  </si>
  <si>
    <t>PETÄJÄVEDEN KUNTA</t>
  </si>
  <si>
    <t>PIEKSÄMÄEN KAUPUNKI</t>
  </si>
  <si>
    <t>PIELAVEDEN KUNTA</t>
  </si>
  <si>
    <t>PIHTIPUTAAN KUNTA</t>
  </si>
  <si>
    <t>PIRKKALAN KUNTA</t>
  </si>
  <si>
    <t>POLVIJÄRVEN KUNTA</t>
  </si>
  <si>
    <t>POMARKUN KUNTA</t>
  </si>
  <si>
    <t>PORIN KAUPUNKI</t>
  </si>
  <si>
    <t>PORNAISTEN KUNTA</t>
  </si>
  <si>
    <t>POSION KUNTA</t>
  </si>
  <si>
    <t>PUDASJÄRVEN KAUPUNKI</t>
  </si>
  <si>
    <t>PUKKILAN KUNTA</t>
  </si>
  <si>
    <t>PUNKALAITUMEN KUNTA</t>
  </si>
  <si>
    <t>PUOLANGAN KUNTA</t>
  </si>
  <si>
    <t>PUUMALAN KUNTA</t>
  </si>
  <si>
    <t>PYHTÄÄN KUNTA</t>
  </si>
  <si>
    <t>PYHÄJOEN KUNTA</t>
  </si>
  <si>
    <t>PYHÄJÄRVEN KAUPUNKI</t>
  </si>
  <si>
    <t>PYHÄNNÄN KUNTA</t>
  </si>
  <si>
    <t>PYHÄRANNAN KUNTA</t>
  </si>
  <si>
    <t>PÄLKÄNEEN KUNTA</t>
  </si>
  <si>
    <t>PÖYTYÄN KUNTA</t>
  </si>
  <si>
    <t>PORVOON KAUPUNKI</t>
  </si>
  <si>
    <t>RAAHEN KAUPUNKI</t>
  </si>
  <si>
    <t>RAISION KAUPUNKI</t>
  </si>
  <si>
    <t>RANTASALMEN KUNTA</t>
  </si>
  <si>
    <t>RANUAN KUNTA</t>
  </si>
  <si>
    <t>RAUMAN KAUPUNKI</t>
  </si>
  <si>
    <t>RAUTALAMMIN KUNTA</t>
  </si>
  <si>
    <t>RAUTAVAARAN KUNTA</t>
  </si>
  <si>
    <t>RAUTJÄRVEN KUNTA</t>
  </si>
  <si>
    <t>REISJÄRVEN KUNTA</t>
  </si>
  <si>
    <t>RIIHIMÄEN KAUPUNKI</t>
  </si>
  <si>
    <t>RISTIJÄRVEN KUNTA</t>
  </si>
  <si>
    <t>ROVANIEMEN KAUPUNKI</t>
  </si>
  <si>
    <t>RUOKOLAHDEN KUNTA</t>
  </si>
  <si>
    <t>RUOVEDEN KUNTA</t>
  </si>
  <si>
    <t>RUSKON KUNTA</t>
  </si>
  <si>
    <t>RÄÄKKYLÄN KUNTA</t>
  </si>
  <si>
    <t>SAARIJÄRVEN KAUPUNKI</t>
  </si>
  <si>
    <t>SALLAN KUNTA</t>
  </si>
  <si>
    <t>SALON KAUPUNKI</t>
  </si>
  <si>
    <t>SAUVON KUNTA</t>
  </si>
  <si>
    <t>SAVITAIPALEEN KUNTA</t>
  </si>
  <si>
    <t>SAVONLINNAN KAUPUNKI</t>
  </si>
  <si>
    <t>SAVUKOSKEN KUNTA</t>
  </si>
  <si>
    <t>SEINÄJOEN KAUPUNKI</t>
  </si>
  <si>
    <t>SIEVIN KUNTA</t>
  </si>
  <si>
    <t>SIIKAISTEN KUNTA</t>
  </si>
  <si>
    <t>SIIKAJOEN KUNTA</t>
  </si>
  <si>
    <t>SIILINJÄRVEN KUNTA</t>
  </si>
  <si>
    <t>SIMON KUNTA</t>
  </si>
  <si>
    <t>SIUNTION KUNTA</t>
  </si>
  <si>
    <t>SODANKYLÄN KUNTA</t>
  </si>
  <si>
    <t>SOININ KUNTA</t>
  </si>
  <si>
    <t>SOMERON KAUPUNKI</t>
  </si>
  <si>
    <t>SONKAJÄRVEN KUNTA</t>
  </si>
  <si>
    <t>SOTKAMON KUNTA</t>
  </si>
  <si>
    <t>SULKAVAN KUNTA</t>
  </si>
  <si>
    <t>SUOMUSSALMEN KUNTA</t>
  </si>
  <si>
    <t>SUONENJOEN KAUPUNKI</t>
  </si>
  <si>
    <t>SYSMÄN KUNTA</t>
  </si>
  <si>
    <t>SÄKYLÄN KUNTA</t>
  </si>
  <si>
    <t>VAALAN KUNTA</t>
  </si>
  <si>
    <t>SASTAMALAN KAUPUNKI</t>
  </si>
  <si>
    <t>SIIKALATVAN KUNTA</t>
  </si>
  <si>
    <t>TAIPALSAAREN KUNTA</t>
  </si>
  <si>
    <t>TAIVALKOSKEN KUNTA</t>
  </si>
  <si>
    <t>TAIVASSALON KUNTA</t>
  </si>
  <si>
    <t>TAMMELAN KUNTA</t>
  </si>
  <si>
    <t>TAMPEREEN KAUPUNKI</t>
  </si>
  <si>
    <t>TERVON KUNTA</t>
  </si>
  <si>
    <t>TERVOLAN KUNTA</t>
  </si>
  <si>
    <t>TEUVAN KUNTA</t>
  </si>
  <si>
    <t>TOHMAJÄRVEN KUNTA</t>
  </si>
  <si>
    <t>TOHOLAMMIN KUNTA</t>
  </si>
  <si>
    <t>TOIVAKAN KUNTA</t>
  </si>
  <si>
    <t>TORNION KAUPUNKI</t>
  </si>
  <si>
    <t>TURUN KAUPUNKI</t>
  </si>
  <si>
    <t>PELLON KUNTA</t>
  </si>
  <si>
    <t>TUUSNIEMEN KUNTA</t>
  </si>
  <si>
    <t>TUUSULAN KUNTA</t>
  </si>
  <si>
    <t>TYRNÄVÄN KUNTA</t>
  </si>
  <si>
    <t>ULVILAN KAUPUNKI</t>
  </si>
  <si>
    <t>URJALAN KUNTA</t>
  </si>
  <si>
    <t>UTAJÄRVEN KUNTA</t>
  </si>
  <si>
    <t>UTSJOEN KUNTA</t>
  </si>
  <si>
    <t>UURAISTEN KUNTA</t>
  </si>
  <si>
    <t>UUDENKAUPUNGIN KAUPUNKI</t>
  </si>
  <si>
    <t>VAASAN KAUPUNKI</t>
  </si>
  <si>
    <t>VALKEAKOSKEN KAUPUNKI</t>
  </si>
  <si>
    <t>VARKAUDEN KAUPUNKI</t>
  </si>
  <si>
    <t>VEHMAAN KUNTA</t>
  </si>
  <si>
    <t>VESANNON KUNTA</t>
  </si>
  <si>
    <t>VESILAHDEN KUNTA</t>
  </si>
  <si>
    <t>VETELIN KUNTA</t>
  </si>
  <si>
    <t>VIEREMÄN KUNTA</t>
  </si>
  <si>
    <t>VIHDIN KUNTA</t>
  </si>
  <si>
    <t>VIITASAAREN KAUPUNKI</t>
  </si>
  <si>
    <t>VIROLAHDEN KUNTA</t>
  </si>
  <si>
    <t>VIRTAIN KAUPUNKI</t>
  </si>
  <si>
    <t>YLITORNION KUNTA</t>
  </si>
  <si>
    <t>YLIVIESKAN KAUPUNKI</t>
  </si>
  <si>
    <t>YLÖJÄRVEN KAUPUNKI</t>
  </si>
  <si>
    <t>YPÄJÄN KUNTA</t>
  </si>
  <si>
    <t>ÄHTÄRIN KAUPUNKI</t>
  </si>
  <si>
    <t>ÄÄNEKOSKEN KAUPUNKI</t>
  </si>
  <si>
    <t>Kotikuntakorvaukset vuonna 2025, yhteenveto</t>
  </si>
  <si>
    <t>Oppilastiedot 15.12.2023 mukaisia.</t>
  </si>
  <si>
    <t>Perushinta vuoden 2024 mukaisena, päivittyy syksyllä 2025.</t>
  </si>
  <si>
    <r>
      <t xml:space="preserve">Perushinta vuodelle </t>
    </r>
    <r>
      <rPr>
        <b/>
        <sz val="11"/>
        <color rgb="FFFF0000"/>
        <rFont val="Arial"/>
        <family val="2"/>
      </rPr>
      <t>2024</t>
    </r>
    <r>
      <rPr>
        <b/>
        <sz val="11"/>
        <rFont val="Arial"/>
        <family val="2"/>
      </rPr>
      <t>:</t>
    </r>
  </si>
  <si>
    <t>INGÅ KOMMUN</t>
  </si>
  <si>
    <t>KASKISTEN KAUPUNKI KASKÖ STAD</t>
  </si>
  <si>
    <t>KRISTINESTAD STAD</t>
  </si>
  <si>
    <t>KIMITOÖNS KOMMUN</t>
  </si>
  <si>
    <t>PARGAS STAD</t>
  </si>
  <si>
    <t>MALAX KOMMUN</t>
  </si>
  <si>
    <t>MIEHIKKÄLÄ</t>
  </si>
  <si>
    <t>KORSHOLMS KOMMUN</t>
  </si>
  <si>
    <t>JAKOBSTADS STAD</t>
  </si>
  <si>
    <t>PEDERSÖRE KOMMUN</t>
  </si>
  <si>
    <t>RASEBORGS STAD</t>
  </si>
  <si>
    <t>SIPOON KUNTA SIBBO KOMMUN</t>
  </si>
  <si>
    <t>NYKARLEBY STAD</t>
  </si>
  <si>
    <t>VIMPELI</t>
  </si>
  <si>
    <t>VÖRÅ KOMMUN</t>
  </si>
  <si>
    <t>ANNA TAPION SÄÄTIÖ SR</t>
  </si>
  <si>
    <t>HELSINGIN UUSI YHTEISKOULU OSA</t>
  </si>
  <si>
    <t>ENGLANTILAISEN KOULUN SÄÄTIÖ S</t>
  </si>
  <si>
    <t>LAHDEN RUDOLF STEINER-KOULUN K</t>
  </si>
  <si>
    <t>HELSINGIN RUDOLF STEINER-KOULU</t>
  </si>
  <si>
    <t>JYVÄSKYLÄN SEUDUN STEINERKOULU</t>
  </si>
  <si>
    <t>RUDOLF STEINER-PEDAGOGIKENS VÄ</t>
  </si>
  <si>
    <t>ROVANIEMEN SEUDUN STEINERKOULU</t>
  </si>
  <si>
    <t>KUOPION STEINERKOULUYHDISTYS R</t>
  </si>
  <si>
    <t>KESKI-UUDENMAAN KRISTILLISEN K</t>
  </si>
  <si>
    <t>CONFIDO POHJANMAAN KRISTILLINE</t>
  </si>
  <si>
    <t>LAUTTASAAREN YHTEISKOULUN SÄÄT</t>
  </si>
  <si>
    <t>HELSINGIN EUROOPPALAINEN KOU</t>
  </si>
  <si>
    <t>Kotikuntakorvaus, netto</t>
  </si>
  <si>
    <t xml:space="preserve">Laskelmaan on kesäkuussa tehty päivityksiä erityisesti TE-uudistuksen johdosta. Siirttymäajan rahoituksessa käytettävät kustannustiedot on päivitetty vuoden 2023 mukaisiksi. TE-uudistusta koskeva kokonaisuus kuvataan tarkemmin excel-tiedoston viimeisillä välilehdillä. </t>
  </si>
  <si>
    <r>
      <t xml:space="preserve">Ennakkotietojen perusteella kuntien peruspalvelujen valtionosuusprosentti on </t>
    </r>
    <r>
      <rPr>
        <sz val="11"/>
        <rFont val="Arial"/>
        <family val="2"/>
        <scheme val="minor"/>
      </rPr>
      <t xml:space="preserve">24,58 prosenttia vuonna 2025. </t>
    </r>
    <r>
      <rPr>
        <sz val="11"/>
        <color theme="1"/>
        <rFont val="Arial"/>
        <family val="2"/>
        <scheme val="minor"/>
      </rPr>
      <t>Valtionosuusprosentissa on otettu huomioon lisäyksenä 4,86</t>
    </r>
    <r>
      <rPr>
        <sz val="11"/>
        <color rgb="FFFF0000"/>
        <rFont val="Arial"/>
        <family val="2"/>
        <scheme val="minor"/>
      </rPr>
      <t xml:space="preserve"> </t>
    </r>
    <r>
      <rPr>
        <sz val="11"/>
        <color theme="1"/>
        <rFont val="Arial"/>
        <family val="2"/>
        <scheme val="minor"/>
      </rPr>
      <t>prosenttiyksikköä liittyen uusien ja laajenevien tehtävien toteuttamiseen siten, että valtionosuus on 100 %. Merkittävin tehtävämuutos on kunnille vuoden 2025 alusta siirtyvät työvoimapalvelut.</t>
    </r>
    <r>
      <rPr>
        <sz val="11"/>
        <rFont val="Arial"/>
        <family val="2"/>
        <scheme val="minor"/>
      </rPr>
      <t xml:space="preserve"> Valtionosuusprosenttiin viedyt pysyvät lisäykset ja vähennykset (kuten sote-siirrosta aiheutuva pysyvä vähennys ja pysyvä 277 milj. lisäys) pienentävät valtionosuusprosenttia nettona 2,6 yksiköllä</t>
    </r>
    <r>
      <rPr>
        <sz val="11"/>
        <color theme="1"/>
        <rFont val="Arial"/>
        <family val="2"/>
        <scheme val="minor"/>
      </rPr>
      <t xml:space="preserve">. </t>
    </r>
  </si>
  <si>
    <r>
      <t>Peruspalvelujen valtionosuuden indeksikorotus vuodelle 2025 on arviolta 3,1 prosenttia ja siitä aiheutuva valtionosuuden lisäy</t>
    </r>
    <r>
      <rPr>
        <sz val="11"/>
        <rFont val="Arial"/>
        <family val="2"/>
        <scheme val="minor"/>
      </rPr>
      <t>s n. 76 miljoonaa euroa</t>
    </r>
    <r>
      <rPr>
        <sz val="11"/>
        <color theme="1"/>
        <rFont val="Arial"/>
        <family val="2"/>
        <scheme val="minor"/>
      </rPr>
      <t xml:space="preserve">. Hallitusohjelman mukaisesti peruspalvelujen valtionosuuden indeksikorotukseen tehdään yhtä prosenttiyksikköä vastaava vähennys vuosina 2024—2027. Vuonna 2025 vähennys pienentää valtionosuutta </t>
    </r>
    <r>
      <rPr>
        <sz val="11"/>
        <rFont val="Arial"/>
        <family val="2"/>
        <scheme val="minor"/>
      </rPr>
      <t>n. 24 miljoonaa euroa.</t>
    </r>
  </si>
  <si>
    <t>Kotikuntakorvauksissa on huomioitu uusimmat oppilastiedot 15.12.2023 ajankohdan mukaisina. Kotikuntakorvauksen perusosaa ei olla päivitetty, tiedot saadaan syksyllä 2024.</t>
  </si>
  <si>
    <t>Unna Heimberg, neuvotteleva virkamies</t>
  </si>
  <si>
    <t xml:space="preserve">Välilehdellä on kuvattu, miten palveluihin myönnettävä rahoitus muodostuu kuntakohtaisesti. </t>
  </si>
  <si>
    <t xml:space="preserve">Siirtymäajan aikana osa laskennallisesta rahoituksesta korvataan kustannustietoihin perustuvalla rahoituksella. </t>
  </si>
  <si>
    <t xml:space="preserve">Kotoutumislain mukaisiin tehtäviin myönnettävä rahoitus ei sisälly siirtymäaikaan, eli rahoitus on täysin laskennallista. </t>
  </si>
  <si>
    <t xml:space="preserve">Yhteenlaskettu summa työvoima- ja kotoutumispalveluiden rahoitukseen vuonna 2025 löytyy sarakkeesta R. </t>
  </si>
  <si>
    <t>Huom! Rahoitus on yleiskatteista, eli kunnat voivat käyttää rahoitusta haluamallaan tavalla lainsäädäntö huomioiden.</t>
  </si>
  <si>
    <t xml:space="preserve">Arviota käytetään siirtymäajan rahoituksen laskennassa vuonna 2025. </t>
  </si>
  <si>
    <t>Siirtymäajan rahoitukseen vuodelle 2026 käytetään vuoden 2024 arvioita työvoimapalveluiden kustannuksista.</t>
  </si>
  <si>
    <t>Mäntyharju ja Pertunmaa esitetty erikseen.</t>
  </si>
  <si>
    <t>Jälkikäteistarkistuksesta johtuva valtionosuuden  lisäsiirtotarve vuodelta 2023, 501 milj. € (1/3)</t>
  </si>
  <si>
    <t>Laskelmassa on huomioitu Mäntyharjun ja Pertunmaan kuntaliitos. TE-välilehdillä kunnat on esitetty edelleen erikseen.</t>
  </si>
  <si>
    <t>Poistuvaksi ehdotettu  palkkatuki</t>
  </si>
  <si>
    <t>Keskimääräinen tuloveroprosentti: 7,38</t>
  </si>
  <si>
    <t>Tasausraja: 2133,76 euroa/as</t>
  </si>
  <si>
    <t>Poistuva velvoitetyöllistäminen</t>
  </si>
  <si>
    <t>Muutos työmarkkinatuen rahoitusvastuussa</t>
  </si>
  <si>
    <t>*Työmarkkinatuen uuden rahoitusvastuun muodostuminen (tarkempi erittely):</t>
  </si>
  <si>
    <t>Uudistuksen mukainen osuus työmarkkinatuesta, kotoutujia ei poistettu</t>
  </si>
  <si>
    <t>Uudistuksen mukainen osuus työmarkkinatuesta, kotoutujat poistettu</t>
  </si>
  <si>
    <t>Uudistuksen mukainen osuus työmarkkinatuesta, keskiarvo</t>
  </si>
  <si>
    <t>Uudistuksen mukainen osuus työmarkkinatuesta*</t>
  </si>
  <si>
    <t>Verotuloihin perustuva valtionosuuden tasaus perustuu valtiovarainministeriön huhtikuussa tekemiin veroennusteisiin. Kiinteistöveron ennakkotiedot vuodelta 2023 on päivitetty verohallinnon uusimman tiedon mukaisiksi.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</si>
</sst>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3" formatCode="_-* #,##0.00_-;\-* #,##0.00_-;_-* &quot;-&quot;??_-;_-@_-"/>
    <numFmt numFmtId="164" formatCode="_-* #,##0.00\ _€_-;\-* #,##0.00\ _€_-;_-* &quot;-&quot;??\ _€_-;_-@_-"/>
    <numFmt numFmtId="165" formatCode="#,##0.00000"/>
    <numFmt numFmtId="166" formatCode="#,##0_ ;[Red]\-#,##0\ "/>
    <numFmt numFmtId="167" formatCode="#,##0_ ;\-#,##0\ "/>
    <numFmt numFmtId="168" formatCode="0.0000"/>
    <numFmt numFmtId="169" formatCode="0.000"/>
    <numFmt numFmtId="170" formatCode="0.0\ %"/>
    <numFmt numFmtId="171" formatCode="0.00000"/>
    <numFmt numFmtId="172" formatCode="#,##0.00\ &quot;€&quot;"/>
    <numFmt numFmtId="173" formatCode="#,##0.000"/>
    <numFmt numFmtId="174" formatCode="#,##0.00_ ;[Red]\-#,##0.00\ "/>
    <numFmt numFmtId="175" formatCode="#,##0.000_ ;[Red]\-#,##0.000\ "/>
    <numFmt numFmtId="176" formatCode="0.0"/>
    <numFmt numFmtId="177" formatCode="#,##0.0"/>
    <numFmt numFmtId="178" formatCode="#,##0.0000"/>
    <numFmt numFmtId="179" formatCode="#,##0.0000_ ;[Red]\-#,##0.0000\ "/>
    <numFmt numFmtId="180" formatCode="000"/>
    <numFmt numFmtId="181" formatCode="_-* #,##0_-;\-* #,##0_-;_-* &quot;-&quot;??_-;_-@_-"/>
  </numFmts>
  <fonts count="64">
    <font>
      <sz val="11"/>
      <color theme="1"/>
      <name val="Arial"/>
      <family val="2"/>
      <scheme val="minor"/>
    </font>
    <font>
      <sz val="11"/>
      <color theme="1"/>
      <name val="Arial"/>
      <family val="2"/>
      <scheme val="minor"/>
    </font>
    <font>
      <b/>
      <sz val="11"/>
      <color theme="1"/>
      <name val="Arial"/>
      <family val="2"/>
      <scheme val="minor"/>
    </font>
    <font>
      <sz val="11"/>
      <color theme="1"/>
      <name val="Arial"/>
      <family val="2"/>
    </font>
    <font>
      <b/>
      <sz val="8"/>
      <name val="Arial"/>
      <family val="2"/>
    </font>
    <font>
      <sz val="8"/>
      <name val="Arial"/>
      <family val="2"/>
    </font>
    <font>
      <sz val="8"/>
      <color rgb="FFFF0000"/>
      <name val="Arial"/>
      <family val="2"/>
    </font>
    <font>
      <sz val="8"/>
      <color theme="1"/>
      <name val="Arial"/>
      <family val="2"/>
    </font>
    <font>
      <sz val="11"/>
      <name val="Arial"/>
      <family val="2"/>
    </font>
    <font>
      <b/>
      <sz val="11"/>
      <name val="Arial"/>
      <family val="2"/>
    </font>
    <font>
      <sz val="11"/>
      <color rgb="FFFF0000"/>
      <name val="Arial"/>
      <family val="2"/>
    </font>
    <font>
      <u/>
      <sz val="11"/>
      <name val="Arial"/>
      <family val="2"/>
    </font>
    <font>
      <b/>
      <sz val="11"/>
      <color theme="1"/>
      <name val="Arial"/>
      <family val="2"/>
    </font>
    <font>
      <b/>
      <sz val="8"/>
      <color theme="1"/>
      <name val="Arial"/>
      <family val="2"/>
    </font>
    <font>
      <sz val="11"/>
      <color indexed="8"/>
      <name val="Arial"/>
      <family val="2"/>
    </font>
    <font>
      <sz val="8"/>
      <color indexed="8"/>
      <name val="Arial"/>
      <family val="2"/>
    </font>
    <font>
      <b/>
      <sz val="8"/>
      <color indexed="8"/>
      <name val="Arial"/>
      <family val="2"/>
    </font>
    <font>
      <b/>
      <sz val="8"/>
      <color rgb="FFFF0000"/>
      <name val="Arial"/>
      <family val="2"/>
    </font>
    <font>
      <sz val="8"/>
      <color indexed="30"/>
      <name val="Arial"/>
      <family val="2"/>
    </font>
    <font>
      <i/>
      <sz val="8"/>
      <color theme="1"/>
      <name val="Arial"/>
      <family val="2"/>
    </font>
    <font>
      <u/>
      <sz val="9"/>
      <color theme="1"/>
      <name val="Arial"/>
      <family val="2"/>
    </font>
    <font>
      <sz val="8"/>
      <color theme="1"/>
      <name val="Arial"/>
      <family val="2"/>
      <scheme val="minor"/>
    </font>
    <font>
      <strike/>
      <sz val="8"/>
      <color theme="1"/>
      <name val="Arial"/>
      <family val="2"/>
    </font>
    <font>
      <u/>
      <sz val="8"/>
      <color theme="1"/>
      <name val="Arial"/>
      <family val="2"/>
    </font>
    <font>
      <strike/>
      <sz val="8"/>
      <color theme="1"/>
      <name val="Arial"/>
      <family val="2"/>
      <scheme val="minor"/>
    </font>
    <font>
      <sz val="9"/>
      <color theme="1"/>
      <name val="Arial"/>
      <family val="2"/>
      <scheme val="minor"/>
    </font>
    <font>
      <sz val="11"/>
      <name val="Arial"/>
      <family val="2"/>
      <scheme val="minor"/>
    </font>
    <font>
      <sz val="9"/>
      <color indexed="8"/>
      <name val="Verdana"/>
      <family val="2"/>
    </font>
    <font>
      <sz val="9"/>
      <name val="Arial"/>
      <family val="2"/>
    </font>
    <font>
      <b/>
      <u/>
      <sz val="11"/>
      <color rgb="FFFF0000"/>
      <name val="Arial"/>
      <family val="2"/>
    </font>
    <font>
      <b/>
      <sz val="11"/>
      <color rgb="FFFF0000"/>
      <name val="Arial"/>
      <family val="2"/>
    </font>
    <font>
      <i/>
      <sz val="11"/>
      <name val="Arial"/>
      <family val="2"/>
    </font>
    <font>
      <u/>
      <sz val="11"/>
      <color rgb="FFFF0000"/>
      <name val="Arial"/>
      <family val="2"/>
    </font>
    <font>
      <b/>
      <sz val="11"/>
      <color theme="0"/>
      <name val="Arial"/>
      <family val="2"/>
      <scheme val="minor"/>
    </font>
    <font>
      <sz val="11"/>
      <color theme="0"/>
      <name val="Arial"/>
      <family val="2"/>
      <scheme val="minor"/>
    </font>
    <font>
      <b/>
      <sz val="11"/>
      <color theme="0"/>
      <name val="Arial"/>
      <family val="2"/>
    </font>
    <font>
      <sz val="11"/>
      <color theme="0"/>
      <name val="Arial"/>
      <family val="2"/>
    </font>
    <font>
      <sz val="8"/>
      <color theme="0"/>
      <name val="Arial"/>
      <family val="2"/>
    </font>
    <font>
      <b/>
      <sz val="11"/>
      <color indexed="8"/>
      <name val="Arial"/>
      <family val="2"/>
    </font>
    <font>
      <b/>
      <u/>
      <sz val="11"/>
      <name val="Arial"/>
      <family val="2"/>
    </font>
    <font>
      <sz val="18"/>
      <color theme="3"/>
      <name val="Arial Narrow"/>
      <family val="2"/>
      <scheme val="major"/>
    </font>
    <font>
      <b/>
      <sz val="11"/>
      <name val="Arial"/>
      <family val="2"/>
    </font>
    <font>
      <sz val="11"/>
      <color rgb="FFFF0000"/>
      <name val="Arial"/>
      <family val="2"/>
      <scheme val="minor"/>
    </font>
    <font>
      <i/>
      <sz val="11"/>
      <color rgb="FFFF0000"/>
      <name val="Arial"/>
      <family val="2"/>
    </font>
    <font>
      <b/>
      <sz val="11"/>
      <color theme="1"/>
      <name val="Arial"/>
      <family val="2"/>
    </font>
    <font>
      <sz val="11"/>
      <color theme="1"/>
      <name val="Arial"/>
      <family val="2"/>
    </font>
    <font>
      <sz val="10"/>
      <name val="Arial"/>
      <family val="2"/>
    </font>
    <font>
      <sz val="10"/>
      <color theme="1"/>
      <name val="Roboto"/>
      <family val="2"/>
    </font>
    <font>
      <sz val="11"/>
      <color rgb="FF000000"/>
      <name val="Arial"/>
      <family val="2"/>
      <scheme val="minor"/>
    </font>
    <font>
      <b/>
      <sz val="11"/>
      <color theme="3"/>
      <name val="Arial"/>
      <family val="2"/>
      <scheme val="minor"/>
    </font>
    <font>
      <b/>
      <sz val="10"/>
      <color theme="1"/>
      <name val="Arial"/>
      <family val="2"/>
      <scheme val="minor"/>
    </font>
    <font>
      <b/>
      <sz val="10"/>
      <color theme="0"/>
      <name val="Arial"/>
      <family val="2"/>
      <scheme val="minor"/>
    </font>
    <font>
      <sz val="10"/>
      <color theme="1"/>
      <name val="Arial"/>
      <family val="2"/>
      <scheme val="minor"/>
    </font>
    <font>
      <b/>
      <sz val="10"/>
      <color theme="3"/>
      <name val="Arial"/>
      <family val="2"/>
      <scheme val="minor"/>
    </font>
    <font>
      <b/>
      <sz val="11"/>
      <color rgb="FF000000"/>
      <name val="Arial"/>
      <family val="2"/>
      <scheme val="minor"/>
    </font>
    <font>
      <b/>
      <sz val="10"/>
      <name val="Arial"/>
      <family val="2"/>
      <scheme val="minor"/>
    </font>
    <font>
      <sz val="10"/>
      <name val="Arial"/>
      <family val="2"/>
      <scheme val="minor"/>
    </font>
    <font>
      <sz val="9"/>
      <color indexed="81"/>
      <name val="Tahoma"/>
      <family val="2"/>
    </font>
    <font>
      <b/>
      <sz val="9"/>
      <color indexed="81"/>
      <name val="Tahoma"/>
      <family val="2"/>
    </font>
    <font>
      <b/>
      <sz val="11"/>
      <color rgb="FF000000"/>
      <name val="Calibri"/>
      <family val="2"/>
    </font>
    <font>
      <sz val="11"/>
      <color theme="1"/>
      <name val="Calibri"/>
      <family val="2"/>
    </font>
    <font>
      <b/>
      <sz val="11"/>
      <color theme="1"/>
      <name val="Calibri"/>
      <family val="2"/>
    </font>
    <font>
      <sz val="8"/>
      <name val="Arial"/>
      <family val="2"/>
      <scheme val="minor"/>
    </font>
    <font>
      <sz val="10"/>
      <color rgb="FFFF0000"/>
      <name val="Arial"/>
      <family val="2"/>
      <scheme val="minor"/>
    </font>
  </fonts>
  <fills count="18">
    <fill>
      <patternFill patternType="none"/>
    </fill>
    <fill>
      <patternFill patternType="gray125"/>
    </fill>
    <fill>
      <patternFill patternType="solid">
        <fgColor theme="8"/>
        <bgColor theme="8"/>
      </patternFill>
    </fill>
    <fill>
      <patternFill patternType="solid">
        <fgColor theme="6"/>
        <bgColor indexed="64"/>
      </patternFill>
    </fill>
    <fill>
      <patternFill patternType="solid">
        <fgColor theme="6"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bgColor theme="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BDD7EE"/>
        <bgColor rgb="FF000000"/>
      </patternFill>
    </fill>
  </fills>
  <borders count="24">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theme="8"/>
      </left>
      <right/>
      <top style="thin">
        <color theme="8"/>
      </top>
      <bottom/>
      <diagonal/>
    </border>
    <border>
      <left/>
      <right/>
      <top style="thin">
        <color theme="8"/>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diagonal/>
    </border>
    <border>
      <left style="thin">
        <color indexed="64"/>
      </left>
      <right/>
      <top style="thin">
        <color theme="4" tint="0.39997558519241921"/>
      </top>
      <bottom/>
      <diagonal/>
    </border>
    <border>
      <left style="thin">
        <color theme="4" tint="0.39997558519241921"/>
      </left>
      <right style="thin">
        <color indexed="64"/>
      </right>
      <top style="thin">
        <color theme="4" tint="0.39997558519241921"/>
      </top>
      <bottom/>
      <diagonal/>
    </border>
    <border>
      <left/>
      <right/>
      <top/>
      <bottom style="thick">
        <color theme="4"/>
      </bottom>
      <diagonal/>
    </border>
  </borders>
  <cellStyleXfs count="11">
    <xf numFmtId="0" fontId="0" fillId="0" borderId="0"/>
    <xf numFmtId="164" fontId="1" fillId="0" borderId="0" applyFont="0" applyFill="0" applyBorder="0" applyAlignment="0" applyProtection="0"/>
    <xf numFmtId="0" fontId="40"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6" fillId="0" borderId="0"/>
    <xf numFmtId="164" fontId="46" fillId="0" borderId="0" applyFont="0" applyFill="0" applyBorder="0" applyAlignment="0" applyProtection="0"/>
    <xf numFmtId="9" fontId="46" fillId="0" borderId="0" applyFont="0" applyFill="0" applyBorder="0" applyAlignment="0" applyProtection="0"/>
    <xf numFmtId="0" fontId="47" fillId="0" borderId="0"/>
    <xf numFmtId="0" fontId="49" fillId="0" borderId="15" applyNumberFormat="0" applyFill="0" applyAlignment="0" applyProtection="0"/>
    <xf numFmtId="0" fontId="49" fillId="0" borderId="0" applyNumberFormat="0" applyFill="0" applyBorder="0" applyAlignment="0" applyProtection="0"/>
  </cellStyleXfs>
  <cellXfs count="550">
    <xf numFmtId="0" fontId="0" fillId="0" borderId="0" xfId="0"/>
    <xf numFmtId="0" fontId="4" fillId="0" borderId="0" xfId="0" applyFont="1" applyBorder="1"/>
    <xf numFmtId="3" fontId="5" fillId="0" borderId="0" xfId="0" applyNumberFormat="1" applyFont="1" applyBorder="1" applyAlignment="1">
      <alignment horizontal="right"/>
    </xf>
    <xf numFmtId="3" fontId="6" fillId="0" borderId="0" xfId="0" applyNumberFormat="1" applyFont="1" applyFill="1" applyBorder="1" applyAlignment="1">
      <alignment horizontal="right"/>
    </xf>
    <xf numFmtId="3" fontId="6" fillId="0" borderId="0" xfId="0" applyNumberFormat="1" applyFont="1" applyBorder="1" applyAlignment="1">
      <alignment horizontal="right"/>
    </xf>
    <xf numFmtId="3" fontId="6" fillId="0" borderId="0" xfId="0" applyNumberFormat="1" applyFont="1" applyBorder="1"/>
    <xf numFmtId="165" fontId="5" fillId="0" borderId="0" xfId="0" applyNumberFormat="1" applyFont="1" applyBorder="1"/>
    <xf numFmtId="3" fontId="5" fillId="0" borderId="0" xfId="0" applyNumberFormat="1" applyFont="1" applyFill="1" applyBorder="1" applyAlignment="1">
      <alignment horizontal="right"/>
    </xf>
    <xf numFmtId="0" fontId="5" fillId="0" borderId="0" xfId="0" applyFont="1" applyBorder="1" applyAlignment="1">
      <alignment horizontal="right"/>
    </xf>
    <xf numFmtId="0" fontId="7" fillId="0" borderId="0" xfId="0" applyFont="1" applyBorder="1"/>
    <xf numFmtId="166" fontId="7" fillId="0" borderId="0" xfId="0" applyNumberFormat="1" applyFont="1"/>
    <xf numFmtId="0" fontId="7" fillId="0" borderId="0" xfId="0" applyFont="1"/>
    <xf numFmtId="0" fontId="8" fillId="0" borderId="0" xfId="0" applyFont="1" applyBorder="1"/>
    <xf numFmtId="0" fontId="9" fillId="0" borderId="0" xfId="0" applyFont="1" applyBorder="1"/>
    <xf numFmtId="3" fontId="8" fillId="0" borderId="0" xfId="0" applyNumberFormat="1" applyFont="1" applyBorder="1" applyAlignment="1">
      <alignment horizontal="right"/>
    </xf>
    <xf numFmtId="3" fontId="8" fillId="0" borderId="0" xfId="0" applyNumberFormat="1" applyFont="1" applyFill="1" applyBorder="1" applyAlignment="1">
      <alignment horizontal="right"/>
    </xf>
    <xf numFmtId="4" fontId="8" fillId="0" borderId="0" xfId="0" applyNumberFormat="1" applyFont="1" applyBorder="1" applyAlignment="1">
      <alignment horizontal="right"/>
    </xf>
    <xf numFmtId="3" fontId="8" fillId="0" borderId="0" xfId="0" applyNumberFormat="1" applyFont="1" applyBorder="1"/>
    <xf numFmtId="0" fontId="8" fillId="0" borderId="0" xfId="0" applyFont="1" applyBorder="1" applyAlignment="1">
      <alignment horizontal="right"/>
    </xf>
    <xf numFmtId="4" fontId="8" fillId="0" borderId="0" xfId="0" applyNumberFormat="1" applyFont="1" applyBorder="1" applyAlignment="1">
      <alignment horizontal="left"/>
    </xf>
    <xf numFmtId="3" fontId="8" fillId="0" borderId="0" xfId="0" applyNumberFormat="1" applyFont="1" applyBorder="1" applyAlignment="1">
      <alignment horizontal="left"/>
    </xf>
    <xf numFmtId="3" fontId="7" fillId="0" borderId="0" xfId="0" applyNumberFormat="1" applyFont="1"/>
    <xf numFmtId="0" fontId="9" fillId="0" borderId="2" xfId="0" applyFont="1" applyBorder="1"/>
    <xf numFmtId="0" fontId="3" fillId="0" borderId="0" xfId="0" applyFont="1"/>
    <xf numFmtId="3" fontId="10" fillId="0" borderId="0" xfId="0" applyNumberFormat="1" applyFont="1" applyFill="1" applyBorder="1" applyAlignment="1">
      <alignment horizontal="right"/>
    </xf>
    <xf numFmtId="3" fontId="7" fillId="0" borderId="0" xfId="0" applyNumberFormat="1" applyFont="1" applyBorder="1"/>
    <xf numFmtId="3" fontId="9" fillId="0" borderId="0" xfId="0" applyNumberFormat="1" applyFont="1" applyFill="1" applyBorder="1" applyAlignment="1">
      <alignment horizontal="right"/>
    </xf>
    <xf numFmtId="4" fontId="9" fillId="0" borderId="0" xfId="0" applyNumberFormat="1" applyFont="1" applyBorder="1" applyAlignment="1">
      <alignment horizontal="right"/>
    </xf>
    <xf numFmtId="3" fontId="9" fillId="0" borderId="0" xfId="0" applyNumberFormat="1" applyFont="1" applyBorder="1" applyAlignment="1">
      <alignment horizontal="right"/>
    </xf>
    <xf numFmtId="3" fontId="12" fillId="0" borderId="0" xfId="0" applyNumberFormat="1" applyFont="1" applyBorder="1"/>
    <xf numFmtId="0" fontId="13" fillId="0" borderId="0" xfId="0" applyFont="1"/>
    <xf numFmtId="0" fontId="2" fillId="0" borderId="0" xfId="0" applyFont="1"/>
    <xf numFmtId="3" fontId="14" fillId="0" borderId="0" xfId="0" applyNumberFormat="1" applyFont="1" applyFill="1" applyBorder="1" applyAlignment="1"/>
    <xf numFmtId="3" fontId="8" fillId="0" borderId="0" xfId="0" applyNumberFormat="1" applyFont="1" applyFill="1" applyBorder="1" applyAlignment="1" applyProtection="1">
      <alignment horizontal="right"/>
    </xf>
    <xf numFmtId="166" fontId="8" fillId="0" borderId="0" xfId="0" applyNumberFormat="1" applyFont="1" applyFill="1" applyBorder="1" applyAlignment="1">
      <alignment horizontal="right"/>
    </xf>
    <xf numFmtId="3" fontId="3" fillId="0" borderId="0" xfId="0" applyNumberFormat="1" applyFont="1" applyBorder="1"/>
    <xf numFmtId="0" fontId="9" fillId="0" borderId="0" xfId="0" applyFont="1" applyFill="1" applyBorder="1"/>
    <xf numFmtId="167" fontId="8" fillId="0" borderId="0" xfId="0" applyNumberFormat="1" applyFont="1" applyBorder="1" applyAlignment="1">
      <alignment horizontal="right"/>
    </xf>
    <xf numFmtId="3" fontId="9" fillId="0" borderId="0" xfId="0" applyNumberFormat="1" applyFont="1" applyFill="1" applyBorder="1"/>
    <xf numFmtId="167" fontId="8" fillId="0" borderId="0" xfId="0" applyNumberFormat="1" applyFont="1" applyFill="1" applyBorder="1" applyAlignment="1">
      <alignment horizontal="right"/>
    </xf>
    <xf numFmtId="4" fontId="8" fillId="0" borderId="0" xfId="0" applyNumberFormat="1" applyFont="1" applyFill="1" applyBorder="1" applyAlignment="1">
      <alignment horizontal="right"/>
    </xf>
    <xf numFmtId="3" fontId="8" fillId="0" borderId="0" xfId="0" applyNumberFormat="1" applyFont="1" applyFill="1" applyBorder="1"/>
    <xf numFmtId="0" fontId="8" fillId="0" borderId="0" xfId="0" applyFont="1" applyFill="1" applyBorder="1" applyAlignment="1">
      <alignment horizontal="right"/>
    </xf>
    <xf numFmtId="0" fontId="7" fillId="0" borderId="0" xfId="0" applyFont="1" applyFill="1" applyBorder="1"/>
    <xf numFmtId="0" fontId="7" fillId="0" borderId="0" xfId="0" applyFont="1" applyFill="1"/>
    <xf numFmtId="0" fontId="0" fillId="0" borderId="0" xfId="0" applyFill="1"/>
    <xf numFmtId="1" fontId="8" fillId="0" borderId="0" xfId="0" applyNumberFormat="1" applyFont="1" applyFill="1" applyBorder="1" applyAlignment="1">
      <alignment horizontal="right"/>
    </xf>
    <xf numFmtId="1" fontId="5" fillId="0" borderId="0" xfId="0" applyNumberFormat="1" applyFont="1" applyBorder="1"/>
    <xf numFmtId="3" fontId="4" fillId="0" borderId="0" xfId="0" applyNumberFormat="1" applyFont="1" applyBorder="1"/>
    <xf numFmtId="167" fontId="5" fillId="0" borderId="0" xfId="0" applyNumberFormat="1" applyFont="1" applyBorder="1" applyAlignment="1">
      <alignment horizontal="right"/>
    </xf>
    <xf numFmtId="4" fontId="5" fillId="0" borderId="0" xfId="0" applyNumberFormat="1" applyFont="1" applyBorder="1" applyAlignment="1">
      <alignment horizontal="right"/>
    </xf>
    <xf numFmtId="3" fontId="5" fillId="0" borderId="0" xfId="0" applyNumberFormat="1" applyFont="1" applyBorder="1"/>
    <xf numFmtId="1" fontId="15" fillId="0" borderId="0" xfId="0" applyNumberFormat="1" applyFont="1" applyFill="1" applyBorder="1" applyAlignment="1"/>
    <xf numFmtId="3" fontId="15" fillId="0" borderId="0" xfId="0" applyNumberFormat="1" applyFont="1" applyFill="1" applyBorder="1" applyAlignment="1"/>
    <xf numFmtId="0" fontId="4" fillId="0" borderId="0" xfId="0" applyFont="1" applyFill="1" applyBorder="1"/>
    <xf numFmtId="1" fontId="16" fillId="0" borderId="0" xfId="0" applyNumberFormat="1" applyFont="1" applyFill="1" applyBorder="1" applyAlignment="1"/>
    <xf numFmtId="0" fontId="17" fillId="0" borderId="0" xfId="0" applyFont="1" applyFill="1" applyBorder="1"/>
    <xf numFmtId="1" fontId="18" fillId="0" borderId="0" xfId="0" applyNumberFormat="1" applyFont="1" applyFill="1" applyBorder="1" applyAlignment="1"/>
    <xf numFmtId="0" fontId="5" fillId="0" borderId="0" xfId="0" applyFont="1" applyBorder="1"/>
    <xf numFmtId="0" fontId="13" fillId="0" borderId="0" xfId="0" applyFont="1" applyFill="1"/>
    <xf numFmtId="3" fontId="13" fillId="0" borderId="0" xfId="0" applyNumberFormat="1" applyFont="1" applyFill="1"/>
    <xf numFmtId="3" fontId="4" fillId="0" borderId="0" xfId="0" applyNumberFormat="1" applyFont="1" applyFill="1" applyBorder="1" applyAlignment="1" applyProtection="1">
      <alignment horizontal="right"/>
    </xf>
    <xf numFmtId="0" fontId="0" fillId="0" borderId="0" xfId="0" applyFill="1" applyBorder="1"/>
    <xf numFmtId="169" fontId="0" fillId="0" borderId="0" xfId="0" applyNumberFormat="1" applyFill="1" applyBorder="1"/>
    <xf numFmtId="170" fontId="13" fillId="0" borderId="0" xfId="0" applyNumberFormat="1" applyFont="1" applyFill="1" applyBorder="1"/>
    <xf numFmtId="170" fontId="2" fillId="0" borderId="0" xfId="0" applyNumberFormat="1" applyFont="1" applyFill="1" applyBorder="1"/>
    <xf numFmtId="0" fontId="5" fillId="0" borderId="0" xfId="0" applyFont="1" applyFill="1" applyBorder="1"/>
    <xf numFmtId="0" fontId="4" fillId="0" borderId="0" xfId="0" applyFont="1" applyFill="1" applyBorder="1" applyAlignment="1">
      <alignment horizontal="right"/>
    </xf>
    <xf numFmtId="3" fontId="7" fillId="0" borderId="0" xfId="0" applyNumberFormat="1" applyFont="1" applyFill="1" applyBorder="1"/>
    <xf numFmtId="0" fontId="7" fillId="0" borderId="0" xfId="0" applyFont="1" applyFill="1" applyBorder="1" applyAlignment="1">
      <alignment horizontal="right"/>
    </xf>
    <xf numFmtId="3" fontId="4" fillId="0" borderId="0" xfId="0" applyNumberFormat="1" applyFont="1" applyFill="1" applyBorder="1" applyAlignment="1">
      <alignment horizontal="right"/>
    </xf>
    <xf numFmtId="2" fontId="0" fillId="0" borderId="0" xfId="0" applyNumberFormat="1" applyFill="1" applyBorder="1"/>
    <xf numFmtId="4" fontId="7" fillId="0" borderId="0" xfId="0" applyNumberFormat="1" applyFont="1" applyFill="1" applyBorder="1"/>
    <xf numFmtId="173" fontId="7" fillId="0" borderId="0" xfId="0" applyNumberFormat="1" applyFont="1" applyFill="1" applyBorder="1"/>
    <xf numFmtId="173" fontId="0" fillId="0" borderId="0" xfId="0" applyNumberFormat="1" applyFill="1" applyBorder="1"/>
    <xf numFmtId="9" fontId="0" fillId="0" borderId="0" xfId="0" applyNumberFormat="1" applyFill="1" applyBorder="1"/>
    <xf numFmtId="3" fontId="13" fillId="0" borderId="0" xfId="0" applyNumberFormat="1" applyFont="1" applyFill="1" applyBorder="1"/>
    <xf numFmtId="166" fontId="7" fillId="0" borderId="0" xfId="0" applyNumberFormat="1" applyFont="1" applyFill="1" applyBorder="1"/>
    <xf numFmtId="0" fontId="6" fillId="0" borderId="0" xfId="0" applyFont="1" applyFill="1" applyBorder="1"/>
    <xf numFmtId="171" fontId="7" fillId="0" borderId="0" xfId="0" applyNumberFormat="1" applyFont="1" applyFill="1" applyBorder="1"/>
    <xf numFmtId="0" fontId="20" fillId="0" borderId="0" xfId="0" applyFont="1" applyFill="1" applyBorder="1"/>
    <xf numFmtId="166" fontId="4" fillId="0" borderId="0" xfId="0" applyNumberFormat="1" applyFont="1" applyFill="1" applyBorder="1" applyAlignment="1" applyProtection="1">
      <alignment horizontal="right"/>
    </xf>
    <xf numFmtId="0" fontId="21" fillId="0" borderId="0" xfId="0" applyFont="1" applyFill="1" applyBorder="1"/>
    <xf numFmtId="0" fontId="7" fillId="0" borderId="0" xfId="0" applyFont="1" applyFill="1" applyBorder="1" applyAlignment="1">
      <alignment horizontal="left"/>
    </xf>
    <xf numFmtId="166" fontId="17" fillId="0" borderId="0" xfId="0" applyNumberFormat="1" applyFont="1" applyFill="1" applyBorder="1"/>
    <xf numFmtId="171" fontId="21" fillId="0" borderId="0" xfId="0" applyNumberFormat="1" applyFont="1" applyFill="1" applyBorder="1"/>
    <xf numFmtId="0" fontId="22" fillId="0" borderId="0" xfId="0" applyFont="1" applyFill="1" applyBorder="1" applyAlignment="1">
      <alignment horizontal="left"/>
    </xf>
    <xf numFmtId="166" fontId="13" fillId="0" borderId="0" xfId="0" applyNumberFormat="1" applyFont="1" applyFill="1" applyBorder="1"/>
    <xf numFmtId="171" fontId="5" fillId="0" borderId="0" xfId="0" applyNumberFormat="1" applyFont="1" applyFill="1" applyBorder="1"/>
    <xf numFmtId="166" fontId="23" fillId="0" borderId="0" xfId="0" applyNumberFormat="1" applyFont="1" applyFill="1" applyBorder="1"/>
    <xf numFmtId="0" fontId="3" fillId="0" borderId="0" xfId="0" applyFont="1" applyFill="1" applyBorder="1"/>
    <xf numFmtId="166" fontId="19" fillId="0" borderId="0" xfId="0" applyNumberFormat="1" applyFont="1" applyFill="1" applyBorder="1"/>
    <xf numFmtId="171" fontId="24" fillId="0" borderId="0" xfId="0" applyNumberFormat="1" applyFont="1" applyFill="1" applyBorder="1"/>
    <xf numFmtId="171" fontId="22" fillId="0" borderId="0" xfId="0" applyNumberFormat="1" applyFont="1" applyFill="1" applyBorder="1"/>
    <xf numFmtId="0" fontId="24" fillId="0" borderId="0" xfId="0" applyFont="1" applyFill="1" applyBorder="1"/>
    <xf numFmtId="174" fontId="7" fillId="0" borderId="0" xfId="0" applyNumberFormat="1" applyFont="1" applyFill="1" applyBorder="1"/>
    <xf numFmtId="9" fontId="6" fillId="0" borderId="0" xfId="0" applyNumberFormat="1" applyFont="1" applyFill="1" applyBorder="1"/>
    <xf numFmtId="170" fontId="25" fillId="0" borderId="0" xfId="0" applyNumberFormat="1" applyFont="1" applyFill="1" applyBorder="1"/>
    <xf numFmtId="175" fontId="7" fillId="0" borderId="0" xfId="0" applyNumberFormat="1" applyFont="1" applyFill="1" applyBorder="1"/>
    <xf numFmtId="1" fontId="7" fillId="0" borderId="0" xfId="0" applyNumberFormat="1" applyFont="1" applyFill="1" applyBorder="1"/>
    <xf numFmtId="3" fontId="0" fillId="0" borderId="0" xfId="0" applyNumberFormat="1" applyFill="1" applyBorder="1"/>
    <xf numFmtId="168" fontId="5" fillId="0" borderId="0" xfId="0" applyNumberFormat="1" applyFont="1" applyFill="1" applyBorder="1" applyAlignment="1">
      <alignment horizontal="right"/>
    </xf>
    <xf numFmtId="0" fontId="26" fillId="0" borderId="0" xfId="0" applyFont="1" applyFill="1" applyBorder="1"/>
    <xf numFmtId="166" fontId="0" fillId="0" borderId="0" xfId="0" applyNumberFormat="1"/>
    <xf numFmtId="0" fontId="2" fillId="0" borderId="0" xfId="0" applyFont="1" applyFill="1"/>
    <xf numFmtId="1" fontId="0" fillId="0" borderId="0" xfId="0" applyNumberFormat="1" applyFill="1"/>
    <xf numFmtId="169" fontId="0" fillId="0" borderId="0" xfId="0" applyNumberFormat="1"/>
    <xf numFmtId="166" fontId="13" fillId="0" borderId="0" xfId="0" applyNumberFormat="1" applyFont="1"/>
    <xf numFmtId="177" fontId="7" fillId="0" borderId="0" xfId="0" applyNumberFormat="1" applyFont="1"/>
    <xf numFmtId="166" fontId="13" fillId="0" borderId="0" xfId="0" applyNumberFormat="1" applyFont="1" applyFill="1"/>
    <xf numFmtId="166" fontId="7" fillId="0" borderId="0" xfId="0" applyNumberFormat="1" applyFont="1" applyFill="1"/>
    <xf numFmtId="177" fontId="7" fillId="0" borderId="0" xfId="0" applyNumberFormat="1" applyFont="1" applyFill="1"/>
    <xf numFmtId="3" fontId="7" fillId="0" borderId="0" xfId="0" applyNumberFormat="1" applyFont="1" applyFill="1"/>
    <xf numFmtId="166" fontId="4" fillId="0" borderId="0" xfId="0" applyNumberFormat="1" applyFont="1" applyFill="1" applyBorder="1"/>
    <xf numFmtId="3" fontId="13" fillId="0" borderId="0" xfId="0" applyNumberFormat="1" applyFont="1"/>
    <xf numFmtId="3" fontId="0" fillId="0" borderId="0" xfId="0" applyNumberFormat="1"/>
    <xf numFmtId="180" fontId="27" fillId="0" borderId="0" xfId="0" applyNumberFormat="1" applyFont="1" applyBorder="1" applyAlignment="1" applyProtection="1">
      <alignment horizontal="left"/>
    </xf>
    <xf numFmtId="3" fontId="28" fillId="0" borderId="0" xfId="0" applyNumberFormat="1" applyFont="1" applyBorder="1" applyAlignment="1">
      <alignment vertical="top" wrapText="1"/>
    </xf>
    <xf numFmtId="3" fontId="28" fillId="0" borderId="0" xfId="0" applyNumberFormat="1" applyFont="1" applyBorder="1" applyAlignment="1">
      <alignment vertical="top"/>
    </xf>
    <xf numFmtId="3" fontId="0" fillId="0" borderId="0" xfId="0" applyNumberFormat="1" applyBorder="1"/>
    <xf numFmtId="0" fontId="0" fillId="0" borderId="0" xfId="0" applyBorder="1"/>
    <xf numFmtId="166" fontId="8" fillId="0" borderId="0" xfId="0" applyNumberFormat="1" applyFont="1" applyFill="1" applyBorder="1"/>
    <xf numFmtId="166" fontId="11" fillId="0" borderId="0" xfId="0" applyNumberFormat="1" applyFont="1" applyFill="1" applyBorder="1"/>
    <xf numFmtId="166" fontId="9" fillId="0" borderId="0" xfId="0" applyNumberFormat="1" applyFont="1" applyFill="1" applyBorder="1" applyAlignment="1">
      <alignment horizontal="right"/>
    </xf>
    <xf numFmtId="0" fontId="12" fillId="0" borderId="0" xfId="0" applyFont="1" applyFill="1"/>
    <xf numFmtId="3" fontId="12" fillId="0" borderId="0" xfId="0" applyNumberFormat="1" applyFont="1" applyFill="1"/>
    <xf numFmtId="2" fontId="9" fillId="0" borderId="0" xfId="0" applyNumberFormat="1" applyFont="1" applyFill="1" applyBorder="1"/>
    <xf numFmtId="0" fontId="3" fillId="0" borderId="0" xfId="0" applyFont="1" applyFill="1"/>
    <xf numFmtId="2" fontId="8" fillId="0" borderId="0" xfId="0" applyNumberFormat="1" applyFont="1" applyFill="1" applyBorder="1"/>
    <xf numFmtId="171" fontId="9" fillId="0" borderId="0" xfId="0" applyNumberFormat="1" applyFont="1" applyFill="1" applyBorder="1"/>
    <xf numFmtId="0" fontId="3" fillId="0" borderId="0" xfId="0" applyFont="1" applyBorder="1"/>
    <xf numFmtId="0" fontId="8" fillId="0" borderId="0" xfId="0" applyFont="1" applyFill="1" applyBorder="1"/>
    <xf numFmtId="0" fontId="9" fillId="0" borderId="0" xfId="0" applyFont="1" applyFill="1" applyBorder="1" applyAlignment="1">
      <alignment horizontal="right"/>
    </xf>
    <xf numFmtId="0" fontId="12" fillId="0" borderId="0" xfId="0" applyFont="1" applyFill="1" applyAlignment="1">
      <alignment horizontal="left"/>
    </xf>
    <xf numFmtId="3" fontId="8" fillId="0" borderId="3" xfId="0" applyNumberFormat="1" applyFont="1" applyFill="1" applyBorder="1"/>
    <xf numFmtId="3" fontId="9" fillId="0" borderId="3" xfId="0" applyNumberFormat="1" applyFont="1" applyFill="1" applyBorder="1"/>
    <xf numFmtId="3" fontId="3" fillId="0" borderId="3" xfId="0" applyNumberFormat="1" applyFont="1" applyBorder="1"/>
    <xf numFmtId="0" fontId="3" fillId="0" borderId="3" xfId="0" applyFont="1" applyBorder="1"/>
    <xf numFmtId="0" fontId="8" fillId="0" borderId="3" xfId="0" applyFont="1" applyFill="1" applyBorder="1"/>
    <xf numFmtId="0" fontId="3" fillId="0" borderId="3" xfId="0" applyFont="1" applyFill="1" applyBorder="1"/>
    <xf numFmtId="0" fontId="9" fillId="6" borderId="0" xfId="0" applyFont="1" applyFill="1" applyBorder="1"/>
    <xf numFmtId="0" fontId="8" fillId="6" borderId="0" xfId="0" applyFont="1" applyFill="1" applyBorder="1"/>
    <xf numFmtId="0" fontId="12" fillId="6" borderId="0" xfId="0" applyFont="1" applyFill="1"/>
    <xf numFmtId="3" fontId="9" fillId="4" borderId="3" xfId="0" applyNumberFormat="1" applyFont="1" applyFill="1" applyBorder="1" applyAlignment="1" applyProtection="1">
      <alignment horizontal="right"/>
    </xf>
    <xf numFmtId="0" fontId="9" fillId="4" borderId="3" xfId="0" applyFont="1" applyFill="1" applyBorder="1"/>
    <xf numFmtId="166" fontId="3" fillId="0" borderId="0" xfId="0" applyNumberFormat="1" applyFont="1" applyFill="1" applyBorder="1"/>
    <xf numFmtId="0" fontId="12" fillId="0" borderId="0" xfId="0" applyFont="1" applyFill="1" applyBorder="1" applyAlignment="1">
      <alignment horizontal="right"/>
    </xf>
    <xf numFmtId="0" fontId="3" fillId="4" borderId="0" xfId="0" applyFont="1" applyFill="1" applyBorder="1"/>
    <xf numFmtId="3" fontId="10" fillId="4" borderId="0" xfId="0" applyNumberFormat="1" applyFont="1" applyFill="1" applyBorder="1" applyAlignment="1">
      <alignment horizontal="right"/>
    </xf>
    <xf numFmtId="0" fontId="0" fillId="0" borderId="0" xfId="0" applyAlignment="1">
      <alignment wrapText="1"/>
    </xf>
    <xf numFmtId="0" fontId="7" fillId="0" borderId="0" xfId="0" applyFont="1" applyAlignment="1">
      <alignment wrapText="1"/>
    </xf>
    <xf numFmtId="0" fontId="12" fillId="0" borderId="0" xfId="0" applyFont="1" applyFill="1" applyBorder="1"/>
    <xf numFmtId="169" fontId="8" fillId="0" borderId="0" xfId="0" applyNumberFormat="1" applyFont="1" applyFill="1" applyBorder="1"/>
    <xf numFmtId="0" fontId="3" fillId="0" borderId="0" xfId="0" applyFont="1" applyFill="1" applyBorder="1" applyAlignment="1">
      <alignment horizontal="right"/>
    </xf>
    <xf numFmtId="0" fontId="10" fillId="0" borderId="0" xfId="0" applyFont="1" applyFill="1" applyBorder="1" applyAlignment="1">
      <alignment horizontal="right"/>
    </xf>
    <xf numFmtId="3" fontId="3" fillId="0" borderId="0" xfId="0" applyNumberFormat="1" applyFont="1" applyFill="1" applyBorder="1" applyAlignment="1">
      <alignment horizontal="right"/>
    </xf>
    <xf numFmtId="0" fontId="31" fillId="0" borderId="3" xfId="0" applyFont="1" applyFill="1" applyBorder="1"/>
    <xf numFmtId="3" fontId="31" fillId="0" borderId="0" xfId="0" applyNumberFormat="1" applyFont="1" applyFill="1" applyBorder="1"/>
    <xf numFmtId="10" fontId="8" fillId="0" borderId="0" xfId="0" applyNumberFormat="1" applyFont="1" applyFill="1" applyBorder="1" applyAlignment="1">
      <alignment horizontal="right"/>
    </xf>
    <xf numFmtId="3" fontId="3" fillId="0" borderId="0" xfId="0" applyNumberFormat="1" applyFont="1" applyFill="1" applyBorder="1"/>
    <xf numFmtId="0" fontId="30" fillId="0" borderId="0" xfId="0" applyFont="1" applyFill="1" applyBorder="1" applyAlignment="1">
      <alignment horizontal="right"/>
    </xf>
    <xf numFmtId="0" fontId="10" fillId="0" borderId="0" xfId="0" applyFont="1" applyFill="1" applyBorder="1" applyAlignment="1">
      <alignment horizontal="left"/>
    </xf>
    <xf numFmtId="14" fontId="32" fillId="0" borderId="0" xfId="0" applyNumberFormat="1" applyFont="1" applyFill="1" applyBorder="1" applyAlignment="1">
      <alignment horizontal="right"/>
    </xf>
    <xf numFmtId="0" fontId="9" fillId="0" borderId="0" xfId="0" applyFont="1" applyBorder="1" applyAlignment="1">
      <alignment horizontal="right"/>
    </xf>
    <xf numFmtId="3" fontId="12" fillId="0" borderId="0" xfId="0" applyNumberFormat="1" applyFont="1" applyFill="1" applyBorder="1" applyAlignment="1">
      <alignment horizontal="right"/>
    </xf>
    <xf numFmtId="10" fontId="9" fillId="0" borderId="0" xfId="0" applyNumberFormat="1" applyFont="1" applyFill="1" applyBorder="1" applyAlignment="1">
      <alignment horizontal="right"/>
    </xf>
    <xf numFmtId="0" fontId="3" fillId="0" borderId="3" xfId="0" applyFont="1" applyFill="1" applyBorder="1" applyAlignment="1">
      <alignment horizontal="right"/>
    </xf>
    <xf numFmtId="4" fontId="12" fillId="0" borderId="0" xfId="0" applyNumberFormat="1" applyFont="1" applyFill="1" applyBorder="1" applyAlignment="1">
      <alignment horizontal="right"/>
    </xf>
    <xf numFmtId="10" fontId="12" fillId="0" borderId="0" xfId="0" applyNumberFormat="1" applyFont="1" applyFill="1" applyBorder="1" applyAlignment="1">
      <alignment horizontal="right"/>
    </xf>
    <xf numFmtId="3" fontId="12" fillId="0" borderId="3" xfId="0" applyNumberFormat="1" applyFont="1" applyFill="1" applyBorder="1" applyAlignment="1">
      <alignment horizontal="right"/>
    </xf>
    <xf numFmtId="176" fontId="8" fillId="0" borderId="0" xfId="0" applyNumberFormat="1" applyFont="1" applyFill="1" applyBorder="1"/>
    <xf numFmtId="0" fontId="0" fillId="0" borderId="0" xfId="0" applyFont="1" applyAlignment="1"/>
    <xf numFmtId="0" fontId="0" fillId="0" borderId="0" xfId="0" applyFont="1"/>
    <xf numFmtId="168" fontId="12" fillId="0" borderId="0" xfId="0" applyNumberFormat="1" applyFont="1" applyFill="1" applyBorder="1"/>
    <xf numFmtId="3" fontId="12" fillId="4" borderId="3" xfId="0" applyNumberFormat="1" applyFont="1" applyFill="1" applyBorder="1" applyAlignment="1">
      <alignment horizontal="right"/>
    </xf>
    <xf numFmtId="0" fontId="12" fillId="4" borderId="3" xfId="0" applyFont="1" applyFill="1" applyBorder="1"/>
    <xf numFmtId="0" fontId="2" fillId="4" borderId="0" xfId="0" applyFont="1" applyFill="1"/>
    <xf numFmtId="3" fontId="9" fillId="4" borderId="3" xfId="0" applyNumberFormat="1" applyFont="1" applyFill="1" applyBorder="1"/>
    <xf numFmtId="3" fontId="12" fillId="4" borderId="3" xfId="0" applyNumberFormat="1" applyFont="1" applyFill="1" applyBorder="1"/>
    <xf numFmtId="0" fontId="0" fillId="4" borderId="3" xfId="0" applyFill="1" applyBorder="1" applyAlignment="1">
      <alignment wrapText="1"/>
    </xf>
    <xf numFmtId="0" fontId="0" fillId="4" borderId="0" xfId="0" applyFill="1" applyAlignment="1">
      <alignment wrapText="1"/>
    </xf>
    <xf numFmtId="0" fontId="0" fillId="7" borderId="0" xfId="0" applyFill="1" applyAlignment="1">
      <alignment wrapText="1"/>
    </xf>
    <xf numFmtId="0" fontId="3" fillId="7" borderId="0" xfId="0" applyFont="1" applyFill="1" applyBorder="1" applyAlignment="1">
      <alignment horizontal="right" wrapText="1"/>
    </xf>
    <xf numFmtId="10" fontId="8" fillId="7" borderId="0" xfId="0" applyNumberFormat="1" applyFont="1" applyFill="1" applyBorder="1" applyAlignment="1">
      <alignment horizontal="right" wrapText="1"/>
    </xf>
    <xf numFmtId="0" fontId="9" fillId="7" borderId="3" xfId="0" applyFont="1" applyFill="1" applyBorder="1"/>
    <xf numFmtId="0" fontId="2" fillId="7" borderId="0" xfId="0" applyFont="1" applyFill="1"/>
    <xf numFmtId="10" fontId="12" fillId="7" borderId="0" xfId="0" applyNumberFormat="1" applyFont="1" applyFill="1" applyBorder="1" applyAlignment="1">
      <alignment horizontal="right"/>
    </xf>
    <xf numFmtId="10" fontId="9" fillId="7" borderId="0" xfId="0" applyNumberFormat="1" applyFont="1" applyFill="1" applyBorder="1" applyAlignment="1">
      <alignment wrapText="1"/>
    </xf>
    <xf numFmtId="172" fontId="12" fillId="0" borderId="0" xfId="0" applyNumberFormat="1" applyFont="1" applyFill="1" applyBorder="1"/>
    <xf numFmtId="3" fontId="3" fillId="4" borderId="0" xfId="0" applyNumberFormat="1" applyFont="1" applyFill="1" applyBorder="1"/>
    <xf numFmtId="0" fontId="3" fillId="8" borderId="0" xfId="0" applyFont="1" applyFill="1" applyBorder="1"/>
    <xf numFmtId="0" fontId="3" fillId="7" borderId="0" xfId="0" applyFont="1" applyFill="1" applyBorder="1"/>
    <xf numFmtId="0" fontId="0" fillId="7" borderId="0" xfId="0" applyFont="1" applyFill="1"/>
    <xf numFmtId="0" fontId="12" fillId="0" borderId="0" xfId="0" applyFont="1"/>
    <xf numFmtId="0" fontId="3" fillId="0" borderId="0" xfId="0" applyFont="1" applyBorder="1" applyAlignment="1">
      <alignment horizontal="right"/>
    </xf>
    <xf numFmtId="3" fontId="10" fillId="0" borderId="0" xfId="0" applyNumberFormat="1" applyFont="1" applyBorder="1" applyAlignment="1">
      <alignment horizontal="right"/>
    </xf>
    <xf numFmtId="3" fontId="12" fillId="0" borderId="3" xfId="0" applyNumberFormat="1" applyFont="1" applyBorder="1"/>
    <xf numFmtId="3" fontId="3" fillId="0" borderId="3" xfId="0" applyNumberFormat="1" applyFont="1" applyFill="1" applyBorder="1"/>
    <xf numFmtId="0" fontId="35" fillId="2" borderId="7" xfId="0" applyFont="1" applyFill="1" applyBorder="1" applyAlignment="1">
      <alignment horizontal="left" vertical="center" wrapText="1"/>
    </xf>
    <xf numFmtId="0" fontId="35" fillId="2" borderId="8" xfId="0" applyFont="1" applyFill="1" applyBorder="1" applyAlignment="1">
      <alignment horizontal="left" vertical="center" wrapText="1"/>
    </xf>
    <xf numFmtId="0" fontId="33" fillId="0" borderId="0" xfId="0" applyFont="1" applyFill="1" applyBorder="1" applyAlignment="1">
      <alignment horizontal="left" vertical="center" wrapText="1"/>
    </xf>
    <xf numFmtId="3" fontId="35" fillId="0" borderId="0" xfId="0" applyNumberFormat="1" applyFont="1" applyFill="1" applyBorder="1" applyAlignment="1">
      <alignment horizontal="left" vertical="center" wrapText="1"/>
    </xf>
    <xf numFmtId="0" fontId="35" fillId="3" borderId="3" xfId="0" applyFont="1" applyFill="1" applyBorder="1" applyAlignment="1">
      <alignment horizontal="left" vertical="center" wrapText="1"/>
    </xf>
    <xf numFmtId="0" fontId="35" fillId="3" borderId="0" xfId="0" applyFont="1" applyFill="1" applyBorder="1" applyAlignment="1">
      <alignment horizontal="left" vertical="center" wrapText="1"/>
    </xf>
    <xf numFmtId="3" fontId="36" fillId="3" borderId="3" xfId="0" applyNumberFormat="1" applyFont="1" applyFill="1" applyBorder="1" applyAlignment="1">
      <alignment horizontal="left" vertical="center" wrapText="1"/>
    </xf>
    <xf numFmtId="0" fontId="34" fillId="0" borderId="0" xfId="0" applyFont="1" applyFill="1" applyBorder="1" applyAlignment="1">
      <alignment horizontal="left" vertical="center" wrapText="1"/>
    </xf>
    <xf numFmtId="0" fontId="37" fillId="0" borderId="0" xfId="0" applyFont="1" applyFill="1" applyBorder="1" applyAlignment="1">
      <alignment horizontal="left" vertical="center" wrapText="1"/>
    </xf>
    <xf numFmtId="3" fontId="37" fillId="0" borderId="0" xfId="0" applyNumberFormat="1" applyFont="1" applyFill="1" applyBorder="1" applyAlignment="1">
      <alignment horizontal="left" vertical="center" wrapText="1"/>
    </xf>
    <xf numFmtId="4" fontId="37" fillId="0" borderId="0" xfId="0" applyNumberFormat="1" applyFont="1" applyFill="1" applyBorder="1" applyAlignment="1">
      <alignment horizontal="left" vertical="center" wrapText="1"/>
    </xf>
    <xf numFmtId="173" fontId="37" fillId="0" borderId="0" xfId="0" applyNumberFormat="1" applyFont="1" applyFill="1" applyBorder="1" applyAlignment="1">
      <alignment horizontal="left" vertical="center" wrapText="1"/>
    </xf>
    <xf numFmtId="173" fontId="34" fillId="0" borderId="0" xfId="0" applyNumberFormat="1" applyFont="1" applyFill="1" applyBorder="1" applyAlignment="1">
      <alignment horizontal="left" vertical="center" wrapText="1"/>
    </xf>
    <xf numFmtId="9" fontId="34" fillId="0" borderId="0" xfId="0" applyNumberFormat="1" applyFont="1" applyFill="1" applyBorder="1" applyAlignment="1">
      <alignment horizontal="left" vertical="center" wrapText="1"/>
    </xf>
    <xf numFmtId="0" fontId="34" fillId="0" borderId="0" xfId="0" applyFont="1" applyAlignment="1">
      <alignment horizontal="left" vertical="center" wrapText="1"/>
    </xf>
    <xf numFmtId="0" fontId="35"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3" fontId="36" fillId="0" borderId="0" xfId="0" applyNumberFormat="1" applyFont="1" applyFill="1" applyBorder="1" applyAlignment="1">
      <alignment horizontal="left" vertical="center" wrapText="1"/>
    </xf>
    <xf numFmtId="4" fontId="36" fillId="3" borderId="0" xfId="0" applyNumberFormat="1" applyFont="1" applyFill="1" applyBorder="1" applyAlignment="1">
      <alignment horizontal="left" vertical="center" wrapText="1"/>
    </xf>
    <xf numFmtId="3" fontId="35" fillId="3" borderId="3" xfId="0" applyNumberFormat="1" applyFont="1" applyFill="1" applyBorder="1" applyAlignment="1">
      <alignment horizontal="left" vertical="center" wrapText="1"/>
    </xf>
    <xf numFmtId="4" fontId="36" fillId="0" borderId="0" xfId="0" applyNumberFormat="1" applyFont="1" applyBorder="1" applyAlignment="1">
      <alignment wrapText="1"/>
    </xf>
    <xf numFmtId="4" fontId="36" fillId="0" borderId="0" xfId="0" applyNumberFormat="1" applyFont="1" applyFill="1" applyBorder="1" applyAlignment="1">
      <alignment wrapText="1"/>
    </xf>
    <xf numFmtId="0" fontId="36" fillId="0" borderId="0" xfId="0" applyFont="1" applyAlignment="1">
      <alignment horizontal="left"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12" fillId="0" borderId="1" xfId="0" applyFont="1" applyFill="1" applyBorder="1"/>
    <xf numFmtId="4" fontId="3" fillId="0" borderId="0" xfId="0" applyNumberFormat="1" applyFont="1" applyFill="1" applyBorder="1" applyAlignment="1">
      <alignment wrapText="1"/>
    </xf>
    <xf numFmtId="168" fontId="3" fillId="0" borderId="0" xfId="0" applyNumberFormat="1" applyFont="1" applyBorder="1" applyAlignment="1">
      <alignment horizontal="right"/>
    </xf>
    <xf numFmtId="4" fontId="36" fillId="3" borderId="3" xfId="0" applyNumberFormat="1" applyFont="1" applyFill="1" applyBorder="1" applyAlignment="1">
      <alignment horizontal="left" vertical="center" wrapText="1"/>
    </xf>
    <xf numFmtId="0" fontId="3" fillId="7" borderId="0" xfId="0" applyFont="1" applyFill="1"/>
    <xf numFmtId="0" fontId="12" fillId="7" borderId="0" xfId="0" applyFont="1" applyFill="1"/>
    <xf numFmtId="0" fontId="3" fillId="7" borderId="3" xfId="0" applyFont="1" applyFill="1" applyBorder="1"/>
    <xf numFmtId="0" fontId="3" fillId="7" borderId="0" xfId="0" applyFont="1" applyFill="1" applyBorder="1" applyAlignment="1">
      <alignment horizontal="right"/>
    </xf>
    <xf numFmtId="3" fontId="8" fillId="7" borderId="0" xfId="0" applyNumberFormat="1" applyFont="1" applyFill="1" applyBorder="1" applyAlignment="1">
      <alignment horizontal="right"/>
    </xf>
    <xf numFmtId="168" fontId="12" fillId="7" borderId="0" xfId="0" applyNumberFormat="1" applyFont="1" applyFill="1" applyBorder="1" applyAlignment="1">
      <alignment horizontal="right"/>
    </xf>
    <xf numFmtId="0" fontId="12" fillId="8" borderId="0" xfId="0" applyFont="1" applyFill="1" applyBorder="1"/>
    <xf numFmtId="0" fontId="12" fillId="8" borderId="3" xfId="0" applyFont="1" applyFill="1" applyBorder="1"/>
    <xf numFmtId="172" fontId="12" fillId="8" borderId="0" xfId="0" applyNumberFormat="1" applyFont="1" applyFill="1" applyBorder="1"/>
    <xf numFmtId="0" fontId="12" fillId="8" borderId="3" xfId="0" applyFont="1" applyFill="1" applyBorder="1" applyAlignment="1">
      <alignment horizontal="left"/>
    </xf>
    <xf numFmtId="0" fontId="9" fillId="0" borderId="0" xfId="0" applyFont="1" applyFill="1"/>
    <xf numFmtId="0" fontId="31" fillId="0" borderId="0" xfId="0" applyFont="1" applyFill="1"/>
    <xf numFmtId="0" fontId="8" fillId="0" borderId="0" xfId="0" applyFont="1" applyFill="1"/>
    <xf numFmtId="14" fontId="31" fillId="0" borderId="0" xfId="0" applyNumberFormat="1" applyFont="1" applyFill="1" applyAlignment="1">
      <alignment horizontal="left"/>
    </xf>
    <xf numFmtId="166" fontId="9" fillId="0" borderId="0" xfId="0" applyNumberFormat="1" applyFont="1" applyFill="1" applyBorder="1"/>
    <xf numFmtId="0" fontId="8" fillId="0" borderId="0" xfId="0" applyFont="1" applyFill="1" applyBorder="1" applyAlignment="1">
      <alignment horizontal="left"/>
    </xf>
    <xf numFmtId="3" fontId="8" fillId="0" borderId="0" xfId="0" applyNumberFormat="1" applyFont="1" applyFill="1"/>
    <xf numFmtId="0" fontId="8" fillId="0" borderId="0" xfId="0" applyFont="1" applyFill="1" applyProtection="1"/>
    <xf numFmtId="0" fontId="8" fillId="0" borderId="0" xfId="0" applyFont="1" applyFill="1" applyAlignment="1" applyProtection="1">
      <alignment horizontal="left"/>
    </xf>
    <xf numFmtId="0" fontId="36" fillId="0" borderId="0" xfId="0" applyFont="1" applyFill="1" applyAlignment="1">
      <alignment horizontal="left" vertical="center" wrapText="1"/>
    </xf>
    <xf numFmtId="3" fontId="37" fillId="0" borderId="0" xfId="0" applyNumberFormat="1" applyFont="1" applyAlignment="1">
      <alignment horizontal="left" vertical="center" wrapText="1"/>
    </xf>
    <xf numFmtId="0" fontId="9" fillId="0" borderId="1" xfId="0" applyFont="1" applyFill="1" applyBorder="1"/>
    <xf numFmtId="3" fontId="9" fillId="0" borderId="1" xfId="0" applyNumberFormat="1" applyFont="1" applyFill="1" applyBorder="1"/>
    <xf numFmtId="166" fontId="36" fillId="10" borderId="1" xfId="0" applyNumberFormat="1" applyFont="1" applyFill="1" applyBorder="1" applyAlignment="1">
      <alignment horizontal="left" vertical="center" wrapText="1"/>
    </xf>
    <xf numFmtId="166" fontId="9" fillId="9" borderId="1" xfId="0" applyNumberFormat="1" applyFont="1" applyFill="1" applyBorder="1"/>
    <xf numFmtId="166" fontId="35" fillId="2" borderId="0" xfId="0" applyNumberFormat="1" applyFont="1" applyFill="1" applyBorder="1" applyAlignment="1">
      <alignment horizontal="left" vertical="center" wrapText="1"/>
    </xf>
    <xf numFmtId="3" fontId="9" fillId="0" borderId="0" xfId="0" applyNumberFormat="1" applyFont="1" applyBorder="1" applyAlignment="1">
      <alignment horizontal="left"/>
    </xf>
    <xf numFmtId="3" fontId="9" fillId="0" borderId="0" xfId="0" applyNumberFormat="1" applyFont="1"/>
    <xf numFmtId="3" fontId="8" fillId="0" borderId="3" xfId="0" applyNumberFormat="1" applyFont="1" applyBorder="1"/>
    <xf numFmtId="3" fontId="8" fillId="0" borderId="3" xfId="0" applyNumberFormat="1" applyFont="1" applyBorder="1" applyAlignment="1">
      <alignment horizontal="right"/>
    </xf>
    <xf numFmtId="14" fontId="30" fillId="0" borderId="0" xfId="0" applyNumberFormat="1" applyFont="1" applyFill="1" applyBorder="1" applyAlignment="1">
      <alignment horizontal="right"/>
    </xf>
    <xf numFmtId="3" fontId="30" fillId="0" borderId="0" xfId="0" applyNumberFormat="1" applyFont="1" applyBorder="1" applyAlignment="1">
      <alignment horizontal="right"/>
    </xf>
    <xf numFmtId="3" fontId="29" fillId="0" borderId="0" xfId="0" applyNumberFormat="1" applyFont="1" applyBorder="1" applyAlignment="1">
      <alignment horizontal="center"/>
    </xf>
    <xf numFmtId="178" fontId="8" fillId="0" borderId="0" xfId="0" applyNumberFormat="1" applyFont="1" applyBorder="1" applyAlignment="1">
      <alignment horizontal="right"/>
    </xf>
    <xf numFmtId="3" fontId="10" fillId="0" borderId="0" xfId="0" applyNumberFormat="1" applyFont="1" applyFill="1" applyBorder="1" applyAlignment="1">
      <alignment horizontal="center"/>
    </xf>
    <xf numFmtId="165" fontId="8" fillId="0" borderId="0" xfId="0" applyNumberFormat="1" applyFont="1" applyBorder="1" applyAlignment="1">
      <alignment horizontal="right"/>
    </xf>
    <xf numFmtId="178" fontId="8" fillId="0" borderId="0" xfId="0" applyNumberFormat="1" applyFont="1" applyFill="1" applyBorder="1" applyAlignment="1">
      <alignment horizontal="right"/>
    </xf>
    <xf numFmtId="179" fontId="9" fillId="0" borderId="0" xfId="0" applyNumberFormat="1" applyFont="1" applyFill="1" applyBorder="1" applyAlignment="1">
      <alignment horizontal="right"/>
    </xf>
    <xf numFmtId="4" fontId="9" fillId="0" borderId="0" xfId="0" applyNumberFormat="1" applyFont="1" applyFill="1" applyBorder="1" applyAlignment="1">
      <alignment horizontal="right"/>
    </xf>
    <xf numFmtId="0" fontId="8" fillId="0" borderId="0" xfId="0" applyFont="1" applyBorder="1" applyAlignment="1">
      <alignment horizontal="left"/>
    </xf>
    <xf numFmtId="3" fontId="8" fillId="0" borderId="3" xfId="0" applyNumberFormat="1" applyFont="1" applyFill="1" applyBorder="1" applyAlignment="1" applyProtection="1">
      <alignment horizontal="right"/>
      <protection locked="0"/>
    </xf>
    <xf numFmtId="2" fontId="8" fillId="0" borderId="0" xfId="0" applyNumberFormat="1" applyFont="1" applyAlignment="1">
      <alignment horizontal="right"/>
    </xf>
    <xf numFmtId="3" fontId="8" fillId="0" borderId="3" xfId="0" applyNumberFormat="1" applyFont="1" applyFill="1" applyBorder="1" applyAlignment="1">
      <alignment horizontal="right"/>
    </xf>
    <xf numFmtId="3" fontId="31" fillId="0" borderId="3" xfId="0" applyNumberFormat="1" applyFont="1" applyFill="1" applyBorder="1" applyAlignment="1" applyProtection="1">
      <alignment horizontal="right"/>
      <protection locked="0"/>
    </xf>
    <xf numFmtId="3" fontId="31" fillId="0" borderId="0" xfId="0" applyNumberFormat="1" applyFont="1" applyFill="1" applyBorder="1" applyAlignment="1">
      <alignment horizontal="right"/>
    </xf>
    <xf numFmtId="3" fontId="8" fillId="0" borderId="0" xfId="0" applyNumberFormat="1" applyFont="1"/>
    <xf numFmtId="3" fontId="36" fillId="0" borderId="0" xfId="0" applyNumberFormat="1" applyFont="1" applyBorder="1" applyAlignment="1">
      <alignment vertical="center" wrapText="1"/>
    </xf>
    <xf numFmtId="3" fontId="35" fillId="0" borderId="0" xfId="0" applyNumberFormat="1" applyFont="1" applyAlignment="1">
      <alignment vertical="center" wrapText="1"/>
    </xf>
    <xf numFmtId="3" fontId="36" fillId="0" borderId="3" xfId="0" applyNumberFormat="1" applyFont="1" applyBorder="1" applyAlignment="1">
      <alignment vertical="center" wrapText="1"/>
    </xf>
    <xf numFmtId="3" fontId="35" fillId="0" borderId="0" xfId="0" applyNumberFormat="1" applyFont="1" applyBorder="1" applyAlignment="1">
      <alignment vertical="center" wrapText="1"/>
    </xf>
    <xf numFmtId="178" fontId="36" fillId="0" borderId="0" xfId="0" applyNumberFormat="1" applyFont="1" applyBorder="1" applyAlignment="1">
      <alignment vertical="center" wrapText="1"/>
    </xf>
    <xf numFmtId="0" fontId="34" fillId="0" borderId="0" xfId="0" applyFont="1" applyAlignment="1">
      <alignment vertical="center" wrapText="1"/>
    </xf>
    <xf numFmtId="3" fontId="34" fillId="0" borderId="0" xfId="0" applyNumberFormat="1" applyFont="1" applyAlignment="1">
      <alignment vertical="center" wrapText="1"/>
    </xf>
    <xf numFmtId="166" fontId="9" fillId="0" borderId="3" xfId="0" applyNumberFormat="1" applyFont="1" applyFill="1" applyBorder="1" applyAlignment="1">
      <alignment horizontal="right"/>
    </xf>
    <xf numFmtId="166" fontId="9" fillId="0" borderId="6" xfId="0" applyNumberFormat="1" applyFont="1" applyFill="1" applyBorder="1" applyAlignment="1">
      <alignment horizontal="right"/>
    </xf>
    <xf numFmtId="174" fontId="30" fillId="0" borderId="3" xfId="0" applyNumberFormat="1" applyFont="1" applyFill="1" applyBorder="1" applyAlignment="1">
      <alignment horizontal="right"/>
    </xf>
    <xf numFmtId="166" fontId="8" fillId="0" borderId="6" xfId="0" applyNumberFormat="1" applyFont="1" applyFill="1" applyBorder="1" applyAlignment="1">
      <alignment horizontal="right"/>
    </xf>
    <xf numFmtId="3" fontId="36" fillId="3" borderId="3" xfId="0" applyNumberFormat="1" applyFont="1" applyFill="1" applyBorder="1" applyAlignment="1">
      <alignment vertical="center" wrapText="1"/>
    </xf>
    <xf numFmtId="3" fontId="36" fillId="3" borderId="0" xfId="0" applyNumberFormat="1" applyFont="1" applyFill="1" applyBorder="1" applyAlignment="1">
      <alignment vertical="center" wrapText="1"/>
    </xf>
    <xf numFmtId="0" fontId="34" fillId="3" borderId="0" xfId="0" applyFont="1" applyFill="1" applyAlignment="1">
      <alignment vertical="center" wrapText="1"/>
    </xf>
    <xf numFmtId="174" fontId="36" fillId="3" borderId="0" xfId="0" applyNumberFormat="1" applyFont="1" applyFill="1" applyBorder="1" applyAlignment="1">
      <alignment vertical="center" wrapText="1"/>
    </xf>
    <xf numFmtId="174" fontId="9" fillId="7" borderId="4" xfId="0" applyNumberFormat="1" applyFont="1" applyFill="1" applyBorder="1" applyAlignment="1">
      <alignment horizontal="right"/>
    </xf>
    <xf numFmtId="166" fontId="9" fillId="7" borderId="9" xfId="0" applyNumberFormat="1" applyFont="1" applyFill="1" applyBorder="1" applyAlignment="1">
      <alignment horizontal="right"/>
    </xf>
    <xf numFmtId="3" fontId="8" fillId="7" borderId="5" xfId="0" applyNumberFormat="1" applyFont="1" applyFill="1" applyBorder="1" applyAlignment="1">
      <alignment horizontal="left"/>
    </xf>
    <xf numFmtId="3" fontId="9" fillId="7" borderId="4" xfId="0" applyNumberFormat="1" applyFont="1" applyFill="1" applyBorder="1"/>
    <xf numFmtId="3" fontId="8" fillId="7" borderId="5" xfId="0" applyNumberFormat="1" applyFont="1" applyFill="1" applyBorder="1" applyAlignment="1">
      <alignment horizontal="right"/>
    </xf>
    <xf numFmtId="3" fontId="9" fillId="8" borderId="4" xfId="0" applyNumberFormat="1" applyFont="1" applyFill="1" applyBorder="1" applyAlignment="1">
      <alignment horizontal="left"/>
    </xf>
    <xf numFmtId="3" fontId="8" fillId="8" borderId="5" xfId="0" applyNumberFormat="1" applyFont="1" applyFill="1" applyBorder="1" applyAlignment="1">
      <alignment horizontal="right"/>
    </xf>
    <xf numFmtId="4" fontId="8" fillId="8" borderId="5" xfId="0" applyNumberFormat="1" applyFont="1" applyFill="1" applyBorder="1" applyAlignment="1">
      <alignment horizontal="right" wrapText="1"/>
    </xf>
    <xf numFmtId="3" fontId="9" fillId="7" borderId="5" xfId="0" applyNumberFormat="1" applyFont="1" applyFill="1" applyBorder="1" applyAlignment="1">
      <alignment horizontal="center"/>
    </xf>
    <xf numFmtId="0" fontId="9" fillId="0" borderId="0" xfId="0" applyFont="1"/>
    <xf numFmtId="0" fontId="8" fillId="0" borderId="0" xfId="0" applyFont="1"/>
    <xf numFmtId="14" fontId="9" fillId="0" borderId="0" xfId="0" applyNumberFormat="1" applyFont="1" applyAlignment="1">
      <alignment horizontal="left"/>
    </xf>
    <xf numFmtId="3" fontId="12" fillId="7" borderId="3" xfId="0" applyNumberFormat="1" applyFont="1" applyFill="1" applyBorder="1" applyAlignment="1">
      <alignment horizontal="right"/>
    </xf>
    <xf numFmtId="3" fontId="38" fillId="0" borderId="0" xfId="0" applyNumberFormat="1" applyFont="1" applyFill="1" applyBorder="1" applyAlignment="1"/>
    <xf numFmtId="180" fontId="8" fillId="0" borderId="0" xfId="0" applyNumberFormat="1" applyFont="1" applyBorder="1" applyAlignment="1">
      <alignment horizontal="center"/>
    </xf>
    <xf numFmtId="166" fontId="9" fillId="7" borderId="0" xfId="0" applyNumberFormat="1" applyFont="1" applyFill="1" applyBorder="1"/>
    <xf numFmtId="4" fontId="36" fillId="0" borderId="0" xfId="0" applyNumberFormat="1" applyFont="1" applyFill="1" applyBorder="1" applyAlignment="1">
      <alignment horizontal="left" vertical="center" wrapText="1"/>
    </xf>
    <xf numFmtId="0" fontId="37" fillId="0" borderId="0" xfId="0" applyFont="1" applyFill="1" applyAlignment="1">
      <alignment horizontal="left" vertical="center" wrapText="1"/>
    </xf>
    <xf numFmtId="0" fontId="34" fillId="0" borderId="0" xfId="0" applyFont="1" applyFill="1" applyAlignment="1">
      <alignment horizontal="left" vertical="center" wrapText="1"/>
    </xf>
    <xf numFmtId="10" fontId="35" fillId="5" borderId="2" xfId="0" applyNumberFormat="1" applyFont="1" applyFill="1" applyBorder="1" applyAlignment="1">
      <alignment horizontal="center" vertical="center"/>
    </xf>
    <xf numFmtId="0" fontId="39" fillId="0" borderId="0" xfId="0" applyFont="1" applyBorder="1" applyAlignment="1">
      <alignment horizontal="center"/>
    </xf>
    <xf numFmtId="3" fontId="12" fillId="4" borderId="1" xfId="0" applyNumberFormat="1" applyFont="1" applyFill="1" applyBorder="1"/>
    <xf numFmtId="166" fontId="9" fillId="0" borderId="0" xfId="0" applyNumberFormat="1" applyFont="1" applyBorder="1"/>
    <xf numFmtId="0" fontId="40" fillId="0" borderId="0" xfId="2" applyBorder="1" applyAlignment="1">
      <alignment horizontal="left"/>
    </xf>
    <xf numFmtId="0" fontId="40" fillId="0" borderId="0" xfId="2" applyFill="1"/>
    <xf numFmtId="0" fontId="40" fillId="0" borderId="0" xfId="2" applyFill="1" applyBorder="1"/>
    <xf numFmtId="0" fontId="40" fillId="0" borderId="0" xfId="2"/>
    <xf numFmtId="3" fontId="40" fillId="0" borderId="0" xfId="2" applyNumberFormat="1" applyBorder="1" applyAlignment="1">
      <alignment horizontal="left"/>
    </xf>
    <xf numFmtId="0" fontId="12" fillId="0" borderId="0" xfId="0" applyFont="1" applyFill="1" applyBorder="1" applyAlignment="1">
      <alignment vertical="top"/>
    </xf>
    <xf numFmtId="0" fontId="12" fillId="0" borderId="0" xfId="0" applyFont="1" applyFill="1" applyBorder="1" applyAlignment="1">
      <alignment horizontal="left" vertical="top" wrapText="1"/>
    </xf>
    <xf numFmtId="43" fontId="41" fillId="0" borderId="0" xfId="3" applyFont="1" applyFill="1" applyBorder="1" applyAlignment="1">
      <alignment horizontal="right"/>
    </xf>
    <xf numFmtId="43" fontId="41" fillId="0" borderId="3" xfId="3" applyFont="1" applyFill="1" applyBorder="1" applyAlignment="1">
      <alignment horizontal="left"/>
    </xf>
    <xf numFmtId="172" fontId="9" fillId="0" borderId="0" xfId="3" applyNumberFormat="1" applyFont="1" applyFill="1" applyBorder="1" applyAlignment="1">
      <alignment horizontal="right"/>
    </xf>
    <xf numFmtId="0" fontId="30" fillId="0" borderId="0" xfId="0" applyFont="1" applyBorder="1"/>
    <xf numFmtId="172" fontId="12" fillId="0" borderId="3" xfId="0" applyNumberFormat="1" applyFont="1" applyFill="1" applyBorder="1" applyAlignment="1">
      <alignment horizontal="right"/>
    </xf>
    <xf numFmtId="172" fontId="12" fillId="0" borderId="0" xfId="0" applyNumberFormat="1" applyFont="1" applyFill="1" applyBorder="1" applyAlignment="1">
      <alignment horizontal="right"/>
    </xf>
    <xf numFmtId="3" fontId="9" fillId="7" borderId="0" xfId="0" applyNumberFormat="1" applyFont="1" applyFill="1" applyBorder="1" applyAlignment="1">
      <alignment horizontal="right"/>
    </xf>
    <xf numFmtId="3" fontId="9" fillId="7" borderId="0" xfId="0" applyNumberFormat="1" applyFont="1" applyFill="1" applyBorder="1" applyAlignment="1">
      <alignment horizontal="center"/>
    </xf>
    <xf numFmtId="166" fontId="8" fillId="0" borderId="0" xfId="0" applyNumberFormat="1" applyFont="1" applyFill="1"/>
    <xf numFmtId="0" fontId="42" fillId="0" borderId="0" xfId="0" applyFont="1"/>
    <xf numFmtId="14" fontId="43" fillId="0" borderId="0" xfId="0" applyNumberFormat="1" applyFont="1" applyFill="1" applyAlignment="1">
      <alignment horizontal="left"/>
    </xf>
    <xf numFmtId="0" fontId="10" fillId="0" borderId="3" xfId="0" applyFont="1" applyBorder="1"/>
    <xf numFmtId="9" fontId="3" fillId="0" borderId="0" xfId="0" applyNumberFormat="1" applyFont="1" applyBorder="1" applyAlignment="1">
      <alignment horizontal="right"/>
    </xf>
    <xf numFmtId="9" fontId="3" fillId="0" borderId="0" xfId="0" applyNumberFormat="1" applyFont="1" applyFill="1" applyBorder="1" applyAlignment="1">
      <alignment horizontal="right"/>
    </xf>
    <xf numFmtId="9" fontId="8" fillId="0" borderId="0" xfId="0" applyNumberFormat="1" applyFont="1" applyFill="1" applyBorder="1" applyAlignment="1">
      <alignment horizontal="right"/>
    </xf>
    <xf numFmtId="0" fontId="10" fillId="0" borderId="0" xfId="0" applyFont="1" applyFill="1" applyBorder="1"/>
    <xf numFmtId="0" fontId="30" fillId="0" borderId="3" xfId="0" applyFont="1" applyFill="1" applyBorder="1" applyAlignment="1">
      <alignment horizontal="right"/>
    </xf>
    <xf numFmtId="0" fontId="10" fillId="0" borderId="0" xfId="0" applyFont="1" applyBorder="1"/>
    <xf numFmtId="0" fontId="30" fillId="6" borderId="0" xfId="0" applyFont="1" applyFill="1" applyBorder="1" applyAlignment="1">
      <alignment horizontal="right"/>
    </xf>
    <xf numFmtId="0" fontId="42" fillId="0" borderId="0" xfId="0" applyFont="1" applyFill="1" applyAlignment="1">
      <alignment wrapText="1"/>
    </xf>
    <xf numFmtId="14" fontId="43" fillId="0" borderId="1" xfId="0" applyNumberFormat="1" applyFont="1" applyFill="1" applyBorder="1" applyAlignment="1">
      <alignment horizontal="left"/>
    </xf>
    <xf numFmtId="3" fontId="8" fillId="7" borderId="0" xfId="0" applyNumberFormat="1" applyFont="1" applyFill="1" applyBorder="1"/>
    <xf numFmtId="166" fontId="5" fillId="0" borderId="0" xfId="0" applyNumberFormat="1" applyFont="1" applyFill="1" applyBorder="1" applyAlignment="1">
      <alignment horizontal="right"/>
    </xf>
    <xf numFmtId="166" fontId="9" fillId="5" borderId="0" xfId="0" applyNumberFormat="1" applyFont="1" applyFill="1" applyBorder="1" applyAlignment="1">
      <alignment horizontal="right"/>
    </xf>
    <xf numFmtId="0" fontId="0" fillId="7" borderId="0" xfId="0" applyFill="1"/>
    <xf numFmtId="172" fontId="44" fillId="0" borderId="0" xfId="0" applyNumberFormat="1" applyFont="1" applyFill="1" applyBorder="1"/>
    <xf numFmtId="4" fontId="45" fillId="0" borderId="0" xfId="0" applyNumberFormat="1" applyFont="1" applyFill="1" applyBorder="1" applyAlignment="1">
      <alignment wrapText="1"/>
    </xf>
    <xf numFmtId="3" fontId="30" fillId="0" borderId="0" xfId="0" applyNumberFormat="1" applyFont="1" applyFill="1" applyBorder="1" applyAlignment="1">
      <alignment horizontal="right"/>
    </xf>
    <xf numFmtId="10" fontId="12" fillId="0" borderId="0" xfId="4" applyNumberFormat="1" applyFont="1" applyFill="1" applyBorder="1" applyAlignment="1">
      <alignment horizontal="right"/>
    </xf>
    <xf numFmtId="3" fontId="6" fillId="0" borderId="0" xfId="0" applyNumberFormat="1" applyFont="1"/>
    <xf numFmtId="4" fontId="36" fillId="0" borderId="3" xfId="0" applyNumberFormat="1" applyFont="1" applyBorder="1" applyAlignment="1">
      <alignment wrapText="1"/>
    </xf>
    <xf numFmtId="0" fontId="0" fillId="0" borderId="0" xfId="0" applyFill="1" applyAlignment="1">
      <alignment wrapText="1"/>
    </xf>
    <xf numFmtId="0" fontId="0" fillId="0" borderId="0" xfId="0" applyFill="1" applyBorder="1" applyAlignment="1">
      <alignment wrapText="1"/>
    </xf>
    <xf numFmtId="0" fontId="2" fillId="0" borderId="0" xfId="0" applyFont="1" applyFill="1" applyBorder="1"/>
    <xf numFmtId="3" fontId="8" fillId="11" borderId="0" xfId="0" applyNumberFormat="1" applyFont="1" applyFill="1" applyBorder="1" applyAlignment="1">
      <alignment horizontal="right"/>
    </xf>
    <xf numFmtId="166" fontId="35" fillId="5" borderId="3" xfId="0" applyNumberFormat="1" applyFont="1" applyFill="1" applyBorder="1" applyAlignment="1">
      <alignment vertical="center" wrapText="1"/>
    </xf>
    <xf numFmtId="166" fontId="35" fillId="5" borderId="6" xfId="0" applyNumberFormat="1" applyFont="1" applyFill="1" applyBorder="1" applyAlignment="1">
      <alignment vertical="center" wrapText="1"/>
    </xf>
    <xf numFmtId="0" fontId="48" fillId="0" borderId="0" xfId="0" applyFont="1"/>
    <xf numFmtId="166" fontId="32" fillId="0" borderId="0" xfId="0" applyNumberFormat="1" applyFont="1" applyFill="1" applyBorder="1"/>
    <xf numFmtId="0" fontId="30" fillId="0" borderId="0" xfId="0" applyFont="1" applyFill="1" applyBorder="1"/>
    <xf numFmtId="3" fontId="9" fillId="0" borderId="6" xfId="0" applyNumberFormat="1" applyFont="1" applyBorder="1" applyAlignment="1">
      <alignment horizontal="right"/>
    </xf>
    <xf numFmtId="3" fontId="8" fillId="0" borderId="10" xfId="0" applyNumberFormat="1" applyFont="1" applyBorder="1" applyAlignment="1">
      <alignment horizontal="left"/>
    </xf>
    <xf numFmtId="3" fontId="8" fillId="0" borderId="4" xfId="0" applyNumberFormat="1" applyFont="1" applyBorder="1" applyAlignment="1">
      <alignment horizontal="left"/>
    </xf>
    <xf numFmtId="9" fontId="9" fillId="0" borderId="11" xfId="4" applyFont="1" applyBorder="1"/>
    <xf numFmtId="9" fontId="9" fillId="0" borderId="9" xfId="4" applyFont="1" applyBorder="1"/>
    <xf numFmtId="14" fontId="43" fillId="0" borderId="0" xfId="0" applyNumberFormat="1" applyFont="1" applyFill="1" applyBorder="1" applyAlignment="1">
      <alignment horizontal="left"/>
    </xf>
    <xf numFmtId="166" fontId="36" fillId="5" borderId="0" xfId="0" applyNumberFormat="1" applyFont="1" applyFill="1" applyBorder="1" applyAlignment="1">
      <alignment horizontal="left" vertical="center" wrapText="1"/>
    </xf>
    <xf numFmtId="169" fontId="10" fillId="0" borderId="0" xfId="0" applyNumberFormat="1" applyFont="1" applyFill="1" applyBorder="1"/>
    <xf numFmtId="0" fontId="42" fillId="0" borderId="0" xfId="0" applyFont="1" applyFill="1" applyBorder="1"/>
    <xf numFmtId="166" fontId="9" fillId="13" borderId="3" xfId="0" applyNumberFormat="1" applyFont="1" applyFill="1" applyBorder="1" applyAlignment="1">
      <alignment horizontal="right"/>
    </xf>
    <xf numFmtId="3" fontId="9" fillId="13" borderId="0" xfId="0" applyNumberFormat="1" applyFont="1" applyFill="1" applyBorder="1" applyAlignment="1">
      <alignment horizontal="right"/>
    </xf>
    <xf numFmtId="166" fontId="9" fillId="13" borderId="3" xfId="0" applyNumberFormat="1" applyFont="1" applyFill="1" applyBorder="1"/>
    <xf numFmtId="166" fontId="9" fillId="13" borderId="6" xfId="0" applyNumberFormat="1" applyFont="1" applyFill="1" applyBorder="1" applyAlignment="1">
      <alignment horizontal="right"/>
    </xf>
    <xf numFmtId="166" fontId="9" fillId="6" borderId="0" xfId="0" applyNumberFormat="1" applyFont="1" applyFill="1" applyBorder="1"/>
    <xf numFmtId="166" fontId="8" fillId="6" borderId="0" xfId="0" applyNumberFormat="1" applyFont="1" applyFill="1" applyBorder="1" applyAlignment="1">
      <alignment horizontal="right"/>
    </xf>
    <xf numFmtId="0" fontId="36" fillId="0" borderId="10"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36" fillId="0" borderId="11" xfId="0" applyFont="1" applyFill="1" applyBorder="1" applyAlignment="1">
      <alignment horizontal="left" vertical="center" wrapText="1"/>
    </xf>
    <xf numFmtId="2" fontId="12" fillId="0" borderId="6" xfId="0" applyNumberFormat="1" applyFont="1" applyFill="1" applyBorder="1" applyAlignment="1">
      <alignment horizontal="right"/>
    </xf>
    <xf numFmtId="2" fontId="3" fillId="0" borderId="6" xfId="0" applyNumberFormat="1" applyFont="1" applyFill="1" applyBorder="1" applyAlignment="1">
      <alignment horizontal="right"/>
    </xf>
    <xf numFmtId="3" fontId="8" fillId="0" borderId="4" xfId="0" applyNumberFormat="1" applyFont="1" applyFill="1" applyBorder="1"/>
    <xf numFmtId="3" fontId="8" fillId="0" borderId="5" xfId="0" applyNumberFormat="1" applyFont="1" applyFill="1" applyBorder="1"/>
    <xf numFmtId="3" fontId="36" fillId="0" borderId="11" xfId="0" applyNumberFormat="1" applyFont="1" applyFill="1" applyBorder="1" applyAlignment="1">
      <alignment horizontal="left" vertical="center" wrapText="1"/>
    </xf>
    <xf numFmtId="0" fontId="12" fillId="0" borderId="3" xfId="0" applyFont="1" applyFill="1" applyBorder="1" applyAlignment="1">
      <alignment horizontal="right"/>
    </xf>
    <xf numFmtId="3" fontId="12" fillId="0" borderId="6" xfId="0" applyNumberFormat="1" applyFont="1" applyFill="1" applyBorder="1" applyAlignment="1">
      <alignment horizontal="right"/>
    </xf>
    <xf numFmtId="3" fontId="3" fillId="0" borderId="6" xfId="0" applyNumberFormat="1" applyFont="1" applyFill="1" applyBorder="1" applyAlignment="1">
      <alignment horizontal="right"/>
    </xf>
    <xf numFmtId="0" fontId="32" fillId="0" borderId="3" xfId="0" applyFont="1" applyFill="1" applyBorder="1" applyAlignment="1">
      <alignment horizontal="right"/>
    </xf>
    <xf numFmtId="0" fontId="8" fillId="0" borderId="3" xfId="0" applyFont="1" applyFill="1" applyBorder="1" applyAlignment="1">
      <alignment horizontal="right"/>
    </xf>
    <xf numFmtId="0" fontId="3" fillId="0" borderId="4" xfId="0" applyFont="1" applyFill="1" applyBorder="1" applyAlignment="1">
      <alignment horizontal="right"/>
    </xf>
    <xf numFmtId="3" fontId="3" fillId="0" borderId="9" xfId="0" applyNumberFormat="1" applyFont="1" applyFill="1" applyBorder="1" applyAlignment="1">
      <alignment horizontal="right"/>
    </xf>
    <xf numFmtId="3" fontId="9" fillId="0" borderId="13" xfId="0" applyNumberFormat="1" applyFont="1" applyFill="1" applyBorder="1" applyAlignment="1">
      <alignment horizontal="right"/>
    </xf>
    <xf numFmtId="3" fontId="8" fillId="0" borderId="1" xfId="0" applyNumberFormat="1" applyFont="1" applyFill="1" applyBorder="1" applyAlignment="1">
      <alignment horizontal="right"/>
    </xf>
    <xf numFmtId="3" fontId="3" fillId="0" borderId="1" xfId="0" applyNumberFormat="1" applyFont="1" applyFill="1" applyBorder="1" applyAlignment="1">
      <alignment horizontal="right"/>
    </xf>
    <xf numFmtId="3" fontId="8" fillId="0" borderId="14" xfId="0" applyNumberFormat="1" applyFont="1" applyFill="1" applyBorder="1" applyAlignment="1">
      <alignment horizontal="right"/>
    </xf>
    <xf numFmtId="3" fontId="36" fillId="0" borderId="13" xfId="0" applyNumberFormat="1" applyFont="1" applyFill="1" applyBorder="1" applyAlignment="1">
      <alignment horizontal="left" vertical="center" wrapText="1"/>
    </xf>
    <xf numFmtId="0" fontId="34" fillId="0" borderId="12" xfId="0" applyFont="1" applyFill="1" applyBorder="1" applyAlignment="1">
      <alignment horizontal="left" vertical="center" wrapText="1"/>
    </xf>
    <xf numFmtId="3" fontId="8" fillId="0" borderId="4" xfId="0" applyNumberFormat="1" applyFont="1" applyFill="1" applyBorder="1" applyAlignment="1">
      <alignment horizontal="right"/>
    </xf>
    <xf numFmtId="3" fontId="8" fillId="0" borderId="1" xfId="0" applyNumberFormat="1" applyFont="1" applyFill="1" applyBorder="1"/>
    <xf numFmtId="3" fontId="8" fillId="0" borderId="14" xfId="0" applyNumberFormat="1" applyFont="1" applyFill="1" applyBorder="1"/>
    <xf numFmtId="0" fontId="3" fillId="0" borderId="6" xfId="0" applyFont="1" applyFill="1" applyBorder="1" applyAlignment="1">
      <alignment horizontal="right"/>
    </xf>
    <xf numFmtId="0" fontId="3" fillId="0" borderId="9" xfId="0" applyFont="1" applyFill="1" applyBorder="1" applyAlignment="1">
      <alignment horizontal="right"/>
    </xf>
    <xf numFmtId="0" fontId="34" fillId="0" borderId="12" xfId="0" applyFont="1" applyBorder="1" applyAlignment="1">
      <alignment horizontal="left" vertical="center" wrapText="1"/>
    </xf>
    <xf numFmtId="166" fontId="8" fillId="0" borderId="3" xfId="0" applyNumberFormat="1" applyFont="1" applyFill="1" applyBorder="1" applyAlignment="1">
      <alignment horizontal="right"/>
    </xf>
    <xf numFmtId="2" fontId="3" fillId="0" borderId="6" xfId="0" applyNumberFormat="1" applyFont="1" applyFill="1" applyBorder="1"/>
    <xf numFmtId="3" fontId="8" fillId="0" borderId="5" xfId="0" applyNumberFormat="1" applyFont="1" applyFill="1" applyBorder="1" applyAlignment="1">
      <alignment horizontal="right"/>
    </xf>
    <xf numFmtId="10" fontId="8" fillId="0" borderId="5" xfId="0" applyNumberFormat="1" applyFont="1" applyFill="1" applyBorder="1" applyAlignment="1">
      <alignment horizontal="right"/>
    </xf>
    <xf numFmtId="2" fontId="3" fillId="0" borderId="9" xfId="0" applyNumberFormat="1" applyFont="1" applyFill="1" applyBorder="1"/>
    <xf numFmtId="0" fontId="36" fillId="0" borderId="13" xfId="0" applyFont="1" applyBorder="1" applyAlignment="1">
      <alignment horizontal="left" vertical="center" wrapText="1"/>
    </xf>
    <xf numFmtId="3" fontId="12" fillId="0" borderId="1" xfId="0" applyNumberFormat="1" applyFont="1" applyBorder="1"/>
    <xf numFmtId="3" fontId="3" fillId="0" borderId="1" xfId="0" applyNumberFormat="1" applyFont="1" applyBorder="1"/>
    <xf numFmtId="3" fontId="3" fillId="0" borderId="1" xfId="0" applyNumberFormat="1" applyFont="1" applyFill="1" applyBorder="1"/>
    <xf numFmtId="3" fontId="3" fillId="0" borderId="14" xfId="0" applyNumberFormat="1" applyFont="1" applyFill="1" applyBorder="1"/>
    <xf numFmtId="0" fontId="36" fillId="0" borderId="13" xfId="0" applyFont="1" applyFill="1" applyBorder="1" applyAlignment="1">
      <alignment horizontal="left" vertical="center" wrapText="1"/>
    </xf>
    <xf numFmtId="3" fontId="12" fillId="12" borderId="1" xfId="0" applyNumberFormat="1" applyFont="1" applyFill="1" applyBorder="1" applyAlignment="1">
      <alignment horizontal="right"/>
    </xf>
    <xf numFmtId="4" fontId="3" fillId="12" borderId="1" xfId="0" applyNumberFormat="1" applyFont="1" applyFill="1" applyBorder="1" applyAlignment="1">
      <alignment horizontal="right"/>
    </xf>
    <xf numFmtId="4" fontId="3" fillId="12" borderId="14" xfId="0" applyNumberFormat="1" applyFont="1" applyFill="1" applyBorder="1" applyAlignment="1">
      <alignment horizontal="right"/>
    </xf>
    <xf numFmtId="3" fontId="36" fillId="0" borderId="10" xfId="0" applyNumberFormat="1" applyFont="1" applyBorder="1" applyAlignment="1">
      <alignment horizontal="left" vertical="center" wrapText="1"/>
    </xf>
    <xf numFmtId="0" fontId="36" fillId="0" borderId="11" xfId="0" applyFont="1" applyBorder="1" applyAlignment="1">
      <alignment horizontal="left" vertical="center" wrapText="1"/>
    </xf>
    <xf numFmtId="0" fontId="2" fillId="0" borderId="3" xfId="0" applyFont="1" applyBorder="1"/>
    <xf numFmtId="10" fontId="12" fillId="12" borderId="6" xfId="0" applyNumberFormat="1" applyFont="1" applyFill="1" applyBorder="1" applyAlignment="1">
      <alignment horizontal="right"/>
    </xf>
    <xf numFmtId="3" fontId="3" fillId="0" borderId="3" xfId="0" applyNumberFormat="1" applyFont="1" applyBorder="1" applyAlignment="1">
      <alignment horizontal="right"/>
    </xf>
    <xf numFmtId="10" fontId="3" fillId="12" borderId="6" xfId="0" applyNumberFormat="1" applyFont="1" applyFill="1" applyBorder="1" applyAlignment="1">
      <alignment horizontal="right"/>
    </xf>
    <xf numFmtId="3" fontId="3" fillId="0" borderId="3" xfId="0" applyNumberFormat="1" applyFont="1" applyFill="1" applyBorder="1" applyAlignment="1">
      <alignment horizontal="right"/>
    </xf>
    <xf numFmtId="3" fontId="3" fillId="0" borderId="4" xfId="0" applyNumberFormat="1" applyFont="1" applyFill="1" applyBorder="1" applyAlignment="1">
      <alignment horizontal="right"/>
    </xf>
    <xf numFmtId="3" fontId="3" fillId="0" borderId="5" xfId="0" applyNumberFormat="1" applyFont="1" applyFill="1" applyBorder="1" applyAlignment="1">
      <alignment horizontal="right"/>
    </xf>
    <xf numFmtId="10" fontId="3" fillId="12" borderId="9" xfId="0" applyNumberFormat="1" applyFont="1" applyFill="1" applyBorder="1" applyAlignment="1">
      <alignment horizontal="right"/>
    </xf>
    <xf numFmtId="3" fontId="36" fillId="0" borderId="12" xfId="0" applyNumberFormat="1" applyFont="1" applyBorder="1" applyAlignment="1">
      <alignment horizontal="left" vertical="center" wrapText="1"/>
    </xf>
    <xf numFmtId="0" fontId="36" fillId="0" borderId="12" xfId="0" applyFont="1" applyBorder="1" applyAlignment="1">
      <alignment horizontal="left" vertical="center" wrapText="1"/>
    </xf>
    <xf numFmtId="2" fontId="12" fillId="12" borderId="6" xfId="0" applyNumberFormat="1" applyFont="1" applyFill="1" applyBorder="1" applyAlignment="1">
      <alignment horizontal="right"/>
    </xf>
    <xf numFmtId="2" fontId="3" fillId="12" borderId="6" xfId="0" applyNumberFormat="1" applyFont="1" applyFill="1" applyBorder="1" applyAlignment="1">
      <alignment horizontal="right"/>
    </xf>
    <xf numFmtId="9" fontId="3" fillId="0" borderId="5" xfId="0" applyNumberFormat="1" applyFont="1" applyFill="1" applyBorder="1" applyAlignment="1">
      <alignment horizontal="right"/>
    </xf>
    <xf numFmtId="2" fontId="3" fillId="12" borderId="9" xfId="0" applyNumberFormat="1" applyFont="1" applyFill="1" applyBorder="1" applyAlignment="1">
      <alignment horizontal="right"/>
    </xf>
    <xf numFmtId="0" fontId="36" fillId="0" borderId="10" xfId="0" applyFont="1" applyBorder="1" applyAlignment="1">
      <alignment horizontal="left" vertical="center" wrapText="1"/>
    </xf>
    <xf numFmtId="2" fontId="12" fillId="0" borderId="3" xfId="0" applyNumberFormat="1" applyFont="1" applyBorder="1" applyAlignment="1">
      <alignment horizontal="right"/>
    </xf>
    <xf numFmtId="2" fontId="12" fillId="7" borderId="6" xfId="0" applyNumberFormat="1" applyFont="1" applyFill="1" applyBorder="1" applyAlignment="1">
      <alignment horizontal="right"/>
    </xf>
    <xf numFmtId="2" fontId="3" fillId="0" borderId="3" xfId="0" applyNumberFormat="1" applyFont="1" applyBorder="1" applyAlignment="1">
      <alignment horizontal="right"/>
    </xf>
    <xf numFmtId="2" fontId="3" fillId="0" borderId="3" xfId="0" applyNumberFormat="1" applyFont="1" applyFill="1" applyBorder="1" applyAlignment="1">
      <alignment horizontal="right"/>
    </xf>
    <xf numFmtId="2" fontId="3" fillId="0" borderId="4" xfId="0" applyNumberFormat="1" applyFont="1" applyFill="1" applyBorder="1" applyAlignment="1">
      <alignment horizontal="right"/>
    </xf>
    <xf numFmtId="3" fontId="8" fillId="0" borderId="5" xfId="0" applyNumberFormat="1" applyFont="1" applyBorder="1" applyAlignment="1">
      <alignment horizontal="right"/>
    </xf>
    <xf numFmtId="0" fontId="34" fillId="0" borderId="13" xfId="0" applyFont="1" applyBorder="1" applyAlignment="1">
      <alignment horizontal="left" vertical="center" wrapText="1"/>
    </xf>
    <xf numFmtId="2" fontId="2" fillId="12" borderId="1" xfId="0" applyNumberFormat="1" applyFont="1" applyFill="1" applyBorder="1"/>
    <xf numFmtId="2" fontId="0" fillId="12" borderId="1" xfId="0" applyNumberFormat="1" applyFill="1" applyBorder="1"/>
    <xf numFmtId="2" fontId="0" fillId="12" borderId="14" xfId="0" applyNumberFormat="1" applyFill="1" applyBorder="1"/>
    <xf numFmtId="0" fontId="0" fillId="0" borderId="0" xfId="0" applyFont="1" applyAlignment="1">
      <alignment wrapText="1"/>
    </xf>
    <xf numFmtId="0" fontId="26" fillId="0" borderId="0" xfId="0" applyFont="1" applyAlignment="1">
      <alignment wrapText="1"/>
    </xf>
    <xf numFmtId="1" fontId="14" fillId="0" borderId="0" xfId="0" applyNumberFormat="1" applyFont="1" applyFill="1" applyBorder="1" applyAlignment="1">
      <alignment horizontal="right"/>
    </xf>
    <xf numFmtId="1" fontId="8" fillId="0" borderId="0" xfId="0" applyNumberFormat="1" applyFont="1" applyBorder="1" applyAlignment="1">
      <alignment horizontal="right"/>
    </xf>
    <xf numFmtId="0" fontId="9" fillId="0" borderId="0" xfId="0" applyFont="1" applyBorder="1" applyAlignment="1">
      <alignment horizontal="left"/>
    </xf>
    <xf numFmtId="3" fontId="9" fillId="0" borderId="0" xfId="0" applyNumberFormat="1" applyFont="1" applyFill="1" applyBorder="1" applyAlignment="1">
      <alignment horizontal="left"/>
    </xf>
    <xf numFmtId="0" fontId="49" fillId="0" borderId="15" xfId="9"/>
    <xf numFmtId="0" fontId="3" fillId="0" borderId="5" xfId="0" applyFont="1" applyFill="1" applyBorder="1" applyAlignment="1">
      <alignment horizontal="right"/>
    </xf>
    <xf numFmtId="2" fontId="0" fillId="12" borderId="1" xfId="0" applyNumberFormat="1" applyFont="1" applyFill="1" applyBorder="1"/>
    <xf numFmtId="0" fontId="50" fillId="0" borderId="0" xfId="0" applyFont="1"/>
    <xf numFmtId="0" fontId="26" fillId="0" borderId="0" xfId="0" applyFont="1"/>
    <xf numFmtId="0" fontId="42" fillId="0" borderId="0" xfId="0" applyFont="1" applyFill="1"/>
    <xf numFmtId="0" fontId="51" fillId="14" borderId="17" xfId="0" applyFont="1" applyFill="1" applyBorder="1" applyAlignment="1">
      <alignment horizontal="center" vertical="center" wrapText="1"/>
    </xf>
    <xf numFmtId="0" fontId="50" fillId="0" borderId="18" xfId="0" applyFont="1" applyBorder="1"/>
    <xf numFmtId="166" fontId="50" fillId="0" borderId="18" xfId="0" applyNumberFormat="1" applyFont="1" applyBorder="1"/>
    <xf numFmtId="0" fontId="52" fillId="0" borderId="18" xfId="0" applyFont="1" applyBorder="1"/>
    <xf numFmtId="166" fontId="52" fillId="0" borderId="18" xfId="0" applyNumberFormat="1" applyFont="1" applyBorder="1"/>
    <xf numFmtId="166" fontId="52" fillId="0" borderId="0" xfId="0" applyNumberFormat="1" applyFont="1" applyBorder="1"/>
    <xf numFmtId="166" fontId="52" fillId="0" borderId="0" xfId="0" applyNumberFormat="1" applyFont="1"/>
    <xf numFmtId="0" fontId="52" fillId="0" borderId="19" xfId="0" applyFont="1" applyBorder="1"/>
    <xf numFmtId="166" fontId="52" fillId="0" borderId="19" xfId="0" applyNumberFormat="1" applyFont="1" applyBorder="1"/>
    <xf numFmtId="0" fontId="51" fillId="14" borderId="16" xfId="0" applyFont="1" applyFill="1" applyBorder="1" applyAlignment="1">
      <alignment horizontal="center" vertical="center" wrapText="1"/>
    </xf>
    <xf numFmtId="0" fontId="51" fillId="14" borderId="18" xfId="0" applyFont="1" applyFill="1" applyBorder="1" applyAlignment="1">
      <alignment horizontal="center" vertical="center" wrapText="1"/>
    </xf>
    <xf numFmtId="0" fontId="50" fillId="0" borderId="16" xfId="0" applyFont="1" applyBorder="1"/>
    <xf numFmtId="0" fontId="52" fillId="0" borderId="16" xfId="0" applyFont="1" applyBorder="1"/>
    <xf numFmtId="166" fontId="50" fillId="13" borderId="18" xfId="0" applyNumberFormat="1" applyFont="1" applyFill="1" applyBorder="1"/>
    <xf numFmtId="166" fontId="52" fillId="13" borderId="0" xfId="0" applyNumberFormat="1" applyFont="1" applyFill="1"/>
    <xf numFmtId="181" fontId="52" fillId="0" borderId="0" xfId="3" applyNumberFormat="1" applyFont="1"/>
    <xf numFmtId="0" fontId="52" fillId="0" borderId="0" xfId="0" applyFont="1" applyAlignment="1">
      <alignment horizontal="center" vertical="center" wrapText="1"/>
    </xf>
    <xf numFmtId="0" fontId="0" fillId="0" borderId="0" xfId="0" applyAlignment="1">
      <alignment vertical="center" wrapText="1"/>
    </xf>
    <xf numFmtId="166" fontId="50" fillId="0" borderId="0" xfId="0" applyNumberFormat="1" applyFont="1"/>
    <xf numFmtId="166" fontId="50" fillId="15" borderId="0" xfId="0" applyNumberFormat="1" applyFont="1" applyFill="1"/>
    <xf numFmtId="166" fontId="52" fillId="15" borderId="0" xfId="0" applyNumberFormat="1" applyFont="1" applyFill="1"/>
    <xf numFmtId="0" fontId="52" fillId="0" borderId="0" xfId="0" applyFont="1"/>
    <xf numFmtId="0" fontId="53" fillId="0" borderId="0" xfId="10" applyFont="1"/>
    <xf numFmtId="0" fontId="52" fillId="0" borderId="0" xfId="0" applyFont="1" applyAlignment="1">
      <alignment horizontal="center" vertical="center"/>
    </xf>
    <xf numFmtId="0" fontId="54" fillId="0" borderId="0" xfId="0" applyFont="1" applyAlignment="1">
      <alignment wrapText="1"/>
    </xf>
    <xf numFmtId="166" fontId="55" fillId="16" borderId="0" xfId="0" applyNumberFormat="1" applyFont="1" applyFill="1"/>
    <xf numFmtId="166" fontId="56" fillId="16" borderId="0" xfId="0" applyNumberFormat="1" applyFont="1" applyFill="1"/>
    <xf numFmtId="166" fontId="50" fillId="0" borderId="0" xfId="0" applyNumberFormat="1" applyFont="1" applyFill="1"/>
    <xf numFmtId="166" fontId="52" fillId="0" borderId="0" xfId="0" applyNumberFormat="1" applyFont="1" applyFill="1"/>
    <xf numFmtId="166" fontId="36" fillId="16" borderId="0" xfId="0" applyNumberFormat="1" applyFont="1" applyFill="1" applyBorder="1" applyAlignment="1">
      <alignment horizontal="left" vertical="center" wrapText="1"/>
    </xf>
    <xf numFmtId="166" fontId="9" fillId="15" borderId="0" xfId="0" applyNumberFormat="1" applyFont="1" applyFill="1" applyBorder="1"/>
    <xf numFmtId="166" fontId="8" fillId="15" borderId="0" xfId="0" applyNumberFormat="1" applyFont="1" applyFill="1" applyBorder="1" applyAlignment="1">
      <alignment horizontal="right"/>
    </xf>
    <xf numFmtId="166" fontId="8" fillId="15" borderId="0" xfId="0" applyNumberFormat="1" applyFont="1" applyFill="1" applyBorder="1"/>
    <xf numFmtId="166" fontId="50" fillId="0" borderId="20" xfId="0" applyNumberFormat="1" applyFont="1" applyBorder="1"/>
    <xf numFmtId="0" fontId="52" fillId="0" borderId="0" xfId="0" applyFont="1" applyFill="1" applyBorder="1"/>
    <xf numFmtId="0" fontId="50" fillId="0" borderId="0" xfId="0" applyFont="1" applyFill="1" applyBorder="1"/>
    <xf numFmtId="0" fontId="51" fillId="0" borderId="0" xfId="0" applyFont="1" applyFill="1" applyBorder="1" applyAlignment="1">
      <alignment horizontal="center" vertical="center" wrapText="1"/>
    </xf>
    <xf numFmtId="166" fontId="50" fillId="0" borderId="0" xfId="0" applyNumberFormat="1" applyFont="1" applyFill="1" applyBorder="1"/>
    <xf numFmtId="166" fontId="52" fillId="0" borderId="0" xfId="0" applyNumberFormat="1" applyFont="1" applyFill="1" applyBorder="1"/>
    <xf numFmtId="166" fontId="50" fillId="0" borderId="0" xfId="0" applyNumberFormat="1" applyFont="1" applyBorder="1"/>
    <xf numFmtId="0" fontId="51" fillId="14" borderId="10" xfId="0" applyFont="1" applyFill="1" applyBorder="1" applyAlignment="1">
      <alignment horizontal="center" vertical="center" wrapText="1"/>
    </xf>
    <xf numFmtId="0" fontId="51" fillId="14" borderId="12" xfId="0" applyFont="1" applyFill="1" applyBorder="1" applyAlignment="1">
      <alignment horizontal="center" vertical="center" wrapText="1"/>
    </xf>
    <xf numFmtId="0" fontId="51" fillId="14" borderId="11" xfId="0" applyFont="1" applyFill="1" applyBorder="1" applyAlignment="1">
      <alignment horizontal="center" vertical="center" wrapText="1"/>
    </xf>
    <xf numFmtId="166" fontId="50" fillId="0" borderId="3" xfId="0" applyNumberFormat="1" applyFont="1" applyBorder="1"/>
    <xf numFmtId="166" fontId="52" fillId="0" borderId="3" xfId="0" applyNumberFormat="1" applyFont="1" applyBorder="1"/>
    <xf numFmtId="4" fontId="8" fillId="0" borderId="0" xfId="0" applyNumberFormat="1" applyFont="1" applyBorder="1"/>
    <xf numFmtId="166" fontId="50" fillId="6" borderId="6" xfId="0" applyNumberFormat="1" applyFont="1" applyFill="1" applyBorder="1"/>
    <xf numFmtId="166" fontId="52" fillId="6" borderId="6" xfId="0" applyNumberFormat="1" applyFont="1" applyFill="1" applyBorder="1"/>
    <xf numFmtId="0" fontId="51" fillId="14" borderId="13" xfId="0" applyFont="1" applyFill="1" applyBorder="1" applyAlignment="1">
      <alignment horizontal="center" vertical="center" wrapText="1"/>
    </xf>
    <xf numFmtId="166" fontId="50" fillId="0" borderId="1" xfId="0" applyNumberFormat="1" applyFont="1" applyBorder="1"/>
    <xf numFmtId="166" fontId="52" fillId="0" borderId="1" xfId="0" applyNumberFormat="1" applyFont="1" applyBorder="1"/>
    <xf numFmtId="0" fontId="60" fillId="0" borderId="0" xfId="0" applyFont="1" applyFill="1" applyBorder="1"/>
    <xf numFmtId="166" fontId="60" fillId="0" borderId="0" xfId="0" applyNumberFormat="1" applyFont="1" applyFill="1" applyBorder="1"/>
    <xf numFmtId="0" fontId="59" fillId="17" borderId="0" xfId="0" applyFont="1" applyFill="1" applyBorder="1"/>
    <xf numFmtId="166" fontId="59" fillId="17" borderId="0" xfId="0" applyNumberFormat="1" applyFont="1" applyFill="1" applyBorder="1"/>
    <xf numFmtId="166" fontId="61" fillId="0" borderId="0" xfId="0" applyNumberFormat="1" applyFont="1" applyFill="1" applyBorder="1"/>
    <xf numFmtId="0" fontId="61" fillId="0" borderId="5" xfId="0" applyFont="1" applyFill="1" applyBorder="1"/>
    <xf numFmtId="0" fontId="0" fillId="0" borderId="5" xfId="0" applyBorder="1"/>
    <xf numFmtId="0" fontId="51" fillId="14" borderId="16" xfId="0" applyFont="1" applyFill="1" applyBorder="1"/>
    <xf numFmtId="2" fontId="50" fillId="0" borderId="0" xfId="0" applyNumberFormat="1" applyFont="1"/>
    <xf numFmtId="0" fontId="50" fillId="0" borderId="0" xfId="0" applyFont="1" applyBorder="1"/>
    <xf numFmtId="0" fontId="2" fillId="0" borderId="0" xfId="0" applyFont="1" applyBorder="1"/>
    <xf numFmtId="0" fontId="0" fillId="0" borderId="3" xfId="0" applyBorder="1"/>
    <xf numFmtId="166" fontId="60" fillId="0" borderId="3" xfId="0" applyNumberFormat="1" applyFont="1" applyFill="1" applyBorder="1"/>
    <xf numFmtId="166" fontId="59" fillId="17" borderId="3" xfId="0" applyNumberFormat="1" applyFont="1" applyFill="1" applyBorder="1"/>
    <xf numFmtId="166" fontId="61" fillId="0" borderId="3" xfId="0" applyNumberFormat="1" applyFont="1" applyFill="1" applyBorder="1"/>
    <xf numFmtId="0" fontId="61" fillId="0" borderId="4" xfId="0" applyFont="1" applyFill="1" applyBorder="1"/>
    <xf numFmtId="0" fontId="51" fillId="14" borderId="12" xfId="0" applyFont="1" applyFill="1" applyBorder="1" applyAlignment="1">
      <alignment horizontal="center" vertical="center"/>
    </xf>
    <xf numFmtId="166" fontId="50" fillId="0" borderId="21" xfId="0" applyNumberFormat="1" applyFont="1" applyBorder="1"/>
    <xf numFmtId="166" fontId="50" fillId="6" borderId="22" xfId="0" applyNumberFormat="1" applyFont="1" applyFill="1" applyBorder="1"/>
    <xf numFmtId="166" fontId="52" fillId="0" borderId="3" xfId="0" applyNumberFormat="1" applyFont="1" applyFill="1" applyBorder="1"/>
    <xf numFmtId="166" fontId="52" fillId="0" borderId="4" xfId="0" applyNumberFormat="1" applyFont="1" applyFill="1" applyBorder="1"/>
    <xf numFmtId="166" fontId="52" fillId="0" borderId="5" xfId="0" applyNumberFormat="1" applyFont="1" applyFill="1" applyBorder="1"/>
    <xf numFmtId="166" fontId="52" fillId="6" borderId="9" xfId="0" applyNumberFormat="1" applyFont="1" applyFill="1" applyBorder="1"/>
    <xf numFmtId="166" fontId="52" fillId="0" borderId="4" xfId="0" applyNumberFormat="1" applyFont="1" applyBorder="1"/>
    <xf numFmtId="166" fontId="52" fillId="0" borderId="5" xfId="0" applyNumberFormat="1" applyFont="1" applyBorder="1"/>
    <xf numFmtId="166" fontId="50" fillId="6" borderId="1" xfId="0" applyNumberFormat="1" applyFont="1" applyFill="1" applyBorder="1"/>
    <xf numFmtId="166" fontId="52" fillId="6" borderId="1" xfId="0" applyNumberFormat="1" applyFont="1" applyFill="1" applyBorder="1"/>
    <xf numFmtId="166" fontId="52" fillId="6" borderId="14" xfId="0" applyNumberFormat="1" applyFont="1" applyFill="1" applyBorder="1"/>
    <xf numFmtId="0" fontId="40" fillId="0" borderId="23" xfId="2" applyFill="1" applyBorder="1" applyAlignment="1">
      <alignment horizontal="left"/>
    </xf>
    <xf numFmtId="0" fontId="9" fillId="0" borderId="0" xfId="0" applyFont="1" applyFill="1" applyBorder="1" applyAlignment="1">
      <alignment horizontal="left"/>
    </xf>
    <xf numFmtId="172" fontId="9" fillId="0" borderId="0" xfId="0" applyNumberFormat="1" applyFont="1" applyFill="1" applyBorder="1" applyAlignment="1">
      <alignment horizontal="center"/>
    </xf>
    <xf numFmtId="3" fontId="10" fillId="0" borderId="0" xfId="0" applyNumberFormat="1" applyFont="1" applyFill="1" applyBorder="1"/>
    <xf numFmtId="3" fontId="37" fillId="0" borderId="0" xfId="0" applyNumberFormat="1" applyFont="1" applyAlignment="1">
      <alignment horizontal="left" vertical="center"/>
    </xf>
    <xf numFmtId="0" fontId="34" fillId="0" borderId="0" xfId="0" applyFont="1" applyAlignment="1">
      <alignment horizontal="left" vertical="center"/>
    </xf>
    <xf numFmtId="166" fontId="8" fillId="7" borderId="0" xfId="0" applyNumberFormat="1" applyFont="1" applyFill="1" applyBorder="1" applyAlignment="1">
      <alignment horizontal="right"/>
    </xf>
    <xf numFmtId="166" fontId="9" fillId="7" borderId="0" xfId="0" applyNumberFormat="1" applyFont="1" applyFill="1" applyBorder="1" applyAlignment="1">
      <alignment horizontal="right"/>
    </xf>
    <xf numFmtId="0" fontId="8" fillId="0" borderId="0" xfId="0" applyNumberFormat="1" applyFont="1" applyFill="1" applyBorder="1" applyAlignment="1">
      <alignment horizontal="right"/>
    </xf>
    <xf numFmtId="166" fontId="9" fillId="7" borderId="0" xfId="0" applyNumberFormat="1" applyFont="1" applyFill="1" applyAlignment="1">
      <alignment horizontal="right"/>
    </xf>
    <xf numFmtId="0" fontId="9" fillId="0" borderId="0" xfId="0" applyNumberFormat="1" applyFont="1" applyFill="1" applyBorder="1" applyAlignment="1">
      <alignment horizontal="right"/>
    </xf>
    <xf numFmtId="3" fontId="0" fillId="0" borderId="0" xfId="0" applyNumberFormat="1" applyFill="1"/>
    <xf numFmtId="0" fontId="17" fillId="0" borderId="0" xfId="0" applyFont="1" applyFill="1"/>
    <xf numFmtId="1" fontId="8" fillId="0" borderId="0" xfId="0" applyNumberFormat="1" applyFont="1" applyFill="1" applyBorder="1" applyAlignment="1">
      <alignment horizontal="left"/>
    </xf>
    <xf numFmtId="3" fontId="8" fillId="0" borderId="0" xfId="0" applyNumberFormat="1" applyFont="1" applyFill="1" applyBorder="1" applyAlignment="1">
      <alignment horizontal="left"/>
    </xf>
    <xf numFmtId="1" fontId="9" fillId="0" borderId="0" xfId="0" applyNumberFormat="1" applyFont="1" applyFill="1" applyBorder="1" applyAlignment="1"/>
    <xf numFmtId="0" fontId="40" fillId="0" borderId="23" xfId="2" applyFill="1" applyBorder="1"/>
    <xf numFmtId="0" fontId="63" fillId="0" borderId="0" xfId="0" applyFont="1"/>
  </cellXfs>
  <cellStyles count="11">
    <cellStyle name="Erotin 2" xfId="1"/>
    <cellStyle name="Normaali" xfId="0" builtinId="0"/>
    <cellStyle name="Normaali 2" xfId="5"/>
    <cellStyle name="Normaali 3" xfId="8"/>
    <cellStyle name="Otsikko" xfId="2" builtinId="15"/>
    <cellStyle name="Otsikko 3" xfId="9" builtinId="18"/>
    <cellStyle name="Otsikko 4" xfId="10" builtinId="19"/>
    <cellStyle name="Pilkku" xfId="3" builtinId="3"/>
    <cellStyle name="Pilkku 2" xfId="6"/>
    <cellStyle name="Prosenttia" xfId="4" builtinId="5"/>
    <cellStyle name="Prosenttia 2" xfId="7"/>
  </cellStyles>
  <dxfs count="236">
    <dxf>
      <font>
        <b val="0"/>
        <i val="0"/>
        <strike val="0"/>
        <condense val="0"/>
        <extend val="0"/>
        <outline val="0"/>
        <shadow val="0"/>
        <u val="none"/>
        <vertAlign val="baseline"/>
        <sz val="10"/>
        <color theme="1"/>
        <name val="Arial"/>
        <scheme val="minor"/>
      </font>
      <numFmt numFmtId="166" formatCode="#,##0_ ;[Red]\-#,##0\ "/>
      <fill>
        <patternFill patternType="solid">
          <fgColor indexed="64"/>
          <bgColor theme="4" tint="0.79998168889431442"/>
        </patternFill>
      </fill>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Arial"/>
        <scheme val="minor"/>
      </font>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0"/>
        <color theme="0"/>
        <name val="Arial"/>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minor"/>
      </font>
      <numFmt numFmtId="166" formatCode="#,##0_ ;[Red]\-#,##0\ "/>
      <fill>
        <patternFill patternType="solid">
          <fgColor indexed="64"/>
          <bgColor theme="4" tint="0.79998168889431442"/>
        </patternFill>
      </fill>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Arial"/>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Arial"/>
        <scheme val="minor"/>
      </font>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0"/>
        <color theme="0"/>
        <name val="Arial"/>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minor"/>
      </font>
      <numFmt numFmtId="166" formatCode="#,##0_ ;[Red]\-#,##0\ "/>
      <fill>
        <patternFill patternType="none">
          <fgColor indexed="64"/>
          <bgColor auto="1"/>
        </patternFill>
      </fill>
    </dxf>
    <dxf>
      <font>
        <b val="0"/>
        <i val="0"/>
        <strike val="0"/>
        <condense val="0"/>
        <extend val="0"/>
        <outline val="0"/>
        <shadow val="0"/>
        <u val="none"/>
        <vertAlign val="baseline"/>
        <sz val="10"/>
        <color auto="1"/>
        <name val="Arial"/>
        <scheme val="minor"/>
      </font>
      <numFmt numFmtId="166" formatCode="#,##0_ ;[Red]\-#,##0\ "/>
      <fill>
        <patternFill patternType="solid">
          <fgColor indexed="64"/>
          <bgColor theme="7" tint="0.39997558519241921"/>
        </patternFill>
      </fill>
    </dxf>
    <dxf>
      <font>
        <b val="0"/>
        <i val="0"/>
        <strike val="0"/>
        <condense val="0"/>
        <extend val="0"/>
        <outline val="0"/>
        <shadow val="0"/>
        <u val="none"/>
        <vertAlign val="baseline"/>
        <sz val="10"/>
        <color theme="1"/>
        <name val="Arial"/>
        <scheme val="minor"/>
      </font>
      <numFmt numFmtId="166" formatCode="#,##0_ ;[Red]\-#,##0\ "/>
      <fill>
        <patternFill patternType="solid">
          <fgColor indexed="64"/>
          <bgColor theme="7" tint="0.79998168889431442"/>
        </patternFill>
      </fill>
    </dxf>
    <dxf>
      <font>
        <b val="0"/>
        <i val="0"/>
        <strike val="0"/>
        <condense val="0"/>
        <extend val="0"/>
        <outline val="0"/>
        <shadow val="0"/>
        <u val="none"/>
        <vertAlign val="baseline"/>
        <sz val="10"/>
        <color theme="1"/>
        <name val="Arial"/>
        <scheme val="minor"/>
      </font>
      <numFmt numFmtId="166" formatCode="#,##0_ ;[Red]\-#,##0\ "/>
      <fill>
        <patternFill patternType="none">
          <fgColor indexed="64"/>
          <bgColor auto="1"/>
        </patternFill>
      </fill>
    </dxf>
    <dxf>
      <font>
        <b val="0"/>
        <i val="0"/>
        <strike val="0"/>
        <condense val="0"/>
        <extend val="0"/>
        <outline val="0"/>
        <shadow val="0"/>
        <u val="none"/>
        <vertAlign val="baseline"/>
        <sz val="10"/>
        <color theme="1"/>
        <name val="Arial"/>
        <scheme val="minor"/>
      </font>
      <numFmt numFmtId="166" formatCode="#,##0_ ;[Red]\-#,##0\ "/>
      <fill>
        <patternFill patternType="none">
          <fgColor indexed="64"/>
          <bgColor auto="1"/>
        </patternFill>
      </fill>
    </dxf>
    <dxf>
      <font>
        <b val="0"/>
        <i val="0"/>
        <strike val="0"/>
        <condense val="0"/>
        <extend val="0"/>
        <outline val="0"/>
        <shadow val="0"/>
        <u val="none"/>
        <vertAlign val="baseline"/>
        <sz val="10"/>
        <color theme="1"/>
        <name val="Arial"/>
        <scheme val="minor"/>
      </font>
      <numFmt numFmtId="166" formatCode="#,##0_ ;[Red]\-#,##0\ "/>
      <fill>
        <patternFill patternType="solid">
          <fgColor indexed="64"/>
          <bgColor theme="7" tint="0.79998168889431442"/>
        </patternFill>
      </fill>
    </dxf>
    <dxf>
      <font>
        <b val="0"/>
        <i val="0"/>
        <strike val="0"/>
        <condense val="0"/>
        <extend val="0"/>
        <outline val="0"/>
        <shadow val="0"/>
        <u val="none"/>
        <vertAlign val="baseline"/>
        <sz val="10"/>
        <color theme="1"/>
        <name val="Arial"/>
        <scheme val="minor"/>
      </font>
      <numFmt numFmtId="166" formatCode="#,##0_ ;[Red]\-#,##0\ "/>
      <fill>
        <patternFill patternType="solid">
          <fgColor indexed="64"/>
          <bgColor theme="7" tint="0.79998168889431442"/>
        </patternFill>
      </fill>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fill>
        <patternFill patternType="solid">
          <fgColor indexed="64"/>
          <bgColor theme="7" tint="0.79998168889431442"/>
        </patternFill>
      </fill>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Arial"/>
        <scheme val="minor"/>
      </font>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Arial"/>
        <scheme val="minor"/>
      </font>
    </dxf>
    <dxf>
      <font>
        <b val="0"/>
        <i val="0"/>
        <strike val="0"/>
        <condense val="0"/>
        <extend val="0"/>
        <outline val="0"/>
        <shadow val="0"/>
        <u val="none"/>
        <vertAlign val="baseline"/>
        <sz val="10"/>
        <color theme="1"/>
        <name val="Arial"/>
        <scheme val="minor"/>
      </font>
      <alignment horizontal="center" vertical="center" textRotation="0" wrapText="1" indent="0" justifyLastLine="0" shrinkToFit="0" readingOrder="0"/>
    </dxf>
    <dxf>
      <font>
        <b/>
        <i val="0"/>
        <strike val="0"/>
        <condense val="0"/>
        <extend val="0"/>
        <outline val="0"/>
        <shadow val="0"/>
        <u val="none"/>
        <vertAlign val="baseline"/>
        <sz val="10"/>
        <color theme="1"/>
        <name val="Arial"/>
        <scheme val="minor"/>
      </font>
      <numFmt numFmtId="2" formatCode="0.00"/>
    </dxf>
    <dxf>
      <font>
        <b/>
        <i val="0"/>
        <strike val="0"/>
        <condense val="0"/>
        <extend val="0"/>
        <outline val="0"/>
        <shadow val="0"/>
        <u val="none"/>
        <vertAlign val="baseline"/>
        <sz val="10"/>
        <color theme="1"/>
        <name val="Arial"/>
        <scheme val="minor"/>
      </font>
    </dxf>
    <dxf>
      <font>
        <b/>
        <i val="0"/>
        <strike val="0"/>
        <condense val="0"/>
        <extend val="0"/>
        <outline val="0"/>
        <shadow val="0"/>
        <u val="none"/>
        <vertAlign val="baseline"/>
        <sz val="10"/>
        <color theme="1"/>
        <name val="Arial"/>
        <scheme val="minor"/>
      </font>
    </dxf>
    <dxf>
      <font>
        <b/>
        <i val="0"/>
        <strike val="0"/>
        <condense val="0"/>
        <extend val="0"/>
        <outline val="0"/>
        <shadow val="0"/>
        <u val="none"/>
        <vertAlign val="baseline"/>
        <sz val="10"/>
        <color theme="1"/>
        <name val="Arial"/>
        <scheme val="minor"/>
      </font>
    </dxf>
    <dxf>
      <font>
        <strike val="0"/>
        <outline val="0"/>
        <shadow val="0"/>
        <u val="none"/>
        <vertAlign val="baseline"/>
        <sz val="10"/>
        <name val="Arial"/>
      </font>
      <numFmt numFmtId="166" formatCode="#,##0_ ;[Red]\-#,##0\ "/>
    </dxf>
    <dxf>
      <font>
        <strike val="0"/>
        <outline val="0"/>
        <shadow val="0"/>
        <u val="none"/>
        <vertAlign val="baseline"/>
        <sz val="10"/>
        <name val="Arial"/>
      </font>
      <numFmt numFmtId="166" formatCode="#,##0_ ;[Red]\-#,##0\ "/>
    </dxf>
    <dxf>
      <font>
        <strike val="0"/>
        <outline val="0"/>
        <shadow val="0"/>
        <u val="none"/>
        <vertAlign val="baseline"/>
        <sz val="10"/>
        <name val="Arial"/>
      </font>
      <numFmt numFmtId="166" formatCode="#,##0_ ;[Red]\-#,##0\ "/>
    </dxf>
    <dxf>
      <font>
        <strike val="0"/>
        <outline val="0"/>
        <shadow val="0"/>
        <u val="none"/>
        <vertAlign val="baseline"/>
        <sz val="10"/>
        <name val="Arial"/>
      </font>
    </dxf>
    <dxf>
      <font>
        <strike val="0"/>
        <outline val="0"/>
        <shadow val="0"/>
        <u val="none"/>
        <vertAlign val="baseline"/>
        <sz val="10"/>
        <name val="Arial"/>
      </font>
    </dxf>
    <dxf>
      <font>
        <strike val="0"/>
        <outline val="0"/>
        <shadow val="0"/>
        <u val="none"/>
        <vertAlign val="baseline"/>
        <sz val="10"/>
        <name val="Arial"/>
      </font>
    </dxf>
    <dxf>
      <font>
        <strike val="0"/>
        <outline val="0"/>
        <shadow val="0"/>
        <u val="none"/>
        <vertAlign val="baseline"/>
        <sz val="10"/>
        <color theme="1"/>
        <name val="Arial"/>
        <scheme val="minor"/>
      </font>
      <alignment horizontal="center" vertical="center" textRotation="0" indent="0" justifyLastLine="0" shrinkToFit="0" readingOrder="0"/>
    </dxf>
    <dxf>
      <font>
        <b/>
        <i val="0"/>
        <strike val="0"/>
        <condense val="0"/>
        <extend val="0"/>
        <outline val="0"/>
        <shadow val="0"/>
        <u val="none"/>
        <vertAlign val="baseline"/>
        <sz val="11"/>
        <color auto="1"/>
        <name val="Arial"/>
        <scheme val="none"/>
      </font>
      <numFmt numFmtId="172" formatCode="#,##0.00\ &quot;€&quo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border diagonalUp="0" diagonalDown="0" outline="0">
        <left/>
        <right/>
        <top/>
        <bottom/>
      </border>
    </dxf>
    <dxf>
      <font>
        <b/>
        <i val="0"/>
        <strike val="0"/>
        <condense val="0"/>
        <extend val="0"/>
        <outline val="0"/>
        <shadow val="0"/>
        <u val="none"/>
        <vertAlign val="baseline"/>
        <sz val="11"/>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theme="0"/>
        <name val="Arial"/>
        <scheme val="none"/>
      </font>
      <numFmt numFmtId="3" formatCode="#,##0"/>
      <fill>
        <patternFill patternType="none">
          <fgColor indexed="64"/>
          <bgColor indexed="65"/>
        </patternFill>
      </fill>
      <alignment horizontal="left" vertical="center" textRotation="0" wrapText="1" indent="0" justifyLastLine="0" shrinkToFit="0" readingOrder="0"/>
    </dxf>
    <dxf>
      <font>
        <b/>
        <strike val="0"/>
        <outline val="0"/>
        <shadow val="0"/>
        <u val="none"/>
        <vertAlign val="baseline"/>
        <sz val="11"/>
        <name val="Arial"/>
        <scheme val="none"/>
      </font>
      <numFmt numFmtId="3" formatCode="#,##0"/>
      <fill>
        <patternFill patternType="solid">
          <fgColor indexed="64"/>
          <bgColor theme="8" tint="0.79998168889431442"/>
        </patternFill>
      </fill>
      <alignment horizontal="right"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border outline="0">
        <right style="thin">
          <color indexed="64"/>
        </right>
      </border>
    </dxf>
    <dxf>
      <font>
        <strike val="0"/>
        <outline val="0"/>
        <shadow val="0"/>
        <u val="none"/>
        <vertAlign val="baseline"/>
        <sz val="11"/>
        <name val="Arial"/>
        <scheme val="none"/>
      </font>
    </dxf>
    <dxf>
      <font>
        <b/>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indexed="8"/>
        <name val="Arial"/>
        <scheme val="none"/>
      </font>
      <numFmt numFmtId="3" formatCode="#,##0"/>
      <fill>
        <patternFill patternType="none">
          <fgColor indexed="64"/>
          <bgColor indexed="65"/>
        </patternFill>
      </fill>
      <alignment horizontal="general" vertical="bottom" textRotation="0" wrapText="0" indent="0" justifyLastLine="0" shrinkToFit="0" readingOrder="0"/>
    </dxf>
    <dxf>
      <border outline="0">
        <right style="thin">
          <color indexed="64"/>
        </right>
      </border>
    </dxf>
    <dxf>
      <font>
        <strike val="0"/>
        <outline val="0"/>
        <shadow val="0"/>
        <u val="none"/>
        <vertAlign val="baseline"/>
        <sz val="11"/>
        <name val="Arial"/>
        <scheme val="none"/>
      </font>
    </dxf>
    <dxf>
      <font>
        <strike val="0"/>
        <outline val="0"/>
        <shadow val="0"/>
        <u val="none"/>
        <vertAlign val="baseline"/>
        <sz val="11"/>
        <color theme="0"/>
        <name val="Arial"/>
        <scheme val="none"/>
      </font>
      <alignment horizontal="left" vertical="center" textRotation="0" wrapText="1"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4" tint="0.79998168889431442"/>
        </patternFill>
      </fill>
      <alignment horizontal="right" vertical="bottom" textRotation="0" wrapText="0"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1"/>
        <color auto="1"/>
        <name val="Arial"/>
        <scheme val="none"/>
      </font>
      <numFmt numFmtId="166" formatCode="#,##0_ ;[Red]\-#,##0\ "/>
      <fill>
        <patternFill patternType="solid">
          <fgColor indexed="64"/>
          <bgColor theme="4" tint="0.79998168889431442"/>
        </patternFill>
      </fill>
      <border diagonalUp="0" diagonalDown="0" outline="0">
        <left style="thin">
          <color indexed="64"/>
        </left>
        <right/>
        <top/>
        <bottom/>
      </border>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protection locked="0" hidden="0"/>
    </dxf>
    <dxf>
      <font>
        <b/>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alignment horizontal="left" vertical="bottom" textRotation="0" wrapText="0" indent="0" justifyLastLine="0" shrinkToFit="0" readingOrder="0"/>
    </dxf>
    <dxf>
      <border outline="0">
        <right style="thin">
          <color indexed="64"/>
        </right>
      </border>
    </dxf>
    <dxf>
      <font>
        <strike val="0"/>
        <outline val="0"/>
        <shadow val="0"/>
        <u val="none"/>
        <vertAlign val="baseline"/>
        <sz val="11"/>
        <color theme="0"/>
        <name val="Arial"/>
      </font>
      <alignment horizontal="general" vertical="center" textRotation="0" wrapText="1"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5" tint="0.79998168889431442"/>
        </patternFill>
      </fill>
      <border diagonalUp="0" diagonalDown="0" outline="0">
        <left/>
        <right style="thin">
          <color indexed="64"/>
        </right>
        <top/>
        <bottom/>
      </border>
    </dxf>
    <dxf>
      <font>
        <b val="0"/>
        <i val="0"/>
        <strike val="0"/>
        <condense val="0"/>
        <extend val="0"/>
        <outline val="0"/>
        <shadow val="0"/>
        <u val="none"/>
        <vertAlign val="baseline"/>
        <sz val="11"/>
        <color auto="1"/>
        <name val="Arial"/>
        <scheme val="none"/>
      </font>
      <numFmt numFmtId="166" formatCode="#,##0_ ;[Red]\-#,##0\ "/>
      <fill>
        <patternFill patternType="solid">
          <fgColor indexed="64"/>
          <bgColor theme="7"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solid">
          <fgColor indexed="64"/>
          <bgColor theme="7"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theme="0"/>
        <name val="Arial"/>
        <scheme val="none"/>
      </font>
      <numFmt numFmtId="166" formatCode="#,##0_ ;[Red]\-#,##0\ "/>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border outline="0">
        <left style="thin">
          <color indexed="64"/>
        </left>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4" formatCode="#,##0.00"/>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none"/>
      </font>
      <numFmt numFmtId="3" formatCode="#,##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border outline="0">
        <right style="thin">
          <color indexed="64"/>
        </right>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2" formatCode="0.00"/>
      <fill>
        <patternFill patternType="solid">
          <fgColor indexed="64"/>
          <bgColor theme="3" tint="0.79998168889431442"/>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theme="3"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theme="3"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numFmt numFmtId="13" formatCode="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14" formatCode="0.00\ %"/>
      <fill>
        <patternFill patternType="solid">
          <fgColor indexed="64"/>
          <bgColor theme="3"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178" formatCode="#,##0.0000"/>
      <fill>
        <patternFill patternType="solid">
          <fgColor indexed="64"/>
          <bgColor theme="3" tint="0.79998168889431442"/>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border diagonalUp="0" diagonalDown="0">
        <left style="thin">
          <color indexed="64"/>
        </left>
        <right style="thin">
          <color indexed="64"/>
        </right>
        <top/>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border outline="0">
        <right style="thin">
          <color indexed="64"/>
        </right>
      </border>
    </dxf>
    <dxf>
      <font>
        <strike val="0"/>
        <outline val="0"/>
        <shadow val="0"/>
        <u val="none"/>
        <vertAlign val="baseline"/>
        <color theme="0"/>
        <name val="Arial"/>
      </font>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border outline="0">
        <left style="thin">
          <color indexed="64"/>
        </left>
        <bottom style="thin">
          <color indexed="64"/>
        </bottom>
      </border>
    </dxf>
    <dxf>
      <font>
        <b/>
        <i val="0"/>
        <strike val="0"/>
        <condense val="0"/>
        <extend val="0"/>
        <outline val="0"/>
        <shadow val="0"/>
        <u val="none"/>
        <vertAlign val="baseline"/>
        <sz val="11"/>
        <color theme="1"/>
        <name val="Arial"/>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0"/>
        <name val="Arial"/>
        <scheme val="none"/>
      </font>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dxf>
    <dxf>
      <font>
        <b/>
        <i val="0"/>
        <strike val="0"/>
        <condense val="0"/>
        <extend val="0"/>
        <outline val="0"/>
        <shadow val="0"/>
        <u val="none"/>
        <vertAlign val="baseline"/>
        <sz val="11"/>
        <color theme="1"/>
        <name val="Arial"/>
        <scheme val="none"/>
      </font>
      <fill>
        <patternFill patternType="none">
          <fgColor indexed="64"/>
          <bgColor indexed="65"/>
        </patternFill>
      </fill>
    </dxf>
    <dxf>
      <font>
        <b/>
        <i val="0"/>
        <strike val="0"/>
        <condense val="0"/>
        <extend val="0"/>
        <outline val="0"/>
        <shadow val="0"/>
        <u val="none"/>
        <vertAlign val="baseline"/>
        <sz val="11"/>
        <color theme="1"/>
        <name val="Arial"/>
        <scheme val="none"/>
      </font>
      <numFmt numFmtId="3" formatCode="#,##0"/>
      <fill>
        <patternFill patternType="solid">
          <fgColor indexed="64"/>
          <bgColor theme="6" tint="0.59999389629810485"/>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14" formatCode="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176" formatCode="0.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77"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13" formatCode="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border outline="0">
        <right style="thin">
          <color indexed="64"/>
        </right>
      </border>
    </dxf>
    <dxf>
      <font>
        <b val="0"/>
        <i val="0"/>
        <strike val="0"/>
        <condense val="0"/>
        <extend val="0"/>
        <outline val="0"/>
        <shadow val="0"/>
        <u val="none"/>
        <vertAlign val="baseline"/>
        <sz val="11"/>
        <color theme="1"/>
        <name val="Arial"/>
        <scheme val="none"/>
      </font>
      <fill>
        <patternFill patternType="none">
          <fgColor indexed="64"/>
          <bgColor indexed="65"/>
        </patternFill>
      </fill>
    </dxf>
    <dxf>
      <font>
        <strike val="0"/>
        <outline val="0"/>
        <shadow val="0"/>
        <u val="none"/>
        <vertAlign val="baseline"/>
        <sz val="11"/>
        <color theme="0"/>
        <name val="Arial"/>
      </font>
      <alignment horizontal="left" vertical="center" textRotation="0" wrapText="1" indent="0" justifyLastLine="0" shrinkToFit="0" readingOrder="0"/>
    </dxf>
    <dxf>
      <font>
        <b/>
        <i val="0"/>
        <strike val="0"/>
        <condense val="0"/>
        <extend val="0"/>
        <outline val="0"/>
        <shadow val="0"/>
        <u val="none"/>
        <vertAlign val="baseline"/>
        <sz val="11"/>
        <color auto="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border outline="0">
        <left style="thin">
          <color indexed="64"/>
        </left>
        <right style="thin">
          <color indexed="64"/>
        </right>
      </border>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0"/>
        <name val="Arial"/>
        <scheme val="none"/>
      </font>
      <numFmt numFmtId="3" formatCode="#,##0"/>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numFmt numFmtId="3" formatCode="#,##0"/>
      <fill>
        <patternFill patternType="solid">
          <fgColor indexed="64"/>
          <bgColor theme="6" tint="0.59999389629810485"/>
        </patternFill>
      </fill>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style="thin">
          <color auto="1"/>
        </top>
        <bottom style="thin">
          <color auto="1"/>
        </bottom>
        <vertical/>
        <horizontal style="thin">
          <color auto="1"/>
        </horizontal>
      </border>
    </dxf>
    <dxf>
      <font>
        <b/>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dxf>
    <dxf>
      <font>
        <b/>
        <i val="0"/>
        <strike val="0"/>
        <condense val="0"/>
        <extend val="0"/>
        <outline val="0"/>
        <shadow val="0"/>
        <u val="none"/>
        <vertAlign val="baseline"/>
        <sz val="11"/>
        <color theme="0"/>
        <name val="Arial"/>
        <scheme val="none"/>
      </font>
      <numFmt numFmtId="3" formatCode="#,##0"/>
      <fill>
        <patternFill patternType="none">
          <fgColor indexed="64"/>
          <bgColor indexed="65"/>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1"/>
        <color auto="1"/>
        <name val="Arial"/>
        <scheme val="none"/>
      </font>
      <numFmt numFmtId="166" formatCode="#,##0_ ;[Red]\-#,##0\ "/>
      <fill>
        <patternFill patternType="solid">
          <fgColor indexed="64"/>
          <bgColor theme="8"/>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outline="0">
        <right style="thin">
          <color indexed="64"/>
        </right>
      </border>
    </dxf>
    <dxf>
      <font>
        <b val="0"/>
        <i val="0"/>
        <strike val="0"/>
        <condense val="0"/>
        <extend val="0"/>
        <outline val="0"/>
        <shadow val="0"/>
        <u val="none"/>
        <vertAlign val="baseline"/>
        <sz val="11"/>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dxf>
    <dxf>
      <font>
        <b val="0"/>
        <i val="0"/>
        <strike val="0"/>
        <condense val="0"/>
        <extend val="0"/>
        <outline val="0"/>
        <shadow val="0"/>
        <u val="none"/>
        <vertAlign val="baseline"/>
        <sz val="11"/>
        <color auto="1"/>
        <name val="Arial"/>
        <scheme val="none"/>
      </font>
      <numFmt numFmtId="3" formatCode="#,##0"/>
    </dxf>
    <dxf>
      <font>
        <b val="0"/>
        <i val="0"/>
        <strike val="0"/>
        <condense val="0"/>
        <extend val="0"/>
        <outline val="0"/>
        <shadow val="0"/>
        <u val="none"/>
        <vertAlign val="baseline"/>
        <sz val="11"/>
        <color auto="1"/>
        <name val="Arial"/>
        <scheme val="none"/>
      </font>
      <numFmt numFmtId="4"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7" formatCode="#,##0_ ;\-#,##0\ "/>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7" formatCode="#,##0_ ;\-#,##0\ "/>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7" formatCode="#,##0_ ;\-#,##0\ "/>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3" formatCode="#,##0"/>
    </dxf>
    <dxf>
      <font>
        <b val="0"/>
        <i val="0"/>
        <strike val="0"/>
        <condense val="0"/>
        <extend val="0"/>
        <outline val="0"/>
        <shadow val="0"/>
        <u val="none"/>
        <vertAlign val="baseline"/>
        <sz val="11"/>
        <color auto="1"/>
        <name val="Arial"/>
        <scheme val="none"/>
      </font>
      <numFmt numFmtId="1" formatCode="0"/>
    </dxf>
    <dxf>
      <font>
        <strike val="0"/>
        <outline val="0"/>
        <shadow val="0"/>
        <u val="none"/>
        <vertAlign val="baseline"/>
        <color theme="0"/>
        <name val="Arial"/>
      </font>
      <fill>
        <patternFill patternType="none">
          <fgColor indexed="64"/>
          <bgColor auto="1"/>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533400</xdr:colOff>
      <xdr:row>0</xdr:row>
      <xdr:rowOff>180974</xdr:rowOff>
    </xdr:from>
    <xdr:to>
      <xdr:col>10</xdr:col>
      <xdr:colOff>314325</xdr:colOff>
      <xdr:row>23</xdr:row>
      <xdr:rowOff>66675</xdr:rowOff>
    </xdr:to>
    <xdr:sp macro="" textlink="">
      <xdr:nvSpPr>
        <xdr:cNvPr id="2" name="Tekstiruutu 1">
          <a:extLst>
            <a:ext uri="{FF2B5EF4-FFF2-40B4-BE49-F238E27FC236}">
              <a16:creationId xmlns:a16="http://schemas.microsoft.com/office/drawing/2014/main" id="{00000000-0008-0000-0800-000002000000}"/>
            </a:ext>
          </a:extLst>
        </xdr:cNvPr>
        <xdr:cNvSpPr txBox="1"/>
      </xdr:nvSpPr>
      <xdr:spPr>
        <a:xfrm>
          <a:off x="7772400" y="180974"/>
          <a:ext cx="9677400" cy="4324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t>Valtiolta kunnille siirtyvien TE- ja kotoutumispalveluiden rahoitus on alkuperäisten siirtojen mukaan noin 658 milj. euroa. Kun huomioidaan ennen järjestämisvastuun siirtoa voimaantulevat tehtävämuutokset, muodostuu palveluiden rahoituksen tasoksi noin 607 milj. euroa.  </a:t>
          </a:r>
        </a:p>
        <a:p>
          <a:endParaRPr lang="fi-FI" sz="1050"/>
        </a:p>
        <a:p>
          <a:r>
            <a:rPr lang="fi-FI" sz="1050" b="1"/>
            <a:t>Valtionosuuslain (384/2023) siirtymäsäännöksessä säädetään palveluiden rahoituksen</a:t>
          </a:r>
          <a:r>
            <a:rPr lang="fi-FI" sz="1050" b="1" baseline="0"/>
            <a:t> kohdentamisesta: </a:t>
          </a:r>
        </a:p>
        <a:p>
          <a:r>
            <a:rPr lang="fi-FI" sz="1050" baseline="0"/>
            <a:t>Kunnan peruspalvelujen valtionosuudesta annetun lain 1 §:n 1 momentin 21 kohdassa tarkoitetut tehtävät otetaan huomioon vuoden 2025 laskennallisten kustannusten perushintoja säädettäessä siten, että tehtävien arvioiduista kustannuksista 50 prosenttia kohdennetaan työttömien määrän perusteella ja 50 prosenttia 18–64-vuotiaiden asukkaiden määrän perusteella. Kotoutumiskoulutuksen arvioidut kustannukset kohdennetaan kuitenkin vieraskielisyyden perusteella.</a:t>
          </a:r>
        </a:p>
        <a:p>
          <a:endParaRPr lang="fi-FI" sz="1050" baseline="0"/>
        </a:p>
        <a:p>
          <a:r>
            <a:rPr lang="fi-FI" sz="1050" baseline="0"/>
            <a:t>Kyseisten, työvoimapalveluiden järjestämisestä annetussa laissa säädettyjen tehtävien rahoitus on yhteensä noin 590 milj. euroa, josta noin 46 milj. euroa on kotoutumiskoulutuksen järjestämiseen siirtyvää rahoitusta. Näin ollen työikäisen väestön ja työttömien määrän mukaan kohdentuu kummankin kriteerin kautta noin 271,5 milj. euroa. </a:t>
          </a:r>
        </a:p>
        <a:p>
          <a:endParaRPr lang="fi-FI" sz="1050" baseline="0"/>
        </a:p>
        <a:p>
          <a:r>
            <a:rPr lang="fi-FI" sz="1050" baseline="0">
              <a:solidFill>
                <a:schemeClr val="dk1"/>
              </a:solidFill>
              <a:effectLst/>
              <a:latin typeface="+mn-lt"/>
              <a:ea typeface="+mn-ea"/>
              <a:cs typeface="+mn-cs"/>
            </a:rPr>
            <a:t>Kunnan peruspalvelujen valtionosuudesta annetun lain 1 §:n 1 momentin 22 kohdassa säädetään valtionosuuden soveltamisalaan kuuluvista kotoutumisen edistämisestä annetun lain mukaisista tehtävistä. Kyseisten tehtävien rahoitus on noin 17,6</a:t>
          </a:r>
          <a:r>
            <a:rPr lang="fi-FI" sz="1050" baseline="0"/>
            <a:t> milj. euroa. Rahoitus kohdennetaan kuntiin vieraskielisyyskriteerin perusteella, mikä on hallituksen esityksessä (208/2022 vp) arvioitu olevan paras kriteeri kohdentamaan rahoitusta.</a:t>
          </a:r>
        </a:p>
        <a:p>
          <a:endParaRPr lang="fi-FI" sz="1050" baseline="0"/>
        </a:p>
        <a:p>
          <a:pPr marL="0" marR="0" lvl="0" indent="0" defTabSz="914400" eaLnBrk="1" fontAlgn="auto" latinLnBrk="0" hangingPunct="1">
            <a:lnSpc>
              <a:spcPct val="100000"/>
            </a:lnSpc>
            <a:spcBef>
              <a:spcPts val="0"/>
            </a:spcBef>
            <a:spcAft>
              <a:spcPts val="0"/>
            </a:spcAft>
            <a:buClrTx/>
            <a:buSzTx/>
            <a:buFontTx/>
            <a:buNone/>
            <a:tabLst/>
            <a:defRPr/>
          </a:pPr>
          <a:r>
            <a:rPr lang="fi-FI" sz="1050" b="1">
              <a:solidFill>
                <a:schemeClr val="dk1"/>
              </a:solidFill>
              <a:effectLst/>
              <a:latin typeface="+mn-lt"/>
              <a:ea typeface="+mn-ea"/>
              <a:cs typeface="+mn-cs"/>
            </a:rPr>
            <a:t>Valtionosuuslain (384/2023) siirtymäsäännöksessä säädetään siirtymäajan rahoituksesta</a:t>
          </a:r>
          <a:r>
            <a:rPr lang="fi-FI" sz="1050" b="1" baseline="0">
              <a:solidFill>
                <a:schemeClr val="dk1"/>
              </a:solidFill>
              <a:effectLst/>
              <a:latin typeface="+mn-lt"/>
              <a:ea typeface="+mn-ea"/>
              <a:cs typeface="+mn-cs"/>
            </a:rPr>
            <a:t>: </a:t>
          </a:r>
          <a:endParaRPr lang="fi-FI" sz="1050">
            <a:effectLst/>
          </a:endParaRPr>
        </a:p>
        <a:p>
          <a:r>
            <a:rPr lang="fi-FI" sz="1050"/>
            <a:t>Työvoimapalveluiden järjestämisestä annetun lain mukaisten tehtävien arvioiduista kustannuksista kohdennetaan vuoden 2023 arvioitujen kuntakohtaisten toteutuneiden kustannusten perusteella 50 prosenttia vuonna 2025 ja vuoden 2024 arvioitujen kuntakohtaisten toteutuneiden kustannusten perusteella 25 prosenttia vuonna 2026. Laskennallisin perustein kohdennettava osuus on mainittuina vuosina vastaavasti pienempi.</a:t>
          </a:r>
        </a:p>
        <a:p>
          <a:endParaRPr lang="fi-FI" sz="1050"/>
        </a:p>
        <a:p>
          <a:r>
            <a:rPr lang="fi-FI" sz="1050"/>
            <a:t>Toisin sanoen </a:t>
          </a:r>
          <a:r>
            <a:rPr lang="fi-FI" sz="1100">
              <a:solidFill>
                <a:schemeClr val="dk1"/>
              </a:solidFill>
              <a:effectLst/>
              <a:latin typeface="+mn-lt"/>
              <a:ea typeface="+mn-ea"/>
              <a:cs typeface="+mn-cs"/>
            </a:rPr>
            <a:t>siirtymäajan aikana osa laskennallisesta rahoituksesta korvataan kustannustietoihin perustuvalla rahoituksella. </a:t>
          </a:r>
          <a:r>
            <a:rPr lang="fi-FI" sz="1050"/>
            <a:t>Siirtymäajan rahoituksessa huomioidut kustannustiedot sekä</a:t>
          </a:r>
          <a:r>
            <a:rPr lang="fi-FI" sz="1050" baseline="0"/>
            <a:t> niiden muodostaminen on kuvattu välilehdellä "TE25 Palveluiden kustannusarvio". </a:t>
          </a:r>
          <a:endParaRPr lang="fi-FI" sz="1050"/>
        </a:p>
        <a:p>
          <a:endParaRPr lang="fi-FI" sz="1050"/>
        </a:p>
        <a:p>
          <a:r>
            <a:rPr lang="fi-FI" sz="1050">
              <a:solidFill>
                <a:schemeClr val="dk1"/>
              </a:solidFill>
              <a:effectLst/>
              <a:latin typeface="+mn-lt"/>
              <a:ea typeface="+mn-ea"/>
              <a:cs typeface="+mn-cs"/>
            </a:rPr>
            <a:t>Kotoutumisen edistämisestä annetun lain mukaisten</a:t>
          </a:r>
          <a:r>
            <a:rPr lang="fi-FI" sz="1050" baseline="0">
              <a:solidFill>
                <a:schemeClr val="dk1"/>
              </a:solidFill>
              <a:effectLst/>
              <a:latin typeface="+mn-lt"/>
              <a:ea typeface="+mn-ea"/>
              <a:cs typeface="+mn-cs"/>
            </a:rPr>
            <a:t> </a:t>
          </a:r>
          <a:r>
            <a:rPr lang="fi-FI" sz="1050">
              <a:solidFill>
                <a:schemeClr val="dk1"/>
              </a:solidFill>
              <a:effectLst/>
              <a:latin typeface="+mn-lt"/>
              <a:ea typeface="+mn-ea"/>
              <a:cs typeface="+mn-cs"/>
            </a:rPr>
            <a:t>tehtävien rahoitus (17,6 milj.</a:t>
          </a:r>
          <a:r>
            <a:rPr lang="fi-FI" sz="1050" baseline="0">
              <a:solidFill>
                <a:schemeClr val="dk1"/>
              </a:solidFill>
              <a:effectLst/>
              <a:latin typeface="+mn-lt"/>
              <a:ea typeface="+mn-ea"/>
              <a:cs typeface="+mn-cs"/>
            </a:rPr>
            <a:t> euroa)</a:t>
          </a:r>
          <a:r>
            <a:rPr lang="fi-FI" sz="1050">
              <a:solidFill>
                <a:schemeClr val="dk1"/>
              </a:solidFill>
              <a:effectLst/>
              <a:latin typeface="+mn-lt"/>
              <a:ea typeface="+mn-ea"/>
              <a:cs typeface="+mn-cs"/>
            </a:rPr>
            <a:t> ei ole osa siirtymäajan rahoitusta. Rahoitus on täysin laskennallista ja </a:t>
          </a:r>
          <a:r>
            <a:rPr lang="fi-FI" sz="1050" baseline="0">
              <a:solidFill>
                <a:schemeClr val="dk1"/>
              </a:solidFill>
              <a:effectLst/>
              <a:latin typeface="+mn-lt"/>
              <a:ea typeface="+mn-ea"/>
              <a:cs typeface="+mn-cs"/>
            </a:rPr>
            <a:t>kohdennetaan vieraskielisyyskriteerin kautta.</a:t>
          </a:r>
          <a:endParaRPr lang="fi-FI" sz="10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5</xdr:row>
      <xdr:rowOff>0</xdr:rowOff>
    </xdr:from>
    <xdr:to>
      <xdr:col>36</xdr:col>
      <xdr:colOff>629805</xdr:colOff>
      <xdr:row>76</xdr:row>
      <xdr:rowOff>58017</xdr:rowOff>
    </xdr:to>
    <xdr:sp macro="" textlink="">
      <xdr:nvSpPr>
        <xdr:cNvPr id="4" name="Tekstiruutu 3">
          <a:extLst>
            <a:ext uri="{FF2B5EF4-FFF2-40B4-BE49-F238E27FC236}">
              <a16:creationId xmlns:a16="http://schemas.microsoft.com/office/drawing/2014/main" id="{00000000-0008-0000-0A00-000002000000}"/>
            </a:ext>
          </a:extLst>
        </xdr:cNvPr>
        <xdr:cNvSpPr txBox="1"/>
      </xdr:nvSpPr>
      <xdr:spPr>
        <a:xfrm>
          <a:off x="24037636" y="1498023"/>
          <a:ext cx="10206760" cy="12977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solidFill>
                <a:sysClr val="windowText" lastClr="000000"/>
              </a:solidFill>
              <a:effectLst/>
              <a:latin typeface="+mn-lt"/>
              <a:ea typeface="+mn-ea"/>
              <a:cs typeface="+mn-cs"/>
            </a:rPr>
            <a:t>Kustannusten laskentaperusteet kyseisessä laskelmassa: </a:t>
          </a:r>
          <a:endParaRPr lang="fi-FI">
            <a:solidFill>
              <a:sysClr val="windowText" lastClr="000000"/>
            </a:solidFill>
            <a:effectLst/>
          </a:endParaRPr>
        </a:p>
        <a:p>
          <a:endParaRPr lang="fi-FI" sz="1100" b="1">
            <a:solidFill>
              <a:srgbClr val="FF0000"/>
            </a:solidFill>
            <a:effectLst/>
            <a:latin typeface="+mn-lt"/>
            <a:ea typeface="+mn-ea"/>
            <a:cs typeface="+mn-cs"/>
          </a:endParaRPr>
        </a:p>
        <a:p>
          <a:r>
            <a:rPr lang="fi-FI" sz="1100" b="1">
              <a:solidFill>
                <a:schemeClr val="dk1"/>
              </a:solidFill>
              <a:effectLst/>
              <a:latin typeface="+mn-lt"/>
              <a:ea typeface="+mn-ea"/>
              <a:cs typeface="+mn-cs"/>
            </a:rPr>
            <a:t>Toimintamenot:</a:t>
          </a:r>
          <a:endParaRPr lang="fi-FI">
            <a:effectLst/>
          </a:endParaRPr>
        </a:p>
        <a:p>
          <a:r>
            <a:rPr lang="fi-FI" sz="1100">
              <a:solidFill>
                <a:schemeClr val="dk1"/>
              </a:solidFill>
              <a:effectLst/>
              <a:latin typeface="+mn-lt"/>
              <a:ea typeface="+mn-ea"/>
              <a:cs typeface="+mn-cs"/>
            </a:rPr>
            <a:t>Toimintamenoissa on huomioitu</a:t>
          </a:r>
          <a:r>
            <a:rPr lang="fi-FI" sz="1100" baseline="0">
              <a:solidFill>
                <a:schemeClr val="dk1"/>
              </a:solidFill>
              <a:effectLst/>
              <a:latin typeface="+mn-lt"/>
              <a:ea typeface="+mn-ea"/>
              <a:cs typeface="+mn-cs"/>
            </a:rPr>
            <a:t> TE-toimistojen, ELY-keskusten ja KEHA-keskuksen toiminnasta aiheutuvat siirtyviin tehtäviin kohdentuvaksi arvioidut kustannukset. Suorista toimintamenoista suurin osa muodostuu henkilöstökustannuksista. Aluekohtaisen siirtyvän toteutuneen kustannuksen määrä arvioidaan kertomalla alueen toteutuneet suorat kustannukset alueen työvoimaviranomaisiin siirtyviksi arvioitujen toteutuneiden henkilötyövuosien osuudella alueen kaikista toteutuneista henkilötyövuosista.</a:t>
          </a:r>
        </a:p>
        <a:p>
          <a:endParaRPr lang="fi-FI" sz="1100" baseline="0">
            <a:solidFill>
              <a:schemeClr val="dk1"/>
            </a:solidFill>
            <a:effectLst/>
            <a:latin typeface="+mn-lt"/>
            <a:ea typeface="+mn-ea"/>
            <a:cs typeface="+mn-cs"/>
          </a:endParaRPr>
        </a:p>
        <a:p>
          <a:r>
            <a:rPr lang="fi-FI" sz="1100" baseline="0">
              <a:solidFill>
                <a:schemeClr val="dk1"/>
              </a:solidFill>
              <a:effectLst/>
              <a:latin typeface="+mn-lt"/>
              <a:ea typeface="+mn-ea"/>
              <a:cs typeface="+mn-cs"/>
            </a:rPr>
            <a:t>KEHA-keskuksen toiminnasta aiheutuvien menojen osalta kustannukset ovat raportoitavissa vain koko maan tasolla. Siirtyvien toteutuneiden kustannusten määräksi arvioidaan KEHA-keskuksen toiminnasta aiheutuneet menot yhteensä kerrottuna siirtyvien henkilötyövuosien osuudella kaikista toteutuneista henkilötyövuosista KEHA-keskuksessa.Vastaavalla tavalla on huomioitu TE-asiakaspalvelukeskuksen kustannukset. </a:t>
          </a:r>
          <a:r>
            <a:rPr lang="fi-FI" sz="1100" b="0" baseline="0">
              <a:solidFill>
                <a:schemeClr val="dk1"/>
              </a:solidFill>
              <a:effectLst/>
              <a:latin typeface="+mn-lt"/>
              <a:ea typeface="+mn-ea"/>
              <a:cs typeface="+mn-cs"/>
            </a:rPr>
            <a:t>Valtakunnallisista ELY-keskusten ja TE-toimistojen toimintamenoista, on huomioitu siirtyvän henkilöstön osuutta vastaava osuus kustannuksista pois lukien valtion järjestämisvastuulle jääviin tietojärjestelmien kehittämistehtäviin käytetyt toimintamenot, jotka on huomioitu täysimääräisesti valtiolle jäävinä kustannuksina.</a:t>
          </a:r>
        </a:p>
        <a:p>
          <a:endParaRPr lang="fi-FI" sz="1100" b="0" baseline="0">
            <a:solidFill>
              <a:schemeClr val="dk1"/>
            </a:solidFill>
            <a:effectLst/>
            <a:latin typeface="+mn-lt"/>
            <a:ea typeface="+mn-ea"/>
            <a:cs typeface="+mn-cs"/>
          </a:endParaRPr>
        </a:p>
        <a:p>
          <a:r>
            <a:rPr lang="fi-FI" sz="1100" b="0" baseline="0">
              <a:solidFill>
                <a:schemeClr val="dk1"/>
              </a:solidFill>
              <a:effectLst/>
              <a:latin typeface="+mn-lt"/>
              <a:ea typeface="+mn-ea"/>
              <a:cs typeface="+mn-cs"/>
            </a:rPr>
            <a:t>Kustannukset kohdennetaan kuntakohtaisesti TE-toimistojen asiakkaiden kuntakohtaisen jakauman perusteella. Laskennassa asiakkaiden jakautumista kunnittain on arvioitu vuonna 2023 maksettujen työttömyysetuuspäivien jakaumalla. Suorien kustannusten osalta kuntakohtainen arvio muodostetaan jakamalla aluekohtainen siirtyviin tehtäviin kohdentuva arvioitu toteutunut kustannus alueen toteutuneilla työttömyysetuuspäivillä ja kertomalla osamäärä alueen kunkin kunnan työttömyysetuuspäivien määrällä. Valtakunnallisten kustannusten osalta arvio on muodostettu vastaavasti, mutta kaikkien kuntien kohdalla on käytetty samaa koko maan keskihintaa, joka on tuotettu jakamalla valtakunnallisten siirtyviksi arvioitujen toteutuneiden toimintamenojen määrä koko maan työttömyysetuuspäivien määrällä.  </a:t>
          </a:r>
          <a:endParaRPr lang="fi-FI" sz="1100" b="0">
            <a:solidFill>
              <a:srgbClr val="FF0000"/>
            </a:solidFill>
            <a:effectLst/>
            <a:latin typeface="+mn-lt"/>
            <a:ea typeface="+mn-ea"/>
            <a:cs typeface="+mn-cs"/>
          </a:endParaRPr>
        </a:p>
        <a:p>
          <a:endParaRPr lang="fi-FI" sz="1100" b="1">
            <a:solidFill>
              <a:srgbClr val="FF0000"/>
            </a:solidFill>
            <a:effectLst/>
            <a:latin typeface="+mn-lt"/>
            <a:ea typeface="+mn-ea"/>
            <a:cs typeface="+mn-cs"/>
          </a:endParaRPr>
        </a:p>
        <a:p>
          <a:r>
            <a:rPr lang="fi-FI" sz="1100" b="1">
              <a:solidFill>
                <a:sysClr val="windowText" lastClr="000000"/>
              </a:solidFill>
              <a:effectLst/>
              <a:latin typeface="+mn-lt"/>
              <a:ea typeface="+mn-ea"/>
              <a:cs typeface="+mn-cs"/>
            </a:rPr>
            <a:t>Kotoutumiskoulutus:</a:t>
          </a:r>
          <a:endParaRPr lang="fi-FI">
            <a:solidFill>
              <a:sysClr val="windowText" lastClr="000000"/>
            </a:solidFill>
            <a:effectLst/>
          </a:endParaRPr>
        </a:p>
        <a:p>
          <a:r>
            <a:rPr lang="fi-FI" sz="1100">
              <a:solidFill>
                <a:sysClr val="windowText" lastClr="000000"/>
              </a:solidFill>
              <a:effectLst/>
              <a:latin typeface="+mn-lt"/>
              <a:ea typeface="+mn-ea"/>
              <a:cs typeface="+mn-cs"/>
            </a:rPr>
            <a:t>Kotoutumiskoulutuksista</a:t>
          </a:r>
          <a:r>
            <a:rPr lang="fi-FI" sz="1100" baseline="0">
              <a:solidFill>
                <a:sysClr val="windowText" lastClr="000000"/>
              </a:solidFill>
              <a:effectLst/>
              <a:latin typeface="+mn-lt"/>
              <a:ea typeface="+mn-ea"/>
              <a:cs typeface="+mn-cs"/>
            </a:rPr>
            <a:t> ei ole käytettävissä kuntakohtaista tietoa palvelun kustannuksista, vaan kirjanpidossa työvoimakoulutusten kustannukset kirjataan </a:t>
          </a:r>
          <a:r>
            <a:rPr lang="fi-FI" sz="1100">
              <a:solidFill>
                <a:sysClr val="windowText" lastClr="000000"/>
              </a:solidFill>
              <a:effectLst/>
              <a:latin typeface="+mn-lt"/>
              <a:ea typeface="+mn-ea"/>
              <a:cs typeface="+mn-cs"/>
            </a:rPr>
            <a:t>ELY-keskusalueen tasolla. Työnvälitystilastosta on poimittavissa työvoimakoulutuksiin osallistuneet</a:t>
          </a:r>
          <a:r>
            <a:rPr lang="fi-FI" sz="1100" baseline="0">
              <a:solidFill>
                <a:sysClr val="windowText" lastClr="000000"/>
              </a:solidFill>
              <a:effectLst/>
              <a:latin typeface="+mn-lt"/>
              <a:ea typeface="+mn-ea"/>
              <a:cs typeface="+mn-cs"/>
            </a:rPr>
            <a:t> henkilöt. Kuntakohtainen arvio kotoutumiskoulutuksen kustannuksista muodostetaan kertomalla koulutukseen osallistuneiden henkilöiden määrä koko maan keskihinnalla. Palveluun osallistuneet henkilöt katsotaan työnvälitystilastosta palveluun osallistuneiden henkilöiden kuukausikeskiarvona laskentapäivän tiedosta.</a:t>
          </a:r>
        </a:p>
        <a:p>
          <a:endParaRPr lang="fi-FI" sz="1100" baseline="0">
            <a:solidFill>
              <a:sysClr val="windowText" lastClr="000000"/>
            </a:solidFill>
            <a:effectLst/>
            <a:latin typeface="+mn-lt"/>
            <a:ea typeface="+mn-ea"/>
            <a:cs typeface="+mn-cs"/>
          </a:endParaRPr>
        </a:p>
        <a:p>
          <a:r>
            <a:rPr lang="fi-FI" sz="1100" baseline="0">
              <a:solidFill>
                <a:sysClr val="windowText" lastClr="000000"/>
              </a:solidFill>
              <a:effectLst/>
              <a:latin typeface="+mn-lt"/>
              <a:ea typeface="+mn-ea"/>
              <a:cs typeface="+mn-cs"/>
            </a:rPr>
            <a:t>Taulukossa on raportoitu erikseen arvio kuntakohtaisista toteutuneista kotoutumiskoulutuksen kustannuksista yhteensä</a:t>
          </a:r>
        </a:p>
        <a:p>
          <a:r>
            <a:rPr lang="fi-FI" sz="1100" baseline="0">
              <a:solidFill>
                <a:sysClr val="windowText" lastClr="000000"/>
              </a:solidFill>
              <a:effectLst/>
              <a:latin typeface="+mn-lt"/>
              <a:ea typeface="+mn-ea"/>
              <a:cs typeface="+mn-cs"/>
            </a:rPr>
            <a:t>sekä arvio kunnille siirtyvästä koulutuksesta, joka on oletettu budjettia vastaavasti olevan 60 prosenttia kaikissa kunnissa. Laskentaoletuksena käytetään samaa kerrointa kaikkien kuntien kohdalla, koska edellä tarkoitettujen henkilöiden osallistumisesta kotoutumiskoulutuksiin ei ole saatavilla tilastotietoa kunnittain.</a:t>
          </a:r>
          <a:endParaRPr lang="fi-FI" sz="1100" baseline="0">
            <a:solidFill>
              <a:srgbClr val="FF0000"/>
            </a:solidFill>
            <a:effectLst/>
            <a:latin typeface="+mn-lt"/>
            <a:ea typeface="+mn-ea"/>
            <a:cs typeface="+mn-cs"/>
          </a:endParaRPr>
        </a:p>
        <a:p>
          <a:endParaRPr lang="fi-FI">
            <a:solidFill>
              <a:srgbClr val="FF0000"/>
            </a:solidFill>
            <a:effectLst/>
          </a:endParaRPr>
        </a:p>
        <a:p>
          <a:r>
            <a:rPr lang="fi-FI" sz="1100" b="1">
              <a:solidFill>
                <a:sysClr val="windowText" lastClr="000000"/>
              </a:solidFill>
              <a:effectLst/>
              <a:latin typeface="+mn-lt"/>
              <a:ea typeface="+mn-ea"/>
              <a:cs typeface="+mn-cs"/>
            </a:rPr>
            <a:t>Muu työvoimakoulutus:</a:t>
          </a:r>
          <a:endParaRPr lang="fi-FI">
            <a:solidFill>
              <a:sysClr val="windowText" lastClr="000000"/>
            </a:solidFill>
            <a:effectLst/>
          </a:endParaRPr>
        </a:p>
        <a:p>
          <a:r>
            <a:rPr lang="fi-FI" sz="1100">
              <a:solidFill>
                <a:sysClr val="windowText" lastClr="000000"/>
              </a:solidFill>
              <a:effectLst/>
              <a:latin typeface="+mn-lt"/>
              <a:ea typeface="+mn-ea"/>
              <a:cs typeface="+mn-cs"/>
            </a:rPr>
            <a:t>Työvoimakoulutuksista muut kuin tutkintoon johtavat koulutukset on rahoitettu</a:t>
          </a:r>
          <a:r>
            <a:rPr lang="fi-FI" sz="1100" baseline="0">
              <a:solidFill>
                <a:sysClr val="windowText" lastClr="000000"/>
              </a:solidFill>
              <a:effectLst/>
              <a:latin typeface="+mn-lt"/>
              <a:ea typeface="+mn-ea"/>
              <a:cs typeface="+mn-cs"/>
            </a:rPr>
            <a:t> </a:t>
          </a:r>
          <a:r>
            <a:rPr lang="fi-FI" sz="1100">
              <a:solidFill>
                <a:sysClr val="windowText" lastClr="000000"/>
              </a:solidFill>
              <a:effectLst/>
              <a:latin typeface="+mn-lt"/>
              <a:ea typeface="+mn-ea"/>
              <a:cs typeface="+mn-cs"/>
            </a:rPr>
            <a:t>valtion talousarvion momentilta 32.30.51. Tältä osin</a:t>
          </a:r>
        </a:p>
        <a:p>
          <a:r>
            <a:rPr lang="fi-FI" sz="1100">
              <a:solidFill>
                <a:sysClr val="windowText" lastClr="000000"/>
              </a:solidFill>
              <a:effectLst/>
              <a:latin typeface="+mn-lt"/>
              <a:ea typeface="+mn-ea"/>
              <a:cs typeface="+mn-cs"/>
            </a:rPr>
            <a:t>työvoimakoulutukseen budjetoitu määräraha siirtyy kuntien peruspalvelujen valtionosuuksiin.</a:t>
          </a:r>
        </a:p>
        <a:p>
          <a:endParaRPr lang="fi-FI" sz="1100">
            <a:solidFill>
              <a:sysClr val="windowText" lastClr="000000"/>
            </a:solidFill>
            <a:effectLst/>
            <a:latin typeface="+mn-lt"/>
            <a:ea typeface="+mn-ea"/>
            <a:cs typeface="+mn-cs"/>
          </a:endParaRPr>
        </a:p>
        <a:p>
          <a:r>
            <a:rPr lang="fi-FI" sz="1100">
              <a:solidFill>
                <a:sysClr val="windowText" lastClr="000000"/>
              </a:solidFill>
              <a:effectLst/>
              <a:latin typeface="+mn-lt"/>
              <a:ea typeface="+mn-ea"/>
              <a:cs typeface="+mn-cs"/>
            </a:rPr>
            <a:t>Valtio ei ole järjestänyt koulutuksia omana tuotantonaan, vaan koulutukset on hankittu ostopalveluna.</a:t>
          </a:r>
          <a:r>
            <a:rPr lang="fi-FI" sz="1100" baseline="0">
              <a:solidFill>
                <a:sysClr val="windowText" lastClr="000000"/>
              </a:solidFill>
              <a:effectLst/>
              <a:latin typeface="+mn-lt"/>
              <a:ea typeface="+mn-ea"/>
              <a:cs typeface="+mn-cs"/>
            </a:rPr>
            <a:t> </a:t>
          </a:r>
          <a:r>
            <a:rPr lang="fi-FI" sz="1100">
              <a:solidFill>
                <a:sysClr val="windowText" lastClr="000000"/>
              </a:solidFill>
              <a:effectLst/>
              <a:latin typeface="+mn-lt"/>
              <a:ea typeface="+mn-ea"/>
              <a:cs typeface="+mn-cs"/>
            </a:rPr>
            <a:t>Hankittujen palveluiden osalta muodostetaan yksi koko maata koskeva keskihinta, koska ylialueelliset</a:t>
          </a:r>
          <a:r>
            <a:rPr lang="fi-FI" sz="1100" baseline="0">
              <a:solidFill>
                <a:sysClr val="windowText" lastClr="000000"/>
              </a:solidFill>
              <a:effectLst/>
              <a:latin typeface="+mn-lt"/>
              <a:ea typeface="+mn-ea"/>
              <a:cs typeface="+mn-cs"/>
            </a:rPr>
            <a:t> </a:t>
          </a:r>
          <a:r>
            <a:rPr lang="fi-FI" sz="1100">
              <a:solidFill>
                <a:sysClr val="windowText" lastClr="000000"/>
              </a:solidFill>
              <a:effectLst/>
              <a:latin typeface="+mn-lt"/>
              <a:ea typeface="+mn-ea"/>
              <a:cs typeface="+mn-cs"/>
            </a:rPr>
            <a:t>hankinnat voivat vääristää alueellisia yksikköhintoja. Koko maata koskeva keskihinta muodostetaan</a:t>
          </a:r>
          <a:r>
            <a:rPr lang="fi-FI" sz="1100" baseline="0">
              <a:solidFill>
                <a:sysClr val="windowText" lastClr="000000"/>
              </a:solidFill>
              <a:effectLst/>
              <a:latin typeface="+mn-lt"/>
              <a:ea typeface="+mn-ea"/>
              <a:cs typeface="+mn-cs"/>
            </a:rPr>
            <a:t> </a:t>
          </a:r>
          <a:r>
            <a:rPr lang="fi-FI" sz="1100">
              <a:solidFill>
                <a:sysClr val="windowText" lastClr="000000"/>
              </a:solidFill>
              <a:effectLst/>
              <a:latin typeface="+mn-lt"/>
              <a:ea typeface="+mn-ea"/>
              <a:cs typeface="+mn-cs"/>
            </a:rPr>
            <a:t>jakamalla kirjanpitoon kirjatut palvelun kustannukset palveluun osallistuneiden henkilöiden määrällä.</a:t>
          </a:r>
        </a:p>
        <a:p>
          <a:endParaRPr lang="fi-FI" sz="1100">
            <a:solidFill>
              <a:sysClr val="windowText" lastClr="000000"/>
            </a:solidFill>
            <a:effectLst/>
            <a:latin typeface="+mn-lt"/>
            <a:ea typeface="+mn-ea"/>
            <a:cs typeface="+mn-cs"/>
          </a:endParaRPr>
        </a:p>
        <a:p>
          <a:r>
            <a:rPr lang="fi-FI" sz="1100">
              <a:solidFill>
                <a:sysClr val="windowText" lastClr="000000"/>
              </a:solidFill>
              <a:effectLst/>
              <a:latin typeface="+mn-lt"/>
              <a:ea typeface="+mn-ea"/>
              <a:cs typeface="+mn-cs"/>
            </a:rPr>
            <a:t>Palveluun osallistuneet henkilöt katsotaan työnvälitystilastosta palveluun osallistuneiden henkilöiden kuukausikeskiarvona laskentapäivän tiedosta. Palveluun osallistuneet</a:t>
          </a:r>
          <a:r>
            <a:rPr lang="fi-FI" sz="1100" baseline="0">
              <a:solidFill>
                <a:sysClr val="windowText" lastClr="000000"/>
              </a:solidFill>
              <a:effectLst/>
              <a:latin typeface="+mn-lt"/>
              <a:ea typeface="+mn-ea"/>
              <a:cs typeface="+mn-cs"/>
            </a:rPr>
            <a:t> </a:t>
          </a:r>
          <a:r>
            <a:rPr lang="fi-FI" sz="1100">
              <a:solidFill>
                <a:sysClr val="windowText" lastClr="000000"/>
              </a:solidFill>
              <a:effectLst/>
              <a:latin typeface="+mn-lt"/>
              <a:ea typeface="+mn-ea"/>
              <a:cs typeface="+mn-cs"/>
            </a:rPr>
            <a:t>henkilöt raportoidaan kunnittain ja kuntakohtainen työvoimakoulutuksen kustannus arvioidaan</a:t>
          </a:r>
          <a:r>
            <a:rPr lang="fi-FI" sz="1100" baseline="0">
              <a:solidFill>
                <a:sysClr val="windowText" lastClr="000000"/>
              </a:solidFill>
              <a:effectLst/>
              <a:latin typeface="+mn-lt"/>
              <a:ea typeface="+mn-ea"/>
              <a:cs typeface="+mn-cs"/>
            </a:rPr>
            <a:t> </a:t>
          </a:r>
          <a:r>
            <a:rPr lang="fi-FI" sz="1100">
              <a:solidFill>
                <a:sysClr val="windowText" lastClr="000000"/>
              </a:solidFill>
              <a:effectLst/>
              <a:latin typeface="+mn-lt"/>
              <a:ea typeface="+mn-ea"/>
              <a:cs typeface="+mn-cs"/>
            </a:rPr>
            <a:t>kertomalla kuntakohtaiset koulutukseen osallistuneet henkilöt koko maan keskihinnalla.</a:t>
          </a:r>
        </a:p>
        <a:p>
          <a:endParaRPr lang="fi-FI">
            <a:solidFill>
              <a:srgbClr val="FF0000"/>
            </a:solidFill>
            <a:effectLst/>
          </a:endParaRPr>
        </a:p>
        <a:p>
          <a:r>
            <a:rPr lang="fi-FI" sz="1100" b="1">
              <a:solidFill>
                <a:sysClr val="windowText" lastClr="000000"/>
              </a:solidFill>
              <a:effectLst/>
              <a:latin typeface="+mn-lt"/>
              <a:ea typeface="+mn-ea"/>
              <a:cs typeface="+mn-cs"/>
            </a:rPr>
            <a:t>Valmennukset:</a:t>
          </a:r>
          <a:endParaRPr lang="fi-FI">
            <a:solidFill>
              <a:sysClr val="windowText" lastClr="000000"/>
            </a:solidFill>
            <a:effectLst/>
          </a:endParaRPr>
        </a:p>
        <a:p>
          <a:r>
            <a:rPr lang="fi-FI">
              <a:solidFill>
                <a:sysClr val="windowText" lastClr="000000"/>
              </a:solidFill>
              <a:effectLst/>
            </a:rPr>
            <a:t>Valmennukset on</a:t>
          </a:r>
          <a:r>
            <a:rPr lang="fi-FI" baseline="0">
              <a:solidFill>
                <a:sysClr val="windowText" lastClr="000000"/>
              </a:solidFill>
              <a:effectLst/>
            </a:rPr>
            <a:t> </a:t>
          </a:r>
          <a:r>
            <a:rPr lang="fi-FI">
              <a:solidFill>
                <a:sysClr val="windowText" lastClr="000000"/>
              </a:solidFill>
              <a:effectLst/>
            </a:rPr>
            <a:t>hankittu ostopalveluna ja hankintoja on voitu tehdä ylialueellisesti, joten laskennassa käytetään koko</a:t>
          </a:r>
          <a:r>
            <a:rPr lang="fi-FI" baseline="0">
              <a:solidFill>
                <a:sysClr val="windowText" lastClr="000000"/>
              </a:solidFill>
              <a:effectLst/>
            </a:rPr>
            <a:t> </a:t>
          </a:r>
          <a:r>
            <a:rPr lang="fi-FI">
              <a:solidFill>
                <a:sysClr val="windowText" lastClr="000000"/>
              </a:solidFill>
              <a:effectLst/>
            </a:rPr>
            <a:t>maan keskihintaa, joka saadaan jakamalla valmennusten toteutuneet kustannukset koko maassa koko maan valmennuksiin</a:t>
          </a:r>
          <a:r>
            <a:rPr lang="fi-FI" baseline="0">
              <a:solidFill>
                <a:sysClr val="windowText" lastClr="000000"/>
              </a:solidFill>
              <a:effectLst/>
            </a:rPr>
            <a:t> </a:t>
          </a:r>
          <a:r>
            <a:rPr lang="fi-FI">
              <a:solidFill>
                <a:sysClr val="windowText" lastClr="000000"/>
              </a:solidFill>
              <a:effectLst/>
            </a:rPr>
            <a:t>osallistuneiden henkilöiden määrällä. Arvio kuntakohtaisista toteutuneista</a:t>
          </a:r>
          <a:r>
            <a:rPr lang="fi-FI" baseline="0">
              <a:solidFill>
                <a:sysClr val="windowText" lastClr="000000"/>
              </a:solidFill>
              <a:effectLst/>
            </a:rPr>
            <a:t> </a:t>
          </a:r>
          <a:r>
            <a:rPr lang="fi-FI">
              <a:solidFill>
                <a:sysClr val="windowText" lastClr="000000"/>
              </a:solidFill>
              <a:effectLst/>
            </a:rPr>
            <a:t>kustannuksista tuotetaan vastaavasti kuin työvoimakoulutuksen kohdalla kertomalla kunkin kunnan</a:t>
          </a:r>
          <a:r>
            <a:rPr lang="fi-FI" baseline="0">
              <a:solidFill>
                <a:sysClr val="windowText" lastClr="000000"/>
              </a:solidFill>
              <a:effectLst/>
            </a:rPr>
            <a:t> </a:t>
          </a:r>
          <a:r>
            <a:rPr lang="fi-FI">
              <a:solidFill>
                <a:sysClr val="windowText" lastClr="000000"/>
              </a:solidFill>
              <a:effectLst/>
            </a:rPr>
            <a:t>valmennukseen osallistuneiden henkilöiden määrä koko maan keskihinnalla.</a:t>
          </a:r>
        </a:p>
        <a:p>
          <a:endParaRPr lang="fi-FI">
            <a:solidFill>
              <a:sysClr val="windowText" lastClr="000000"/>
            </a:solidFill>
            <a:effectLst/>
          </a:endParaRPr>
        </a:p>
        <a:p>
          <a:r>
            <a:rPr lang="fi-FI" b="1">
              <a:solidFill>
                <a:sysClr val="windowText" lastClr="000000"/>
              </a:solidFill>
              <a:effectLst/>
            </a:rPr>
            <a:t>Yksityisen sektorin</a:t>
          </a:r>
          <a:r>
            <a:rPr lang="fi-FI" b="1" baseline="0">
              <a:solidFill>
                <a:sysClr val="windowText" lastClr="000000"/>
              </a:solidFill>
              <a:effectLst/>
            </a:rPr>
            <a:t> palkkatuettu työ:</a:t>
          </a:r>
        </a:p>
        <a:p>
          <a:r>
            <a:rPr lang="fi-FI" b="0">
              <a:solidFill>
                <a:sysClr val="windowText" lastClr="000000"/>
              </a:solidFill>
              <a:effectLst/>
            </a:rPr>
            <a:t>Arvio yksityiselle sektorille myönnetyn palkkatuetun työn toteutuneista kuntakohtaisista kustannuksista</a:t>
          </a:r>
          <a:r>
            <a:rPr lang="fi-FI" b="0" baseline="0">
              <a:solidFill>
                <a:sysClr val="windowText" lastClr="000000"/>
              </a:solidFill>
              <a:effectLst/>
            </a:rPr>
            <a:t> </a:t>
          </a:r>
          <a:r>
            <a:rPr lang="fi-FI" b="0">
              <a:solidFill>
                <a:sysClr val="windowText" lastClr="000000"/>
              </a:solidFill>
              <a:effectLst/>
            </a:rPr>
            <a:t>työllistetyn henkilön kotikunnan mukaan muodostetaan kertomalla alueen kunkin kunnan yksityiselle</a:t>
          </a:r>
          <a:r>
            <a:rPr lang="fi-FI" b="0" baseline="0">
              <a:solidFill>
                <a:sysClr val="windowText" lastClr="000000"/>
              </a:solidFill>
              <a:effectLst/>
            </a:rPr>
            <a:t> </a:t>
          </a:r>
          <a:r>
            <a:rPr lang="fi-FI" b="0">
              <a:solidFill>
                <a:sysClr val="windowText" lastClr="000000"/>
              </a:solidFill>
              <a:effectLst/>
            </a:rPr>
            <a:t>sektorille työllistettyjen henkilöiden määrä alueen keskihinnalla. Alueen keskihinta saadaan</a:t>
          </a:r>
          <a:r>
            <a:rPr lang="fi-FI" b="0" baseline="0">
              <a:solidFill>
                <a:sysClr val="windowText" lastClr="000000"/>
              </a:solidFill>
              <a:effectLst/>
            </a:rPr>
            <a:t> </a:t>
          </a:r>
          <a:r>
            <a:rPr lang="fi-FI" b="0">
              <a:solidFill>
                <a:sysClr val="windowText" lastClr="000000"/>
              </a:solidFill>
              <a:effectLst/>
            </a:rPr>
            <a:t>jakamalla alueen toteutuneet yksityisen sektorin palkkatuetun työn kustannukset alueen yksityiselle</a:t>
          </a:r>
          <a:r>
            <a:rPr lang="fi-FI" b="0" baseline="0">
              <a:solidFill>
                <a:sysClr val="windowText" lastClr="000000"/>
              </a:solidFill>
              <a:effectLst/>
            </a:rPr>
            <a:t> </a:t>
          </a:r>
          <a:r>
            <a:rPr lang="fi-FI" b="0">
              <a:solidFill>
                <a:sysClr val="windowText" lastClr="000000"/>
              </a:solidFill>
              <a:effectLst/>
            </a:rPr>
            <a:t>sektorille työllistettyjen henkilöiden määrällä.</a:t>
          </a:r>
        </a:p>
        <a:p>
          <a:endParaRPr lang="fi-FI" b="0">
            <a:solidFill>
              <a:sysClr val="windowText" lastClr="000000"/>
            </a:solidFill>
            <a:effectLst/>
          </a:endParaRPr>
        </a:p>
        <a:p>
          <a:r>
            <a:rPr lang="fi-FI" b="1">
              <a:solidFill>
                <a:sysClr val="windowText" lastClr="000000"/>
              </a:solidFill>
              <a:effectLst/>
            </a:rPr>
            <a:t>Julkisen sektorin palkkatuettu työ:</a:t>
          </a:r>
        </a:p>
        <a:p>
          <a:r>
            <a:rPr lang="fi-FI" b="0">
              <a:solidFill>
                <a:sysClr val="windowText" lastClr="000000"/>
              </a:solidFill>
              <a:effectLst/>
            </a:rPr>
            <a:t>Julkiselle sektorille myönnetyn palkkatuen</a:t>
          </a:r>
          <a:r>
            <a:rPr lang="fi-FI" b="0" baseline="0">
              <a:solidFill>
                <a:sysClr val="windowText" lastClr="000000"/>
              </a:solidFill>
              <a:effectLst/>
            </a:rPr>
            <a:t> </a:t>
          </a:r>
          <a:r>
            <a:rPr lang="fi-FI" b="0">
              <a:solidFill>
                <a:sysClr val="windowText" lastClr="000000"/>
              </a:solidFill>
              <a:effectLst/>
            </a:rPr>
            <a:t>kuntakohtaisista toteutuneista kustannuksista muodostetaan arvio vastaavalla tavalla kuin yksityisen</a:t>
          </a:r>
        </a:p>
        <a:p>
          <a:r>
            <a:rPr lang="fi-FI" b="0">
              <a:solidFill>
                <a:sysClr val="windowText" lastClr="000000"/>
              </a:solidFill>
              <a:effectLst/>
            </a:rPr>
            <a:t>sektorin palkkatuen kohdalla.</a:t>
          </a:r>
          <a:r>
            <a:rPr lang="fi-FI" b="0" baseline="0">
              <a:solidFill>
                <a:sysClr val="windowText" lastClr="000000"/>
              </a:solidFill>
              <a:effectLst/>
            </a:rPr>
            <a:t> Oheisessa taulukossa on erillisissä sarakkeissa esitetty kustannusarviot ennen järjestämisvastuun siirtoa voimaan tulevista palkkatuen muutoksista (olettaen, että laskelman laatimishetkellä lausuntokierroksella olevan hallituksen esityksen luonnoksessa ehdotetut muutokset hyväksytään lausuntokierroksella ehdotetussa muodossa). Kuntien työllistämisvelvoite poistuu sekä kunnille myönnettävää palkkatukea rajoitetaan (HE lausunnoilla). Kyseiset muutokset vähentävät laskelmassa huomioitavia kustannuksia.</a:t>
          </a:r>
        </a:p>
        <a:p>
          <a:endParaRPr lang="fi-FI" b="0" baseline="0">
            <a:solidFill>
              <a:sysClr val="windowText" lastClr="000000"/>
            </a:solidFill>
            <a:effectLst/>
          </a:endParaRPr>
        </a:p>
        <a:p>
          <a:r>
            <a:rPr lang="fi-FI" b="1" baseline="0">
              <a:solidFill>
                <a:sysClr val="windowText" lastClr="000000"/>
              </a:solidFill>
              <a:effectLst/>
            </a:rPr>
            <a:t>Starttiraha:</a:t>
          </a:r>
        </a:p>
        <a:p>
          <a:r>
            <a:rPr lang="fi-FI">
              <a:solidFill>
                <a:sysClr val="windowText" lastClr="000000"/>
              </a:solidFill>
              <a:effectLst/>
            </a:rPr>
            <a:t>Starttirahan toteutuneet kustannukset ovat raportoitavissa alueittain sekä eriteltynä työttömien</a:t>
          </a:r>
          <a:r>
            <a:rPr lang="fi-FI" baseline="0">
              <a:solidFill>
                <a:sysClr val="windowText" lastClr="000000"/>
              </a:solidFill>
              <a:effectLst/>
            </a:rPr>
            <a:t> </a:t>
          </a:r>
          <a:r>
            <a:rPr lang="fi-FI">
              <a:solidFill>
                <a:sysClr val="windowText" lastClr="000000"/>
              </a:solidFill>
              <a:effectLst/>
            </a:rPr>
            <a:t>ja muiden kuin työttömien starttirahaan. Arvio starttirahan kuntakohtaisista toteutuneista kustannuksista</a:t>
          </a:r>
          <a:r>
            <a:rPr lang="fi-FI" baseline="0">
              <a:solidFill>
                <a:sysClr val="windowText" lastClr="000000"/>
              </a:solidFill>
              <a:effectLst/>
            </a:rPr>
            <a:t> </a:t>
          </a:r>
          <a:r>
            <a:rPr lang="fi-FI">
              <a:solidFill>
                <a:sysClr val="windowText" lastClr="000000"/>
              </a:solidFill>
              <a:effectLst/>
            </a:rPr>
            <a:t>muodostetaan kertomalla alueen kunkin kunnan starttirahaa saaneiden henkilöiden määrä alueen</a:t>
          </a:r>
          <a:r>
            <a:rPr lang="fi-FI" baseline="0">
              <a:solidFill>
                <a:sysClr val="windowText" lastClr="000000"/>
              </a:solidFill>
              <a:effectLst/>
            </a:rPr>
            <a:t> </a:t>
          </a:r>
          <a:r>
            <a:rPr lang="fi-FI">
              <a:solidFill>
                <a:sysClr val="windowText" lastClr="000000"/>
              </a:solidFill>
              <a:effectLst/>
            </a:rPr>
            <a:t>keskihinnalla. Keskihinta saadaan jakamalla alueen toteutuneet starttirahan kustannukset starttirahaa</a:t>
          </a:r>
          <a:r>
            <a:rPr lang="fi-FI" baseline="0">
              <a:solidFill>
                <a:sysClr val="windowText" lastClr="000000"/>
              </a:solidFill>
              <a:effectLst/>
            </a:rPr>
            <a:t> </a:t>
          </a:r>
          <a:r>
            <a:rPr lang="fi-FI">
              <a:solidFill>
                <a:sysClr val="windowText" lastClr="000000"/>
              </a:solidFill>
              <a:effectLst/>
            </a:rPr>
            <a:t>alueella saaneiden henkilöiden määrällä. Keskihinnat ja arvio kuntakohtaisista toteutuneista</a:t>
          </a:r>
          <a:r>
            <a:rPr lang="fi-FI" baseline="0">
              <a:solidFill>
                <a:sysClr val="windowText" lastClr="000000"/>
              </a:solidFill>
              <a:effectLst/>
            </a:rPr>
            <a:t> </a:t>
          </a:r>
          <a:r>
            <a:rPr lang="fi-FI">
              <a:solidFill>
                <a:sysClr val="windowText" lastClr="000000"/>
              </a:solidFill>
              <a:effectLst/>
            </a:rPr>
            <a:t>kustannuksista muodostetaan erikseen työttömille ja muille kuin työttömille starttirahan saajille.</a:t>
          </a:r>
        </a:p>
        <a:p>
          <a:endParaRPr lang="fi-FI" sz="1100" b="1">
            <a:solidFill>
              <a:srgbClr val="FF0000"/>
            </a:solidFill>
            <a:effectLst/>
            <a:latin typeface="+mn-lt"/>
            <a:ea typeface="+mn-ea"/>
            <a:cs typeface="+mn-cs"/>
          </a:endParaRPr>
        </a:p>
        <a:p>
          <a:r>
            <a:rPr lang="fi-FI" sz="1100" b="1">
              <a:solidFill>
                <a:sysClr val="windowText" lastClr="000000"/>
              </a:solidFill>
              <a:effectLst/>
              <a:latin typeface="+mn-lt"/>
              <a:ea typeface="+mn-ea"/>
              <a:cs typeface="+mn-cs"/>
            </a:rPr>
            <a:t>Muut palvelut:</a:t>
          </a:r>
        </a:p>
        <a:p>
          <a:r>
            <a:rPr lang="fi-FI">
              <a:solidFill>
                <a:sysClr val="windowText" lastClr="000000"/>
              </a:solidFill>
              <a:effectLst/>
            </a:rPr>
            <a:t>Työvoimapalveluiden järjestämislaissa säädetään edellä käsiteltyjen palveluiden lisäksi asiantuntija-arvioinneista,</a:t>
          </a:r>
          <a:r>
            <a:rPr lang="fi-FI" baseline="0">
              <a:solidFill>
                <a:sysClr val="windowText" lastClr="000000"/>
              </a:solidFill>
              <a:effectLst/>
            </a:rPr>
            <a:t> </a:t>
          </a:r>
          <a:r>
            <a:rPr lang="fi-FI">
              <a:solidFill>
                <a:sysClr val="windowText" lastClr="000000"/>
              </a:solidFill>
              <a:effectLst/>
            </a:rPr>
            <a:t>ammatinvalinta- ja uraohjauksesta, työnvälityspalvelusta, koulutuskokeilusta, työolosuhteiden</a:t>
          </a:r>
          <a:r>
            <a:rPr lang="fi-FI" baseline="0">
              <a:solidFill>
                <a:sysClr val="windowText" lastClr="000000"/>
              </a:solidFill>
              <a:effectLst/>
            </a:rPr>
            <a:t> </a:t>
          </a:r>
          <a:r>
            <a:rPr lang="fi-FI">
              <a:solidFill>
                <a:sysClr val="windowText" lastClr="000000"/>
              </a:solidFill>
              <a:effectLst/>
            </a:rPr>
            <a:t>järjestelytuesta, matka- ja yöpymiskustannusten korvauksesta sekä harkinnanvaraisesta</a:t>
          </a:r>
        </a:p>
        <a:p>
          <a:r>
            <a:rPr lang="fi-FI">
              <a:solidFill>
                <a:sysClr val="windowText" lastClr="000000"/>
              </a:solidFill>
              <a:effectLst/>
            </a:rPr>
            <a:t>kulukorvauksesta. Lisäksi työvoimapalveluiden järjestämislaissa säädetään muutosturvakoulutuksesta, jonka rahoittaa</a:t>
          </a:r>
          <a:r>
            <a:rPr lang="fi-FI" baseline="0">
              <a:solidFill>
                <a:sysClr val="windowText" lastClr="000000"/>
              </a:solidFill>
              <a:effectLst/>
            </a:rPr>
            <a:t> </a:t>
          </a:r>
          <a:r>
            <a:rPr lang="fi-FI">
              <a:solidFill>
                <a:sysClr val="windowText" lastClr="000000"/>
              </a:solidFill>
              <a:effectLst/>
            </a:rPr>
            <a:t>työllisyysrahasto, joten muutosturvakoulutusta ei huomioida liitteessä muissa palveluissa. Myöskään</a:t>
          </a:r>
          <a:r>
            <a:rPr lang="fi-FI" baseline="0">
              <a:solidFill>
                <a:sysClr val="windowText" lastClr="000000"/>
              </a:solidFill>
              <a:effectLst/>
            </a:rPr>
            <a:t> </a:t>
          </a:r>
          <a:r>
            <a:rPr lang="fi-FI">
              <a:solidFill>
                <a:sysClr val="windowText" lastClr="000000"/>
              </a:solidFill>
              <a:effectLst/>
            </a:rPr>
            <a:t>omaehtoista opiskelua työttömyysetuudella tai työkokeilua ei huomioida muiden palveluiden kustannuksissa, koska näitä ei ole rahoitettu peruspalveluiden valtionosuuksiin siirtyvällä määrärahalla.</a:t>
          </a:r>
        </a:p>
        <a:p>
          <a:endParaRPr lang="fi-FI">
            <a:solidFill>
              <a:sysClr val="windowText" lastClr="000000"/>
            </a:solidFill>
            <a:effectLst/>
          </a:endParaRPr>
        </a:p>
        <a:p>
          <a:r>
            <a:rPr lang="fi-FI">
              <a:solidFill>
                <a:sysClr val="windowText" lastClr="000000"/>
              </a:solidFill>
              <a:effectLst/>
            </a:rPr>
            <a:t>Edellä lueteltujen muiden</a:t>
          </a:r>
          <a:r>
            <a:rPr lang="fi-FI" baseline="0">
              <a:solidFill>
                <a:sysClr val="windowText" lastClr="000000"/>
              </a:solidFill>
              <a:effectLst/>
            </a:rPr>
            <a:t> </a:t>
          </a:r>
          <a:r>
            <a:rPr lang="fi-FI">
              <a:solidFill>
                <a:sysClr val="windowText" lastClr="000000"/>
              </a:solidFill>
              <a:effectLst/>
            </a:rPr>
            <a:t>palveluiden kustannukset on laskettu yhteen koko maan tasolla. Kuntakohtainen arvio toteutuneista</a:t>
          </a:r>
          <a:r>
            <a:rPr lang="fi-FI" baseline="0">
              <a:solidFill>
                <a:sysClr val="windowText" lastClr="000000"/>
              </a:solidFill>
              <a:effectLst/>
            </a:rPr>
            <a:t> </a:t>
          </a:r>
          <a:r>
            <a:rPr lang="fi-FI">
              <a:solidFill>
                <a:sysClr val="windowText" lastClr="000000"/>
              </a:solidFill>
              <a:effectLst/>
            </a:rPr>
            <a:t>muiden palveluiden kustannuksista muodostetaan kertomalla kuntakohtainen toteutuneiden työttömyysetuuspäivien</a:t>
          </a:r>
          <a:r>
            <a:rPr lang="fi-FI" baseline="0">
              <a:solidFill>
                <a:sysClr val="windowText" lastClr="000000"/>
              </a:solidFill>
              <a:effectLst/>
            </a:rPr>
            <a:t> </a:t>
          </a:r>
          <a:r>
            <a:rPr lang="fi-FI">
              <a:solidFill>
                <a:sysClr val="windowText" lastClr="000000"/>
              </a:solidFill>
              <a:effectLst/>
            </a:rPr>
            <a:t>määrä koko maan keskihinnalla, joka lasketaan jakamalla koko maan toteutuneet</a:t>
          </a:r>
          <a:r>
            <a:rPr lang="fi-FI" baseline="0">
              <a:solidFill>
                <a:sysClr val="windowText" lastClr="000000"/>
              </a:solidFill>
              <a:effectLst/>
            </a:rPr>
            <a:t> </a:t>
          </a:r>
          <a:r>
            <a:rPr lang="fi-FI">
              <a:solidFill>
                <a:sysClr val="windowText" lastClr="000000"/>
              </a:solidFill>
              <a:effectLst/>
            </a:rPr>
            <a:t>muiden palveluiden kustannukset koko maan toteutuneiden työttömyysetuuspäivien määrällä.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677334</xdr:colOff>
      <xdr:row>10</xdr:row>
      <xdr:rowOff>84664</xdr:rowOff>
    </xdr:from>
    <xdr:to>
      <xdr:col>27</xdr:col>
      <xdr:colOff>603250</xdr:colOff>
      <xdr:row>31</xdr:row>
      <xdr:rowOff>179915</xdr:rowOff>
    </xdr:to>
    <xdr:sp macro="" textlink="">
      <xdr:nvSpPr>
        <xdr:cNvPr id="2" name="Tekstiruutu 1"/>
        <xdr:cNvSpPr txBox="1"/>
      </xdr:nvSpPr>
      <xdr:spPr>
        <a:xfrm>
          <a:off x="20320001" y="2645831"/>
          <a:ext cx="5429249" cy="3873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Kotoutujia koskeva työmarkkinatuen rahoitusvastuu:</a:t>
          </a:r>
        </a:p>
        <a:p>
          <a:r>
            <a:rPr lang="fi-FI" sz="1100" b="0"/>
            <a:t>Työttömyysturvalain (1290/2002) 14 luvun 3 a §:ssä säädetään, että työmarkkinatuki, joka maksetaan kotoutumisen edistämisestä annetun lain 2 §:n 1 momentissa tarkoitetulle henkilölle, rahoitetaan valtion varoista eikä henkilölle maksettua työttömyysetuutta lasketa mukaan työttömyysetuuspäiviin joko kolmen tai yhden vuoden ajalta ensimmäisestä kotikuntakorvausmerkinnästä lukien.</a:t>
          </a:r>
        </a:p>
        <a:p>
          <a:endParaRPr lang="fi-FI" sz="1100" b="0"/>
        </a:p>
        <a:p>
          <a:r>
            <a:rPr lang="fi-FI" sz="1100" b="0"/>
            <a:t>Valtion varoista rahoitettua työttömyysturvaetuutta saavien kotoutujien ryhmä tulisi tunnistaa myös korvausta laskettaessa mahdollisimman hyvin, jotta kunnille maksettava korvaus pystytään mitoittamaan oikein. Kotoutujat-ryhmän tunnistaminen on hankalaa, koska työttömyysturvassa heihin ei tällä hetkellä liitetä mitään erityisehtoja etuusoikeuden näkökulmasta. Kela on laskelmassaan pyrkinyt huomioimaan kyseiset henkilöt mahdollisimman hyvin, mutta riskinä on, että kotoutujiksi tunnistettu ryhmä on niissä liian suuri.</a:t>
          </a:r>
        </a:p>
        <a:p>
          <a:endParaRPr lang="fi-FI" sz="1100" b="0"/>
        </a:p>
        <a:p>
          <a:r>
            <a:rPr lang="fi-FI" sz="1100" b="0"/>
            <a:t>Edellä mainitun mahdollisen riskin hallitsemiseksi on STM esittänyt kehysvalmistelun yhteydessä, että kotoutujia koskeva ryhmä otettaisiin korvausta laskettaessa huomioon</a:t>
          </a:r>
          <a:r>
            <a:rPr lang="fi-FI" sz="1100" b="0" baseline="0"/>
            <a:t> </a:t>
          </a:r>
          <a:r>
            <a:rPr lang="fi-FI" sz="1100" b="0"/>
            <a:t>puoliksi. Tämä pienentäisi alimitoitetun korvauksen riskiä, mutta ottaisi kuitenkin osittain huomioon kunnan pienemmän rahoitusvastuun tämän ryhmän osalta. Laskentatapa on esitetty viereisessä taulukossa. </a:t>
          </a:r>
        </a:p>
        <a:p>
          <a:endParaRPr lang="fi-FI" sz="1100" b="0"/>
        </a:p>
        <a:p>
          <a:r>
            <a:rPr lang="fi-FI" sz="1100" b="0"/>
            <a:t>Laskentatavasta säädettäisiin valtioneuvoston asetuksella. Asetusmuutos</a:t>
          </a:r>
          <a:r>
            <a:rPr lang="fi-FI" sz="1100" b="0" baseline="0"/>
            <a:t> on lausuttavana 5.8.2024 asti.</a:t>
          </a:r>
        </a:p>
        <a:p>
          <a:endParaRPr lang="fi-FI" sz="1100" b="0"/>
        </a:p>
        <a:p>
          <a:endParaRPr lang="fi-FI" sz="1100" b="0"/>
        </a:p>
        <a:p>
          <a:endParaRPr lang="fi-FI" sz="1100" b="0"/>
        </a:p>
      </xdr:txBody>
    </xdr:sp>
    <xdr:clientData/>
  </xdr:twoCellAnchor>
</xdr:wsDr>
</file>

<file path=xl/tables/table1.xml><?xml version="1.0" encoding="utf-8"?>
<table xmlns="http://schemas.openxmlformats.org/spreadsheetml/2006/main" id="1" name="Yhteenveto" displayName="Yhteenveto" ref="A5:R373" totalsRowShown="0" headerRowDxfId="235">
  <autoFilter ref="A5:R37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Kuntanumero" dataDxfId="234"/>
    <tableColumn id="2" name="Kunta" dataDxfId="233"/>
    <tableColumn id="3" name="Asukasmäärä 31.12.2023" dataDxfId="232"/>
    <tableColumn id="4" name="Ikärakenne, laskennallinen kustannus" dataDxfId="231"/>
    <tableColumn id="6" name="Muut laskennalliset kustannukset " dataDxfId="230"/>
    <tableColumn id="7" name="Laskennalliset kustannukset yhteensä" dataDxfId="229"/>
    <tableColumn id="8" name="Omarahoitusosuus, €/as" dataDxfId="228"/>
    <tableColumn id="9" name="Omarahoitusosuus, €" dataDxfId="227"/>
    <tableColumn id="10" name="Valtionosuus omarahoitusosuuden jälkeen (välisumma)" dataDxfId="226"/>
    <tableColumn id="11" name="Lisäosat yhteensä" dataDxfId="225"/>
    <tableColumn id="12" name="Valtionosuuteen tehtävät vähennykset ja lisäykset, netto" dataDxfId="224"/>
    <tableColumn id="13" name="Valtionosuus ennen verotuloihin perustuvaa valtionosuuden tasausta" dataDxfId="223"/>
    <tableColumn id="14" name="Verotuloihin perustuva valtionosuuden tasaus" dataDxfId="222"/>
    <tableColumn id="15" name="Kunnan  peruspalvelujen valtionosuus " dataDxfId="221"/>
    <tableColumn id="5" name="Veroperustemuutoksista johtuvien veromenetysten korvaus" dataDxfId="220"/>
    <tableColumn id="20" name="Valtionosuudet ja veromenetysten korvaukset, yhteensä" dataDxfId="219"/>
    <tableColumn id="16" name="Kotikuntakorvaus, netto" dataDxfId="218"/>
    <tableColumn id="18" name="VM maksatus (valtionosuus + verokomp. + kotikuntakorv.)" dataDxfId="217">
      <calculatedColumnFormula>N6+Q6+P6</calculatedColumnFormula>
    </tableColumn>
  </tableColumns>
  <tableStyleInfo name="TableStyleLight13" showFirstColumn="0" showLastColumn="0" showRowStripes="0" showColumnStripes="0"/>
</table>
</file>

<file path=xl/tables/table10.xml><?xml version="1.0" encoding="utf-8"?>
<table xmlns="http://schemas.openxmlformats.org/spreadsheetml/2006/main" id="12" name="Tasaus" displayName="Tasaus" ref="A10:N304" totalsRowShown="0" headerRowDxfId="95" tableBorderDxfId="94">
  <autoFilter ref="A10:N30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Kunta-numero" dataDxfId="93"/>
    <tableColumn id="2" name="Kunta" dataDxfId="92"/>
    <tableColumn id="3" name="Asukasluku 31.12.2022" dataDxfId="91"/>
    <tableColumn id="7" name="Tuloveroprosentti 2023" dataDxfId="90">
      <calculatedColumnFormula>#REF!-12.64</calculatedColumnFormula>
    </tableColumn>
    <tableColumn id="5" name="Kunnallisvero (maksuunpantu), €" dataDxfId="89"/>
    <tableColumn id="6" name="Verotettava tulo (kunnallisvero), €" dataDxfId="88"/>
    <tableColumn id="8" name="Laskennallinen kunnallisvero, €" dataDxfId="87"/>
    <tableColumn id="9" name="Maksettava yhteisövero, €" dataDxfId="86"/>
    <tableColumn id="10" name="Laskennallinen kiinteistövero, €" dataDxfId="85"/>
    <tableColumn id="11" name="Laskennallinen verotulo yhteensä, €" dataDxfId="84"/>
    <tableColumn id="12" name="Laskennallinen verotulo yhteensä, €/asukas (=tasausraja)" dataDxfId="83"/>
    <tableColumn id="13" name="Erotus = tasausraja - laskennallinen verotulo, €/asukas" dataDxfId="82"/>
    <tableColumn id="16" name="Tasaus,  €/asukas" dataDxfId="81"/>
    <tableColumn id="17" name="Tasaus, €" dataDxfId="80"/>
  </tableColumns>
  <tableStyleInfo name="TableStyleLight13" showFirstColumn="0" showLastColumn="0" showRowStripes="1" showColumnStripes="0"/>
</table>
</file>

<file path=xl/tables/table11.xml><?xml version="1.0" encoding="utf-8"?>
<table xmlns="http://schemas.openxmlformats.org/spreadsheetml/2006/main" id="15" name="Verokompensaatiot" displayName="Verokompensaatiot" ref="A3:F296" totalsRowShown="0" headerRowDxfId="79" dataDxfId="78" tableBorderDxfId="77">
  <tableColumns count="6">
    <tableColumn id="1" name="Kunta-numero" dataDxfId="76"/>
    <tableColumn id="2" name="Kunta" dataDxfId="75"/>
    <tableColumn id="4" name="Korvaukset vuosilta 2010-2023, €" dataDxfId="74"/>
    <tableColumn id="6" name="Veromenetysten korvaus 2024" dataDxfId="73"/>
    <tableColumn id="7" name="Veromenetysten korvaus 2025" dataDxfId="72"/>
    <tableColumn id="5" name="Veromenetysten korvaus 2010-2025 yhteensä, €" dataDxfId="71">
      <calculatedColumnFormula>Verokompensaatiot[[#This Row],[Korvaukset vuosilta 2010-2023, €]]+Verokompensaatiot[[#This Row],[Veromenetysten korvaus 2024]]</calculatedColumnFormula>
    </tableColumn>
  </tableColumns>
  <tableStyleInfo name="TableStyleLight13" showFirstColumn="0" showLastColumn="0" showRowStripes="1" showColumnStripes="0"/>
</table>
</file>

<file path=xl/tables/table12.xml><?xml version="1.0" encoding="utf-8"?>
<table xmlns="http://schemas.openxmlformats.org/spreadsheetml/2006/main" id="16" name="Kotikuntakorvaukset" displayName="Kotikuntakorvaukset" ref="A6:F375" totalsRowShown="0" headerRowDxfId="70" dataDxfId="69">
  <autoFilter ref="A6:F375">
    <filterColumn colId="0" hiddenButton="1"/>
    <filterColumn colId="1" hiddenButton="1"/>
    <filterColumn colId="2" hiddenButton="1"/>
    <filterColumn colId="3" hiddenButton="1"/>
    <filterColumn colId="4" hiddenButton="1"/>
    <filterColumn colId="5" hiddenButton="1"/>
  </autoFilter>
  <tableColumns count="6">
    <tableColumn id="1" name="Kuntanumero /opetuksen järjestäjän tunnus" dataDxfId="68"/>
    <tableColumn id="2" name="Kunta /opetuksen järjestäjä" dataDxfId="67"/>
    <tableColumn id="4" name="Kotikuntakorvaukset, tulot" dataDxfId="66"/>
    <tableColumn id="5" name="Alv" dataDxfId="65"/>
    <tableColumn id="6" name="Kotikuntakorvaukset, menot" dataDxfId="64"/>
    <tableColumn id="7" name="Kotikuntakorvaukset, netto" dataDxfId="63">
      <calculatedColumnFormula>C7+D7-E7</calculatedColumnFormula>
    </tableColumn>
  </tableColumns>
  <tableStyleInfo name="TableStyleLight13" showFirstColumn="0" showLastColumn="0" showRowStripes="1" showColumnStripes="0"/>
</table>
</file>

<file path=xl/tables/table13.xml><?xml version="1.0" encoding="utf-8"?>
<table xmlns="http://schemas.openxmlformats.org/spreadsheetml/2006/main" id="17" name="Taulukko10" displayName="Taulukko10" ref="A4:B4" headerRowCount="0" totalsRowShown="0">
  <tableColumns count="2">
    <tableColumn id="1" name="Sarake1" headerRowDxfId="62" dataDxfId="61"/>
    <tableColumn id="2" name="Sarake2" headerRowDxfId="60" dataDxfId="59"/>
  </tableColumns>
  <tableStyleInfo name="TableStyleMedium2" showFirstColumn="0" showLastColumn="0" showRowStripes="1" showColumnStripes="0"/>
</table>
</file>

<file path=xl/tables/table14.xml><?xml version="1.0" encoding="utf-8"?>
<table xmlns="http://schemas.openxmlformats.org/spreadsheetml/2006/main" id="14" name="Taulukko3" displayName="Taulukko3" ref="A12:E306" totalsRowShown="0" headerRowDxfId="58" dataDxfId="57">
  <autoFilter ref="A12:E306">
    <filterColumn colId="0" hiddenButton="1"/>
    <filterColumn colId="1" hiddenButton="1"/>
    <filterColumn colId="2" hiddenButton="1"/>
    <filterColumn colId="3" hiddenButton="1"/>
    <filterColumn colId="4" hiddenButton="1"/>
  </autoFilter>
  <tableColumns count="5">
    <tableColumn id="1" name="Kunta nro" dataDxfId="56"/>
    <tableColumn id="2" name="Kunta" dataDxfId="55"/>
    <tableColumn id="3" name="Väestö, 18-64-vuotiaat (2023)" dataDxfId="54"/>
    <tableColumn id="4" name="Työttömät ja palveluissa olevat (2023)" dataDxfId="53"/>
    <tableColumn id="5" name="Vieraskieliset (2023)" dataDxfId="52"/>
  </tableColumns>
  <tableStyleInfo name="TableStyleMedium2" showFirstColumn="0" showLastColumn="0" showRowStripes="0" showColumnStripes="0"/>
</table>
</file>

<file path=xl/tables/table15.xml><?xml version="1.0" encoding="utf-8"?>
<table xmlns="http://schemas.openxmlformats.org/spreadsheetml/2006/main" id="11" name="Taulukko412" displayName="Taulukko412" ref="G8:I9" totalsRowShown="0" dataDxfId="51">
  <tableColumns count="3">
    <tableColumn id="1" name="Perushinnat, €" dataDxfId="50"/>
    <tableColumn id="2" name=" " dataDxfId="49"/>
    <tableColumn id="3" name="  " dataDxfId="48"/>
  </tableColumns>
  <tableStyleInfo name="TableStyleMedium2" showFirstColumn="0" showLastColumn="0" showRowStripes="0" showColumnStripes="0"/>
</table>
</file>

<file path=xl/tables/table16.xml><?xml version="1.0" encoding="utf-8"?>
<table xmlns="http://schemas.openxmlformats.org/spreadsheetml/2006/main" id="13" name="Taulukko8" displayName="Taulukko8" ref="A5:U299" totalsRowShown="0" headerRowDxfId="47" dataDxfId="46">
  <tableColumns count="21">
    <tableColumn id="1" name="Kunta nro" dataDxfId="45"/>
    <tableColumn id="2" name="Kunta" dataDxfId="44"/>
    <tableColumn id="3" name="Asukasluku 2022" dataDxfId="43"/>
    <tableColumn id="7" name="Siirtyvän henkilöstön ELY-keskus ja TE-toimistokohtaiset toimintamenot" dataDxfId="42"/>
    <tableColumn id="8" name="Valtakunnalliset toimintamenot" dataDxfId="41"/>
    <tableColumn id="4" name="Toimintamenot yhteensä" dataDxfId="40"/>
    <tableColumn id="9" name="Kotoutumiskoulutus" dataDxfId="39"/>
    <tableColumn id="10" name="Työvoimaviranomaisille siirtyvä kotoutumiskoulutus" dataDxfId="38"/>
    <tableColumn id="11" name="Muu työvoimakoulutus" dataDxfId="37"/>
    <tableColumn id="12" name="Valmennus" dataDxfId="36"/>
    <tableColumn id="14" name="Yksityisen sektorin palkkatuettu työ" dataDxfId="35"/>
    <tableColumn id="15" name="Julkisen sektorin palkkatuettu työ" dataDxfId="34"/>
    <tableColumn id="5" name="Starttiraha" dataDxfId="33"/>
    <tableColumn id="17" name="Muut palvelut" dataDxfId="32"/>
    <tableColumn id="16" name="Palvelut yhteensä" dataDxfId="31"/>
    <tableColumn id="20" name="Palvelut + toimintamenot" dataDxfId="30"/>
    <tableColumn id="18" name="Poistuva velvoitetyöllistäminen" dataDxfId="29"/>
    <tableColumn id="19" name="Poistuvaksi ehdotettu  palkkatuki" dataDxfId="28"/>
    <tableColumn id="22" name="Palvelut + toimintamenot, huomioitu vuonna 2025 poistuvat tehtävät" dataDxfId="27"/>
    <tableColumn id="21" name="Skaalattu siirtyvän rahoituksen tasoon " dataDxfId="26"/>
    <tableColumn id="13" name=" Vuonna 2025  rahoituksesta 50 % määräytyy kustannusten mukaan" dataDxfId="25"/>
  </tableColumns>
  <tableStyleInfo name="TableStyleMedium2" showFirstColumn="0" showLastColumn="0" showRowStripes="0" showColumnStripes="0"/>
</table>
</file>

<file path=xl/tables/table17.xml><?xml version="1.0" encoding="utf-8"?>
<table xmlns="http://schemas.openxmlformats.org/spreadsheetml/2006/main" id="10" name="Taulukko9" displayName="Taulukko9" ref="A10:J304" totalsRowShown="0" headerRowDxfId="24" headerRowBorderDxfId="23" tableBorderDxfId="22" totalsRowBorderDxfId="21">
  <tableColumns count="10">
    <tableColumn id="1" name="Kunta nro" dataDxfId="20"/>
    <tableColumn id="2" name="Kunta" dataDxfId="19"/>
    <tableColumn id="3" name="Asukasluku 2023" dataDxfId="18"/>
    <tableColumn id="4" name="Nykytila, kuntien osuus työmarkkinatuesta" dataDxfId="17"/>
    <tableColumn id="5" name="Uudistuksen mukainen osuus työmarkkinatuesta*" dataDxfId="16"/>
    <tableColumn id="10" name="Muutos työmarkkinatuen rahoitusvastuussa" dataDxfId="15"/>
    <tableColumn id="6" name="Uudistuksen mukainen osuus peruspäivärahasta" dataDxfId="14"/>
    <tableColumn id="7" name="Uudistuksen mukainen osuus ansiopäivärahasta" dataDxfId="13"/>
    <tableColumn id="8" name="Uudistuksen mukainen rahoitusvastuu yhteensä" dataDxfId="12"/>
    <tableColumn id="9" name="Muutos rahoitusvastuussa vuoden 2023 tasossa = korvaus" dataDxfId="11"/>
  </tableColumns>
  <tableStyleInfo name="TableStyleMedium2" showFirstColumn="0" showLastColumn="0" showRowStripes="0" showColumnStripes="0"/>
</table>
</file>

<file path=xl/tables/table18.xml><?xml version="1.0" encoding="utf-8"?>
<table xmlns="http://schemas.openxmlformats.org/spreadsheetml/2006/main" id="18" name="Taulukko919" displayName="Taulukko919" ref="M10:S304" totalsRowShown="0" headerRowDxfId="10" headerRowBorderDxfId="9" tableBorderDxfId="8" totalsRowBorderDxfId="7">
  <tableColumns count="7">
    <tableColumn id="1" name="Kunta nro" dataDxfId="6"/>
    <tableColumn id="2" name="Kunta" dataDxfId="5"/>
    <tableColumn id="4" name="Uudistuksen mukainen osuus työmarkkinatuesta, kotoutujia ei poistettu" dataDxfId="4"/>
    <tableColumn id="5" name="Uudistuksen mukainen osuus työmarkkinatuesta, kotoutujat poistettu" dataDxfId="3"/>
    <tableColumn id="6" name="Uudistuksen mukainen osuus työmarkkinatuesta, keskiarvo" dataDxfId="2"/>
    <tableColumn id="3" name="Nykytila, kuntien osuus työmarkkinatuesta" dataDxfId="1"/>
    <tableColumn id="9" name="Muutos työmarkkinatuen rahoitusvastuussa" dataDxfId="0"/>
  </tableColumns>
  <tableStyleInfo name="TableStyleMedium2" showFirstColumn="0" showLastColumn="0" showRowStripes="0" showColumnStripes="0"/>
</table>
</file>

<file path=xl/tables/table2.xml><?xml version="1.0" encoding="utf-8"?>
<table xmlns="http://schemas.openxmlformats.org/spreadsheetml/2006/main" id="2" name="Ikärakenne" displayName="Ikärakenne" ref="A5:P298" totalsRowShown="0" headerRowDxfId="216" dataDxfId="215">
  <tableColumns count="16">
    <tableColumn id="1" name="Kunta-numero" dataDxfId="214"/>
    <tableColumn id="2" name="Kunta" dataDxfId="213"/>
    <tableColumn id="8" name="Yhteensä" dataDxfId="212"/>
    <tableColumn id="3" name="0–5-vuotiaat" dataDxfId="211"/>
    <tableColumn id="4" name="6 vuotiaat" dataDxfId="210"/>
    <tableColumn id="5" name="7–12-vuotiaat" dataDxfId="209"/>
    <tableColumn id="6" name="13–15-vuotiaat" dataDxfId="208"/>
    <tableColumn id="7" name="16 vuotta täyttäneet" dataDxfId="207"/>
    <tableColumn id="12" name="18–64-vuotiaat" dataDxfId="206"/>
    <tableColumn id="13" name="Ikä 0–5" dataDxfId="205"/>
    <tableColumn id="14" name="Ikä 6" dataDxfId="204"/>
    <tableColumn id="15" name="Ikä 7–12" dataDxfId="203"/>
    <tableColumn id="16" name="Ikä 13–15" dataDxfId="202"/>
    <tableColumn id="17" name="Ikä 16+" dataDxfId="201"/>
    <tableColumn id="9" name="Ikä 18-64" dataDxfId="200"/>
    <tableColumn id="22" name="Laskennalliset kustannukset, IKÄRAKENNE yhteensä, €" dataDxfId="199"/>
  </tableColumns>
  <tableStyleInfo name="TableStyleLight13" showFirstColumn="0" showLastColumn="0" showRowStripes="1" showColumnStripes="0"/>
</table>
</file>

<file path=xl/tables/table3.xml><?xml version="1.0" encoding="utf-8"?>
<table xmlns="http://schemas.openxmlformats.org/spreadsheetml/2006/main" id="3" name="Ikäryhmähinnat" displayName="Ikäryhmähinnat" ref="J2:O3" totalsRowShown="0" headerRowDxfId="198" dataDxfId="197" tableBorderDxfId="196" dataCellStyle="Pilkku">
  <tableColumns count="6">
    <tableColumn id="1" name="Ikä 0–5" dataDxfId="195" dataCellStyle="Pilkku"/>
    <tableColumn id="2" name="Ikä 6" dataDxfId="194" dataCellStyle="Pilkku"/>
    <tableColumn id="3" name="Ikä 7–12" dataDxfId="193" dataCellStyle="Pilkku"/>
    <tableColumn id="4" name="Ikä 13–15" dataDxfId="192" dataCellStyle="Pilkku"/>
    <tableColumn id="5" name="Ikä 16+" dataDxfId="191" dataCellStyle="Pilkku"/>
    <tableColumn id="6" name="Ikä 18-64" dataDxfId="190" dataCellStyle="Pilkku"/>
  </tableColumns>
  <tableStyleInfo name="TableStyleLight11" showFirstColumn="0" showLastColumn="0" showRowStripes="1" showColumnStripes="0"/>
</table>
</file>

<file path=xl/tables/table4.xml><?xml version="1.0" encoding="utf-8"?>
<table xmlns="http://schemas.openxmlformats.org/spreadsheetml/2006/main" id="4" name="Muut" displayName="Muut" ref="A11:AD304" totalsRowShown="0" headerRowDxfId="189" dataDxfId="188" tableBorderDxfId="187">
  <tableColumns count="30">
    <tableColumn id="1" name="Kuntanumero" dataDxfId="186"/>
    <tableColumn id="2" name="Kunta" dataDxfId="185"/>
    <tableColumn id="3" name="Asukasmäärä 31.12.2023" dataDxfId="184">
      <calculatedColumnFormula>INDEX('Lask. kustannukset IKÄRAKENNE'!C$7:C$298,MATCH('Lask. kustannukset MUUT'!$A$13:$A$304,'Lask. kustannukset IKÄRAKENNE'!$A$7:$A$298,0),1,1)</calculatedColumnFormula>
    </tableColumn>
    <tableColumn id="5" name="Työttömät työnhakijat 2023" dataDxfId="183"/>
    <tableColumn id="6" name="Työvoima 2023" dataDxfId="182"/>
    <tableColumn id="7" name="Keskim. työttömyysaste 2023, %" dataDxfId="181">
      <calculatedColumnFormula>D12/E12</calculatedColumnFormula>
    </tableColumn>
    <tableColumn id="8" name="Työttömyyskerroin" dataDxfId="180">
      <calculatedColumnFormula>F12/$F$12</calculatedColumnFormula>
    </tableColumn>
    <tableColumn id="9" name="Kieliasema" dataDxfId="179"/>
    <tableColumn id="10" name="Ruotsinkielisten määrä 31.12.2023" dataDxfId="178"/>
    <tableColumn id="11" name="Vieraskielisten määrä 31.12.2023" dataDxfId="177"/>
    <tableColumn id="14" name="Maapinta-ala km2, 31.12.2023" dataDxfId="176"/>
    <tableColumn id="15" name="Asukastiehys 2023" dataDxfId="175">
      <calculatedColumnFormula>C12/K12</calculatedColumnFormula>
    </tableColumn>
    <tableColumn id="16" name="Asukastiheyskerroin (maks kerroin x20)" dataDxfId="174">
      <calculatedColumnFormula>$L$12/L12</calculatedColumnFormula>
    </tableColumn>
    <tableColumn id="17" name="Saaristoasema" dataDxfId="173"/>
    <tableColumn id="18" name="Saaristoväestö 2023" dataDxfId="172"/>
    <tableColumn id="19" name="30 - 54 v. väestö 31.12.2023" dataDxfId="171"/>
    <tableColumn id="20" name="30 - 54 v. ilman tutkintoa 31.12.2022" dataDxfId="170"/>
    <tableColumn id="21" name="Koulutustausta, ilman tutkintoa osuus " dataDxfId="169"/>
    <tableColumn id="22" name="Koulutustausta-kerroin " dataDxfId="168">
      <calculatedColumnFormula>R12-$S$10</calculatedColumnFormula>
    </tableColumn>
    <tableColumn id="13" name="Työttömät ja palveluissa olevat 2023" dataDxfId="167"/>
    <tableColumn id="24" name="Työttömyysaste" dataDxfId="166"/>
    <tableColumn id="25" name="Kaksikielisyys I (koko väestö)" dataDxfId="165"/>
    <tableColumn id="26" name="Kaksikielisyys II, (ruotsink.)" dataDxfId="164"/>
    <tableColumn id="27" name="Vieraskielisyys" dataDxfId="163"/>
    <tableColumn id="28" name="Asukastiheys" dataDxfId="162"/>
    <tableColumn id="29" name="Saaristo" dataDxfId="161"/>
    <tableColumn id="30" name="Saaristo-osakunta" dataDxfId="160"/>
    <tableColumn id="31" name="Koulutustausta" dataDxfId="159"/>
    <tableColumn id="23" name="Työttömät ja palveluissa olevat " dataDxfId="158"/>
    <tableColumn id="33" name="Muut lask. kustannukset yhteensä" dataDxfId="157"/>
  </tableColumns>
  <tableStyleInfo name="TableStyleLight13" showFirstColumn="0" showLastColumn="0" showRowStripes="1" showColumnStripes="0"/>
</table>
</file>

<file path=xl/tables/table5.xml><?xml version="1.0" encoding="utf-8"?>
<table xmlns="http://schemas.openxmlformats.org/spreadsheetml/2006/main" id="5" name="Selite" displayName="Selite" ref="A4:B8" totalsRowShown="0" headerRowDxfId="156">
  <autoFilter ref="A4:B8">
    <filterColumn colId="0" hiddenButton="1"/>
    <filterColumn colId="1" hiddenButton="1"/>
  </autoFilter>
  <tableColumns count="2">
    <tableColumn id="1" name="Kieliasema:" dataDxfId="155"/>
    <tableColumn id="2" name="Saaristoasema:"/>
  </tableColumns>
  <tableStyleInfo name="TableStyleLight13" showFirstColumn="0" showLastColumn="0" showRowStripes="1" showColumnStripes="0"/>
</table>
</file>

<file path=xl/tables/table6.xml><?xml version="1.0" encoding="utf-8"?>
<table xmlns="http://schemas.openxmlformats.org/spreadsheetml/2006/main" id="6" name="Kriteerihinnat" displayName="Kriteerihinnat" ref="U5:AC6" totalsRowShown="0" headerRowDxfId="154" dataDxfId="153" tableBorderDxfId="152">
  <tableColumns count="9">
    <tableColumn id="1" name="Työttömyysaste" dataDxfId="151"/>
    <tableColumn id="2" name="Kaksikielisyys I (koko väestö)" dataDxfId="150"/>
    <tableColumn id="3" name="Kaksikielisyys II, (ruotsink.)" dataDxfId="149"/>
    <tableColumn id="4" name="Vieraskielisyys" dataDxfId="148"/>
    <tableColumn id="5" name="Asukastiheys" dataDxfId="147"/>
    <tableColumn id="6" name="Saaristo" dataDxfId="146"/>
    <tableColumn id="7" name="Saaristo-osakunta" dataDxfId="145"/>
    <tableColumn id="8" name="Koulutustausta" dataDxfId="144"/>
    <tableColumn id="9" name="Työttömät ja palveluissa olevat" dataDxfId="143"/>
  </tableColumns>
  <tableStyleInfo name="TableStyleLight11" showFirstColumn="0" showLastColumn="0" showRowStripes="1" showColumnStripes="0"/>
</table>
</file>

<file path=xl/tables/table7.xml><?xml version="1.0" encoding="utf-8"?>
<table xmlns="http://schemas.openxmlformats.org/spreadsheetml/2006/main" id="7" name="Lisäosat" displayName="Lisäosat" ref="A6:U299" totalsRowShown="0" headerRowDxfId="142" tableBorderDxfId="141">
  <autoFilter ref="A6:U29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name="Kunta-numero" dataDxfId="140"/>
    <tableColumn id="2" name="Kunta" dataDxfId="139"/>
    <tableColumn id="3" name="Asukasmäärä 31.12.2023" dataDxfId="138"/>
    <tableColumn id="4" name="Syrjäisyysluku (tiestö) 2022-2026" dataDxfId="137"/>
    <tableColumn id="5" name="Saamen kotiseutu, 1 = kyllä 0 = ei" dataDxfId="136"/>
    <tableColumn id="6" name="Saamenkielisen väestön määrä 31.12.2023" dataDxfId="135"/>
    <tableColumn id="7" name="Saamenkielisen väestön osuus, %" dataDxfId="134"/>
    <tableColumn id="8" name="Työpaikat 2022" dataDxfId="133"/>
    <tableColumn id="9" name="Työlliset 2022" dataDxfId="132"/>
    <tableColumn id="10" name="Työpaikkaomavaraisuus 2022" dataDxfId="131"/>
    <tableColumn id="16" name="Työpaikkaomavaraisuuskerroin" dataDxfId="130"/>
    <tableColumn id="17" name="HYTE-kerroin (sis. Kulttuurihyte)" dataDxfId="129"/>
    <tableColumn id="21" name="Hyte-kertoimen väestöpainotus" dataDxfId="128">
      <calculatedColumnFormula>Lisäosat[[#This Row],[HYTE-kerroin (sis. Kulttuurihyte)]]*Lisäosat[[#This Row],[Asukasmäärä 31.12.2023]]</calculatedColumnFormula>
    </tableColumn>
    <tableColumn id="20" name="Väestöllä painotettu HYTE-kerroin" dataDxfId="127"/>
    <tableColumn id="11" name="Positiivinen väestön kasvu 2021-2023" dataDxfId="126"/>
    <tableColumn id="12" name="Syrjäisyys" dataDxfId="125"/>
    <tableColumn id="13" name="Saamen kotiseutu" dataDxfId="124"/>
    <tableColumn id="14" name="Työpaikkaomavaraisuus " dataDxfId="123"/>
    <tableColumn id="19" name="HYTE-kerroin " dataDxfId="122"/>
    <tableColumn id="18" name="Väestön kasvu" dataDxfId="121"/>
    <tableColumn id="15" name="Yhteensä" dataDxfId="120"/>
  </tableColumns>
  <tableStyleInfo name="TableStyleLight13" showFirstColumn="0" showLastColumn="0" showRowStripes="1" showColumnStripes="0"/>
</table>
</file>

<file path=xl/tables/table8.xml><?xml version="1.0" encoding="utf-8"?>
<table xmlns="http://schemas.openxmlformats.org/spreadsheetml/2006/main" id="8" name="Lisäosahinnat" displayName="Lisäosahinnat" ref="P2:T3" totalsRowShown="0" headerRowDxfId="119" dataDxfId="118" tableBorderDxfId="117">
  <autoFilter ref="P2:T3">
    <filterColumn colId="0" hiddenButton="1"/>
    <filterColumn colId="1" hiddenButton="1"/>
    <filterColumn colId="2" hiddenButton="1"/>
    <filterColumn colId="3" hiddenButton="1"/>
    <filterColumn colId="4" hiddenButton="1"/>
  </autoFilter>
  <tableColumns count="5">
    <tableColumn id="1" name="Syrjäisyys" dataDxfId="116"/>
    <tableColumn id="2" name="Saamen kotiseutu" dataDxfId="115"/>
    <tableColumn id="3" name="Työpaikkaomavaraisuus" dataDxfId="114"/>
    <tableColumn id="4" name="HYTE-kerroin" dataDxfId="113"/>
    <tableColumn id="5" name="Väestön kasvu" dataDxfId="112"/>
  </tableColumns>
  <tableStyleInfo name="TableStyleLight11" showFirstColumn="0" showLastColumn="0" showRowStripes="1" showColumnStripes="0"/>
</table>
</file>

<file path=xl/tables/table9.xml><?xml version="1.0" encoding="utf-8"?>
<table xmlns="http://schemas.openxmlformats.org/spreadsheetml/2006/main" id="9" name="LisäyksetVähennykset" displayName="LisäyksetVähennykset" ref="A3:O296" totalsRowShown="0" headerRowDxfId="111">
  <tableColumns count="15">
    <tableColumn id="1" name="Kunta-numero" dataDxfId="110"/>
    <tableColumn id="2" name="Kunta" dataDxfId="109"/>
    <tableColumn id="21" name="Kuntien yhdistymisavustus (-0,99 €/as)" dataDxfId="108"/>
    <tableColumn id="4" name="Harkinnanvaraisten avustusten vähennys (-1,79 €/as)" dataDxfId="107"/>
    <tableColumn id="5" name="Kriisikuntien harkinnanvarainen yhdistymisavustus (-0,99 €/as)" dataDxfId="106"/>
    <tableColumn id="7" name="Aloittavien koulujen rahoitukseen liittyvä vähennys (-0,01 €/as)" dataDxfId="105"/>
    <tableColumn id="11" name="Kumulatiivinen verotuloihin perustuvan tasauksen muutoksen neutralisointi" dataDxfId="104"/>
    <tableColumn id="12" name="Kunnan rahoitusosuus perustoimeentulotuesta" dataDxfId="103"/>
    <tableColumn id="17" name="Sote-uudistuksen muutosrajoitin" dataDxfId="102"/>
    <tableColumn id="16" name="Sote-uudistuksen järjestelmämuutoksen tasaus vuodelle 2025" dataDxfId="101"/>
    <tableColumn id="6" name="Jälkikäteistarkistuksesta johtuva valtionosuuden  lisäsiirtotarve vuodelta 2023, 501 milj. € (1/3)" dataDxfId="100"/>
    <tableColumn id="8" name="Määräaikaisen v 2024 tehdyn lisäyksen takaisinperintä (1/3)" dataDxfId="99"/>
    <tableColumn id="9" name="TE25: Kunnan työttömyysetuuksien rahoitusvastuun laajentamisen korvaus" dataDxfId="98"/>
    <tableColumn id="13" name="TE25: Uudistuksen rahoituksen siirtymäajan porrastus (50 % kustannusperusteinen / 50 % vos-kriteerit)" dataDxfId="97"/>
    <tableColumn id="20" name="Lisäykset ja vähennykset yhteensä, €" dataDxfId="96"/>
  </tableColumns>
  <tableStyleInfo name="TableStyleLight13" showFirstColumn="0" showLastColumn="0" showRowStripes="1" showColumnStripes="0"/>
</table>
</file>

<file path=xl/theme/theme1.xml><?xml version="1.0" encoding="utf-8"?>
<a:theme xmlns:a="http://schemas.openxmlformats.org/drawingml/2006/main" name="Office-teema">
  <a:themeElements>
    <a:clrScheme name="VM2019">
      <a:dk1>
        <a:sysClr val="windowText" lastClr="000000"/>
      </a:dk1>
      <a:lt1>
        <a:sysClr val="window" lastClr="FFFFFF"/>
      </a:lt1>
      <a:dk2>
        <a:srgbClr val="365ABD"/>
      </a:dk2>
      <a:lt2>
        <a:srgbClr val="E7E6E6"/>
      </a:lt2>
      <a:accent1>
        <a:srgbClr val="365ABD"/>
      </a:accent1>
      <a:accent2>
        <a:srgbClr val="1B365D"/>
      </a:accent2>
      <a:accent3>
        <a:srgbClr val="A34E96"/>
      </a:accent3>
      <a:accent4>
        <a:srgbClr val="479A36"/>
      </a:accent4>
      <a:accent5>
        <a:srgbClr val="728CD1"/>
      </a:accent5>
      <a:accent6>
        <a:srgbClr val="6D6E71"/>
      </a:accent6>
      <a:hlink>
        <a:srgbClr val="0563C1"/>
      </a:hlink>
      <a:folHlink>
        <a:srgbClr val="954F72"/>
      </a:folHlink>
    </a:clrScheme>
    <a:fontScheme name="VM2019">
      <a:majorFont>
        <a:latin typeface="Arial Narrow"/>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vmlDrawing" Target="../drawings/vmlDrawing2.vml"/><Relationship Id="rId1" Type="http://schemas.openxmlformats.org/officeDocument/2006/relationships/printerSettings" Target="../printerSettings/printerSettings11.bin"/><Relationship Id="rId5" Type="http://schemas.openxmlformats.org/officeDocument/2006/relationships/comments" Target="../comments2.xml"/><Relationship Id="rId4" Type="http://schemas.openxmlformats.org/officeDocument/2006/relationships/table" Target="../tables/table15.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3.xml"/><Relationship Id="rId1" Type="http://schemas.openxmlformats.org/officeDocument/2006/relationships/printerSettings" Target="../printerSettings/printerSettings13.bin"/><Relationship Id="rId4"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4.bin"/><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tabSelected="1" zoomScaleNormal="100" workbookViewId="0"/>
  </sheetViews>
  <sheetFormatPr defaultRowHeight="14.25"/>
  <cols>
    <col min="1" max="1" width="95.5" customWidth="1"/>
  </cols>
  <sheetData>
    <row r="1" spans="1:1" ht="23.25">
      <c r="A1" s="314" t="s">
        <v>745</v>
      </c>
    </row>
    <row r="2" spans="1:1" ht="28.5">
      <c r="A2" s="149" t="s">
        <v>819</v>
      </c>
    </row>
    <row r="3" spans="1:1" ht="42.75">
      <c r="A3" s="149" t="s">
        <v>1182</v>
      </c>
    </row>
    <row r="4" spans="1:1" ht="87" customHeight="1">
      <c r="A4" s="441" t="s">
        <v>1183</v>
      </c>
    </row>
    <row r="5" spans="1:1" ht="57">
      <c r="A5" s="441" t="s">
        <v>1184</v>
      </c>
    </row>
    <row r="6" spans="1:1" ht="30" customHeight="1">
      <c r="A6" s="442" t="s">
        <v>1207</v>
      </c>
    </row>
    <row r="7" spans="1:1" ht="28.5">
      <c r="A7" s="441" t="s">
        <v>1185</v>
      </c>
    </row>
    <row r="8" spans="1:1">
      <c r="A8" s="355" t="s">
        <v>746</v>
      </c>
    </row>
    <row r="9" spans="1:1">
      <c r="A9" s="355" t="s">
        <v>747</v>
      </c>
    </row>
    <row r="10" spans="1:1">
      <c r="A10" s="355" t="s">
        <v>1196</v>
      </c>
    </row>
    <row r="11" spans="1:1" ht="30">
      <c r="A11" s="477" t="s">
        <v>815</v>
      </c>
    </row>
    <row r="13" spans="1:1" ht="28.5" customHeight="1" thickBot="1">
      <c r="A13" s="447" t="s">
        <v>748</v>
      </c>
    </row>
    <row r="14" spans="1:1" ht="28.5">
      <c r="A14" s="442" t="s">
        <v>816</v>
      </c>
    </row>
    <row r="16" spans="1:1">
      <c r="A16" s="355" t="s">
        <v>718</v>
      </c>
    </row>
    <row r="17" spans="1:1">
      <c r="A17" s="355" t="s">
        <v>724</v>
      </c>
    </row>
    <row r="18" spans="1:1">
      <c r="A18" s="355" t="s">
        <v>736</v>
      </c>
    </row>
    <row r="19" spans="1:1">
      <c r="A19" s="355" t="s">
        <v>725</v>
      </c>
    </row>
    <row r="21" spans="1:1">
      <c r="A21" s="355" t="s">
        <v>1186</v>
      </c>
    </row>
    <row r="22" spans="1:1">
      <c r="A22" s="355" t="s">
        <v>736</v>
      </c>
    </row>
    <row r="23" spans="1:1">
      <c r="A23" s="355" t="s">
        <v>719</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G33"/>
  <sheetViews>
    <sheetView zoomScaleNormal="100" workbookViewId="0"/>
  </sheetViews>
  <sheetFormatPr defaultRowHeight="14.25"/>
  <cols>
    <col min="1" max="1" width="83.625" bestFit="1" customWidth="1"/>
    <col min="2" max="2" width="11.375" bestFit="1" customWidth="1"/>
    <col min="3" max="3" width="18.5" bestFit="1" customWidth="1"/>
    <col min="4" max="4" width="26" bestFit="1" customWidth="1"/>
    <col min="5" max="5" width="11.5" bestFit="1" customWidth="1"/>
    <col min="6" max="6" width="36.625" bestFit="1" customWidth="1"/>
    <col min="7" max="7" width="10.25" bestFit="1" customWidth="1"/>
  </cols>
  <sheetData>
    <row r="1" spans="1:7" ht="23.25">
      <c r="A1" s="314" t="s">
        <v>855</v>
      </c>
    </row>
    <row r="3" spans="1:7" ht="15">
      <c r="A3" s="509" t="s">
        <v>847</v>
      </c>
      <c r="B3" s="510"/>
    </row>
    <row r="4" spans="1:7" ht="15">
      <c r="A4" s="504" t="s">
        <v>837</v>
      </c>
      <c r="B4" s="505">
        <v>178746000</v>
      </c>
      <c r="F4" s="450"/>
      <c r="G4" s="492"/>
    </row>
    <row r="5" spans="1:7" ht="15">
      <c r="A5" s="504" t="s">
        <v>838</v>
      </c>
      <c r="B5" s="505">
        <v>6880000</v>
      </c>
      <c r="F5" s="450"/>
      <c r="G5" s="492"/>
    </row>
    <row r="6" spans="1:7" ht="15">
      <c r="A6" s="504" t="s">
        <v>839</v>
      </c>
      <c r="B6" s="505">
        <v>246053000</v>
      </c>
      <c r="F6" s="474"/>
      <c r="G6" s="458"/>
    </row>
    <row r="7" spans="1:7" ht="15">
      <c r="A7" s="504" t="s">
        <v>840</v>
      </c>
      <c r="B7" s="505">
        <v>136000000</v>
      </c>
      <c r="F7" s="474"/>
      <c r="G7" s="458"/>
    </row>
    <row r="8" spans="1:7" ht="15">
      <c r="A8" s="504" t="s">
        <v>841</v>
      </c>
      <c r="B8" s="505">
        <v>39000000</v>
      </c>
      <c r="F8" s="474"/>
      <c r="G8" s="458"/>
    </row>
    <row r="9" spans="1:7" ht="15">
      <c r="A9" s="504" t="s">
        <v>842</v>
      </c>
      <c r="B9" s="505">
        <v>38650000</v>
      </c>
      <c r="F9" s="450"/>
      <c r="G9" s="492"/>
    </row>
    <row r="10" spans="1:7" ht="15">
      <c r="A10" s="504" t="s">
        <v>843</v>
      </c>
      <c r="B10" s="505">
        <v>12625000</v>
      </c>
      <c r="F10" s="474"/>
      <c r="G10" s="458"/>
    </row>
    <row r="11" spans="1:7" ht="15">
      <c r="A11" s="506" t="s">
        <v>11</v>
      </c>
      <c r="B11" s="507">
        <f>SUM(B4:B10)</f>
        <v>657954000</v>
      </c>
      <c r="F11" s="474"/>
      <c r="G11" s="458"/>
    </row>
    <row r="12" spans="1:7">
      <c r="F12" s="450"/>
      <c r="G12" s="492"/>
    </row>
    <row r="13" spans="1:7" ht="15">
      <c r="A13" s="509" t="s">
        <v>856</v>
      </c>
      <c r="B13" s="510"/>
    </row>
    <row r="14" spans="1:7" ht="15">
      <c r="A14" s="504" t="s">
        <v>851</v>
      </c>
      <c r="B14" s="505">
        <v>-37000000</v>
      </c>
      <c r="D14" s="327"/>
    </row>
    <row r="15" spans="1:7" ht="15">
      <c r="A15" s="504" t="s">
        <v>848</v>
      </c>
      <c r="B15" s="505">
        <v>-18650000</v>
      </c>
    </row>
    <row r="16" spans="1:7" ht="15">
      <c r="A16" s="504" t="s">
        <v>845</v>
      </c>
      <c r="B16" s="505">
        <v>-913000</v>
      </c>
    </row>
    <row r="17" spans="1:5" ht="15">
      <c r="A17" s="504" t="s">
        <v>844</v>
      </c>
      <c r="B17" s="505">
        <v>4940000</v>
      </c>
    </row>
    <row r="18" spans="1:5" ht="15">
      <c r="A18" s="504" t="s">
        <v>846</v>
      </c>
      <c r="B18" s="505">
        <v>500000</v>
      </c>
    </row>
    <row r="19" spans="1:5" ht="15">
      <c r="A19" s="506" t="s">
        <v>11</v>
      </c>
      <c r="B19" s="507">
        <f>SUM(B14:B18)</f>
        <v>-51123000</v>
      </c>
    </row>
    <row r="21" spans="1:5" ht="15">
      <c r="A21" s="506" t="s">
        <v>849</v>
      </c>
      <c r="B21" s="507">
        <f>B11+B19</f>
        <v>606831000</v>
      </c>
    </row>
    <row r="25" spans="1:5" ht="15">
      <c r="C25" s="518" t="s">
        <v>854</v>
      </c>
    </row>
    <row r="26" spans="1:5" ht="15">
      <c r="A26" s="510"/>
      <c r="B26" s="509" t="s">
        <v>364</v>
      </c>
      <c r="C26" s="519" t="s">
        <v>810</v>
      </c>
      <c r="D26" s="509" t="s">
        <v>763</v>
      </c>
      <c r="E26" s="509" t="s">
        <v>811</v>
      </c>
    </row>
    <row r="27" spans="1:5" ht="15">
      <c r="A27" s="504" t="s">
        <v>857</v>
      </c>
      <c r="B27" s="508">
        <f>B4+B5+B6+B7+B8+B9+B14+B15+B16+B18</f>
        <v>589266000</v>
      </c>
      <c r="C27" s="516">
        <f>($B$27-$E$27)/2</f>
        <v>271523000</v>
      </c>
      <c r="D27" s="505">
        <f>($B$27-$E$27)/2</f>
        <v>271523000</v>
      </c>
      <c r="E27" s="505">
        <v>46220000</v>
      </c>
    </row>
    <row r="28" spans="1:5" ht="15">
      <c r="A28" s="504" t="s">
        <v>858</v>
      </c>
      <c r="B28" s="508">
        <f>B10+B17</f>
        <v>17565000</v>
      </c>
      <c r="C28" s="515"/>
      <c r="E28" s="505">
        <f>B28</f>
        <v>17565000</v>
      </c>
    </row>
    <row r="29" spans="1:5" ht="15">
      <c r="A29" s="507" t="s">
        <v>364</v>
      </c>
      <c r="B29" s="507">
        <f>B27+B28</f>
        <v>606831000</v>
      </c>
      <c r="C29" s="517">
        <f t="shared" ref="C29:E29" si="0">C27+C28</f>
        <v>271523000</v>
      </c>
      <c r="D29" s="507">
        <f t="shared" si="0"/>
        <v>271523000</v>
      </c>
      <c r="E29" s="507">
        <f t="shared" si="0"/>
        <v>63785000</v>
      </c>
    </row>
    <row r="31" spans="1:5" ht="15">
      <c r="A31" s="504"/>
      <c r="B31" s="505"/>
    </row>
    <row r="32" spans="1:5" ht="15">
      <c r="A32" s="504"/>
      <c r="B32" s="505"/>
    </row>
    <row r="33" spans="1:1" ht="15">
      <c r="A33" s="504"/>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R306"/>
  <sheetViews>
    <sheetView zoomScale="90" zoomScaleNormal="90" workbookViewId="0"/>
  </sheetViews>
  <sheetFormatPr defaultColWidth="9" defaultRowHeight="14.25"/>
  <cols>
    <col min="1" max="1" width="6.875" style="474" customWidth="1"/>
    <col min="2" max="2" width="19.375" style="474" customWidth="1"/>
    <col min="3" max="3" width="13.625" style="474" customWidth="1"/>
    <col min="4" max="4" width="17" style="474" customWidth="1"/>
    <col min="5" max="5" width="14.625" style="474" customWidth="1"/>
    <col min="6" max="6" width="9" style="474"/>
    <col min="7" max="10" width="13.375" style="487" customWidth="1"/>
    <col min="11" max="11" width="24" style="487" customWidth="1"/>
    <col min="12" max="12" width="20.375" style="474" customWidth="1"/>
    <col min="13" max="13" width="18.625" style="474" customWidth="1"/>
    <col min="14" max="14" width="22.375" style="474" customWidth="1"/>
    <col min="16" max="16" width="22.375" style="474" customWidth="1"/>
    <col min="17" max="17" width="10" style="474" bestFit="1" customWidth="1"/>
    <col min="18" max="18" width="19.125" style="474" customWidth="1"/>
    <col min="19" max="16384" width="9" style="474"/>
  </cols>
  <sheetData>
    <row r="1" spans="1:18" ht="23.25">
      <c r="A1" s="314" t="s">
        <v>836</v>
      </c>
    </row>
    <row r="2" spans="1:18">
      <c r="A2" t="s">
        <v>1187</v>
      </c>
      <c r="P2" s="450"/>
      <c r="Q2" s="492"/>
    </row>
    <row r="3" spans="1:18">
      <c r="A3" t="s">
        <v>1188</v>
      </c>
      <c r="Q3" s="458"/>
    </row>
    <row r="4" spans="1:18">
      <c r="A4" s="474" t="s">
        <v>1189</v>
      </c>
      <c r="Q4" s="458"/>
    </row>
    <row r="5" spans="1:18">
      <c r="A5" s="474" t="s">
        <v>1190</v>
      </c>
    </row>
    <row r="6" spans="1:18">
      <c r="A6" s="474" t="s">
        <v>1191</v>
      </c>
    </row>
    <row r="7" spans="1:18">
      <c r="A7" s="549" t="s">
        <v>1194</v>
      </c>
    </row>
    <row r="8" spans="1:18">
      <c r="A8" s="450"/>
      <c r="G8" s="474" t="s">
        <v>806</v>
      </c>
      <c r="H8" s="474" t="s">
        <v>807</v>
      </c>
      <c r="I8" s="474" t="s">
        <v>808</v>
      </c>
      <c r="P8" s="511" t="s">
        <v>859</v>
      </c>
      <c r="R8" s="459"/>
    </row>
    <row r="9" spans="1:18">
      <c r="G9" s="450">
        <v>83.48</v>
      </c>
      <c r="H9" s="450">
        <v>734.33</v>
      </c>
      <c r="I9" s="512">
        <v>83.24</v>
      </c>
      <c r="J9" s="488"/>
      <c r="K9" s="488"/>
      <c r="P9" s="450">
        <v>31.63</v>
      </c>
    </row>
    <row r="11" spans="1:18">
      <c r="A11" s="475" t="s">
        <v>809</v>
      </c>
      <c r="G11" s="475" t="s">
        <v>862</v>
      </c>
      <c r="L11" s="475" t="s">
        <v>852</v>
      </c>
    </row>
    <row r="12" spans="1:18" ht="72.75" customHeight="1">
      <c r="A12" s="476" t="s">
        <v>791</v>
      </c>
      <c r="B12" s="476" t="s">
        <v>3</v>
      </c>
      <c r="C12" s="469" t="s">
        <v>812</v>
      </c>
      <c r="D12" s="469" t="s">
        <v>813</v>
      </c>
      <c r="E12" s="469" t="s">
        <v>814</v>
      </c>
      <c r="G12" s="493" t="s">
        <v>810</v>
      </c>
      <c r="H12" s="494" t="s">
        <v>763</v>
      </c>
      <c r="I12" s="520" t="s">
        <v>811</v>
      </c>
      <c r="J12" s="495" t="s">
        <v>364</v>
      </c>
      <c r="K12" s="489"/>
      <c r="L12" s="493" t="s">
        <v>817</v>
      </c>
      <c r="M12" s="494" t="s">
        <v>818</v>
      </c>
      <c r="N12" s="495" t="s">
        <v>821</v>
      </c>
      <c r="P12" s="501" t="s">
        <v>860</v>
      </c>
      <c r="R12" s="501" t="s">
        <v>853</v>
      </c>
    </row>
    <row r="13" spans="1:18" s="450" customFormat="1" ht="12.75">
      <c r="B13" s="450" t="s">
        <v>797</v>
      </c>
      <c r="C13" s="471">
        <f>SUM(C14:C306)</f>
        <v>3255053</v>
      </c>
      <c r="D13" s="471">
        <f>SUM(D14:D306)</f>
        <v>370040</v>
      </c>
      <c r="E13" s="471">
        <f t="shared" ref="E13" si="0">SUM(E14:E306)</f>
        <v>555250</v>
      </c>
      <c r="G13" s="521">
        <f>SUM(G14:G306)</f>
        <v>271731824.43999994</v>
      </c>
      <c r="H13" s="486">
        <f>SUM(H14:H306)</f>
        <v>271731473.19999999</v>
      </c>
      <c r="I13" s="486">
        <f>SUM(I14:I306)</f>
        <v>46219010.00000003</v>
      </c>
      <c r="J13" s="522">
        <f>SUM(J14:J306)</f>
        <v>589682307.63999975</v>
      </c>
      <c r="K13" s="490"/>
      <c r="L13" s="496">
        <f>SUM(L14:L306)</f>
        <v>294632999.99999982</v>
      </c>
      <c r="M13" s="492">
        <f t="shared" ref="M13:P13" si="1">SUM(M14:M306)</f>
        <v>-294841153.81999987</v>
      </c>
      <c r="N13" s="499">
        <f t="shared" si="1"/>
        <v>-208153.82000017073</v>
      </c>
      <c r="P13" s="502">
        <f t="shared" si="1"/>
        <v>17562557.499999989</v>
      </c>
      <c r="Q13" s="471"/>
      <c r="R13" s="529">
        <f>SUM(R14:R306)</f>
        <v>607036711.31999981</v>
      </c>
    </row>
    <row r="14" spans="1:18">
      <c r="A14" s="474">
        <v>5</v>
      </c>
      <c r="B14" s="474" t="s">
        <v>12</v>
      </c>
      <c r="C14" s="459">
        <v>4453</v>
      </c>
      <c r="D14" s="459">
        <v>411</v>
      </c>
      <c r="E14" s="459">
        <v>410</v>
      </c>
      <c r="G14" s="523">
        <f>Taulukko3[[#This Row],[Väestö, 18-64-vuotiaat (2023)]]*Taulukko412[Perushinnat, €]</f>
        <v>371736.44</v>
      </c>
      <c r="H14" s="491">
        <f>Taulukko3[[#This Row],[Työttömät ja palveluissa olevat (2023)]]*Taulukko412[[ ]]</f>
        <v>301809.63</v>
      </c>
      <c r="I14" s="491">
        <f>Taulukko3[[#This Row],[Vieraskieliset (2023)]]*Taulukko412[[  ]]</f>
        <v>34128.400000000001</v>
      </c>
      <c r="J14" s="500">
        <f>G14+H14+I14</f>
        <v>707674.47000000009</v>
      </c>
      <c r="K14" s="491"/>
      <c r="L14" s="497">
        <f>'TE25 Palveluiden kustannusarvio'!U7</f>
        <v>472285.2455405831</v>
      </c>
      <c r="M14" s="458">
        <f>J14*-0.5</f>
        <v>-353837.23500000004</v>
      </c>
      <c r="N14" s="500">
        <f>L14+M14</f>
        <v>118448.01054058305</v>
      </c>
      <c r="P14" s="503">
        <f>Taulukko3[[#This Row],[Vieraskieliset (2023)]]*$P$9</f>
        <v>12968.3</v>
      </c>
      <c r="Q14" s="459"/>
      <c r="R14" s="530">
        <f>J14+N14+P14</f>
        <v>839090.78054058319</v>
      </c>
    </row>
    <row r="15" spans="1:18">
      <c r="A15" s="474">
        <v>9</v>
      </c>
      <c r="B15" s="474" t="s">
        <v>13</v>
      </c>
      <c r="C15" s="459">
        <v>1225</v>
      </c>
      <c r="D15" s="459">
        <v>123</v>
      </c>
      <c r="E15" s="459">
        <v>47</v>
      </c>
      <c r="G15" s="523">
        <f>Taulukko3[[#This Row],[Väestö, 18-64-vuotiaat (2023)]]*Taulukko412[Perushinnat, €]</f>
        <v>102263</v>
      </c>
      <c r="H15" s="491">
        <f>Taulukko3[[#This Row],[Työttömät ja palveluissa olevat (2023)]]*Taulukko412[[ ]]</f>
        <v>90322.590000000011</v>
      </c>
      <c r="I15" s="491">
        <f>Taulukko3[[#This Row],[Vieraskieliset (2023)]]*Taulukko412[[  ]]</f>
        <v>3912.2799999999997</v>
      </c>
      <c r="J15" s="500">
        <f t="shared" ref="J15:J78" si="2">G15+H15+I15</f>
        <v>196497.87000000002</v>
      </c>
      <c r="K15" s="491"/>
      <c r="L15" s="497">
        <f>'TE25 Palveluiden kustannusarvio'!U8</f>
        <v>92280.921348764721</v>
      </c>
      <c r="M15" s="458">
        <f t="shared" ref="M15:M78" si="3">J15*-0.5</f>
        <v>-98248.935000000012</v>
      </c>
      <c r="N15" s="500">
        <f t="shared" ref="N15:N78" si="4">L15+M15</f>
        <v>-5968.013651235291</v>
      </c>
      <c r="P15" s="503">
        <f>Taulukko3[[#This Row],[Vieraskieliset (2023)]]*$P$9</f>
        <v>1486.61</v>
      </c>
      <c r="Q15" s="459"/>
      <c r="R15" s="530">
        <f t="shared" ref="R15:R78" si="5">J15+N15+P15</f>
        <v>192016.46634876472</v>
      </c>
    </row>
    <row r="16" spans="1:18">
      <c r="A16" s="474">
        <v>10</v>
      </c>
      <c r="B16" s="474" t="s">
        <v>14</v>
      </c>
      <c r="C16" s="459">
        <v>5510</v>
      </c>
      <c r="D16" s="459">
        <v>514</v>
      </c>
      <c r="E16" s="459">
        <v>278</v>
      </c>
      <c r="G16" s="523">
        <f>Taulukko3[[#This Row],[Väestö, 18-64-vuotiaat (2023)]]*Taulukko412[Perushinnat, €]</f>
        <v>459974.80000000005</v>
      </c>
      <c r="H16" s="491">
        <f>Taulukko3[[#This Row],[Työttömät ja palveluissa olevat (2023)]]*Taulukko412[[ ]]</f>
        <v>377445.62</v>
      </c>
      <c r="I16" s="491">
        <f>Taulukko3[[#This Row],[Vieraskieliset (2023)]]*Taulukko412[[  ]]</f>
        <v>23140.719999999998</v>
      </c>
      <c r="J16" s="500">
        <f t="shared" si="2"/>
        <v>860561.14</v>
      </c>
      <c r="K16" s="491"/>
      <c r="L16" s="497">
        <f>'TE25 Palveluiden kustannusarvio'!U9</f>
        <v>454243.21049983456</v>
      </c>
      <c r="M16" s="458">
        <f t="shared" si="3"/>
        <v>-430280.57</v>
      </c>
      <c r="N16" s="500">
        <f t="shared" si="4"/>
        <v>23962.640499834553</v>
      </c>
      <c r="P16" s="503">
        <f>Taulukko3[[#This Row],[Vieraskieliset (2023)]]*$P$9</f>
        <v>8793.14</v>
      </c>
      <c r="Q16" s="459"/>
      <c r="R16" s="530">
        <f t="shared" si="5"/>
        <v>893316.92049983458</v>
      </c>
    </row>
    <row r="17" spans="1:18">
      <c r="A17" s="474">
        <v>16</v>
      </c>
      <c r="B17" s="474" t="s">
        <v>15</v>
      </c>
      <c r="C17" s="459">
        <v>3847</v>
      </c>
      <c r="D17" s="459">
        <v>414</v>
      </c>
      <c r="E17" s="459">
        <v>257</v>
      </c>
      <c r="G17" s="523">
        <f>Taulukko3[[#This Row],[Väestö, 18-64-vuotiaat (2023)]]*Taulukko412[Perushinnat, €]</f>
        <v>321147.56</v>
      </c>
      <c r="H17" s="491">
        <f>Taulukko3[[#This Row],[Työttömät ja palveluissa olevat (2023)]]*Taulukko412[[ ]]</f>
        <v>304012.62</v>
      </c>
      <c r="I17" s="491">
        <f>Taulukko3[[#This Row],[Vieraskieliset (2023)]]*Taulukko412[[  ]]</f>
        <v>21392.68</v>
      </c>
      <c r="J17" s="500">
        <f t="shared" si="2"/>
        <v>646552.86</v>
      </c>
      <c r="K17" s="491"/>
      <c r="L17" s="497">
        <f>'TE25 Palveluiden kustannusarvio'!U10</f>
        <v>391523.30090310716</v>
      </c>
      <c r="M17" s="458">
        <f t="shared" si="3"/>
        <v>-323276.43</v>
      </c>
      <c r="N17" s="500">
        <f t="shared" si="4"/>
        <v>68246.870903107163</v>
      </c>
      <c r="P17" s="503">
        <f>Taulukko3[[#This Row],[Vieraskieliset (2023)]]*$P$9</f>
        <v>8128.91</v>
      </c>
      <c r="Q17" s="459"/>
      <c r="R17" s="530">
        <f t="shared" si="5"/>
        <v>722928.64090310724</v>
      </c>
    </row>
    <row r="18" spans="1:18">
      <c r="A18" s="474">
        <v>18</v>
      </c>
      <c r="B18" s="474" t="s">
        <v>16</v>
      </c>
      <c r="C18" s="459">
        <v>2648</v>
      </c>
      <c r="D18" s="459">
        <v>209</v>
      </c>
      <c r="E18" s="459">
        <v>184</v>
      </c>
      <c r="G18" s="523">
        <f>Taulukko3[[#This Row],[Väestö, 18-64-vuotiaat (2023)]]*Taulukko412[Perushinnat, €]</f>
        <v>221055.04</v>
      </c>
      <c r="H18" s="491">
        <f>Taulukko3[[#This Row],[Työttömät ja palveluissa olevat (2023)]]*Taulukko412[[ ]]</f>
        <v>153474.97</v>
      </c>
      <c r="I18" s="491">
        <f>Taulukko3[[#This Row],[Vieraskieliset (2023)]]*Taulukko412[[  ]]</f>
        <v>15316.16</v>
      </c>
      <c r="J18" s="500">
        <f t="shared" si="2"/>
        <v>389846.17</v>
      </c>
      <c r="K18" s="491"/>
      <c r="L18" s="497">
        <f>'TE25 Palveluiden kustannusarvio'!U11</f>
        <v>176574.11385790774</v>
      </c>
      <c r="M18" s="458">
        <f t="shared" si="3"/>
        <v>-194923.08499999999</v>
      </c>
      <c r="N18" s="500">
        <f t="shared" si="4"/>
        <v>-18348.971142092254</v>
      </c>
      <c r="P18" s="503">
        <f>Taulukko3[[#This Row],[Vieraskieliset (2023)]]*$P$9</f>
        <v>5819.92</v>
      </c>
      <c r="Q18" s="459"/>
      <c r="R18" s="530">
        <f t="shared" si="5"/>
        <v>377317.11885790771</v>
      </c>
    </row>
    <row r="19" spans="1:18">
      <c r="A19" s="474">
        <v>19</v>
      </c>
      <c r="B19" s="474" t="s">
        <v>17</v>
      </c>
      <c r="C19" s="459">
        <v>2192</v>
      </c>
      <c r="D19" s="459">
        <v>156</v>
      </c>
      <c r="E19" s="459">
        <v>115</v>
      </c>
      <c r="G19" s="523">
        <f>Taulukko3[[#This Row],[Väestö, 18-64-vuotiaat (2023)]]*Taulukko412[Perushinnat, €]</f>
        <v>182988.16</v>
      </c>
      <c r="H19" s="491">
        <f>Taulukko3[[#This Row],[Työttömät ja palveluissa olevat (2023)]]*Taulukko412[[ ]]</f>
        <v>114555.48000000001</v>
      </c>
      <c r="I19" s="491">
        <f>Taulukko3[[#This Row],[Vieraskieliset (2023)]]*Taulukko412[[  ]]</f>
        <v>9572.5999999999985</v>
      </c>
      <c r="J19" s="500">
        <f t="shared" si="2"/>
        <v>307116.24</v>
      </c>
      <c r="K19" s="491"/>
      <c r="L19" s="497">
        <f>'TE25 Palveluiden kustannusarvio'!U12</f>
        <v>128547.88708788992</v>
      </c>
      <c r="M19" s="458">
        <f t="shared" si="3"/>
        <v>-153558.12</v>
      </c>
      <c r="N19" s="500">
        <f t="shared" si="4"/>
        <v>-25010.232912110077</v>
      </c>
      <c r="P19" s="503">
        <f>Taulukko3[[#This Row],[Vieraskieliset (2023)]]*$P$9</f>
        <v>3637.45</v>
      </c>
      <c r="Q19" s="459"/>
      <c r="R19" s="530">
        <f t="shared" si="5"/>
        <v>285743.45708788995</v>
      </c>
    </row>
    <row r="20" spans="1:18">
      <c r="A20" s="474">
        <v>20</v>
      </c>
      <c r="B20" s="474" t="s">
        <v>18</v>
      </c>
      <c r="C20" s="459">
        <v>9032</v>
      </c>
      <c r="D20" s="459">
        <v>1024</v>
      </c>
      <c r="E20" s="459">
        <v>492</v>
      </c>
      <c r="G20" s="523">
        <f>Taulukko3[[#This Row],[Väestö, 18-64-vuotiaat (2023)]]*Taulukko412[Perushinnat, €]</f>
        <v>753991.36</v>
      </c>
      <c r="H20" s="491">
        <f>Taulukko3[[#This Row],[Työttömät ja palveluissa olevat (2023)]]*Taulukko412[[ ]]</f>
        <v>751953.92000000004</v>
      </c>
      <c r="I20" s="491">
        <f>Taulukko3[[#This Row],[Vieraskieliset (2023)]]*Taulukko412[[  ]]</f>
        <v>40954.079999999994</v>
      </c>
      <c r="J20" s="500">
        <f t="shared" si="2"/>
        <v>1546899.36</v>
      </c>
      <c r="K20" s="491"/>
      <c r="L20" s="497">
        <f>'TE25 Palveluiden kustannusarvio'!U13</f>
        <v>734774.5814472835</v>
      </c>
      <c r="M20" s="458">
        <f t="shared" si="3"/>
        <v>-773449.68</v>
      </c>
      <c r="N20" s="500">
        <f t="shared" si="4"/>
        <v>-38675.098552716547</v>
      </c>
      <c r="P20" s="503">
        <f>Taulukko3[[#This Row],[Vieraskieliset (2023)]]*$P$9</f>
        <v>15561.96</v>
      </c>
      <c r="Q20" s="459"/>
      <c r="R20" s="530">
        <f t="shared" si="5"/>
        <v>1523786.2214472834</v>
      </c>
    </row>
    <row r="21" spans="1:18">
      <c r="A21" s="474">
        <v>46</v>
      </c>
      <c r="B21" s="474" t="s">
        <v>19</v>
      </c>
      <c r="C21" s="459">
        <v>611</v>
      </c>
      <c r="D21" s="459">
        <v>66</v>
      </c>
      <c r="E21" s="459">
        <v>49</v>
      </c>
      <c r="G21" s="523">
        <f>Taulukko3[[#This Row],[Väestö, 18-64-vuotiaat (2023)]]*Taulukko412[Perushinnat, €]</f>
        <v>51006.28</v>
      </c>
      <c r="H21" s="491">
        <f>Taulukko3[[#This Row],[Työttömät ja palveluissa olevat (2023)]]*Taulukko412[[ ]]</f>
        <v>48465.780000000006</v>
      </c>
      <c r="I21" s="491">
        <f>Taulukko3[[#This Row],[Vieraskieliset (2023)]]*Taulukko412[[  ]]</f>
        <v>4078.7599999999998</v>
      </c>
      <c r="J21" s="500">
        <f t="shared" si="2"/>
        <v>103550.81999999999</v>
      </c>
      <c r="K21" s="491"/>
      <c r="L21" s="497">
        <f>'TE25 Palveluiden kustannusarvio'!U14</f>
        <v>72047.185258296871</v>
      </c>
      <c r="M21" s="458">
        <f t="shared" si="3"/>
        <v>-51775.409999999996</v>
      </c>
      <c r="N21" s="500">
        <f t="shared" si="4"/>
        <v>20271.775258296875</v>
      </c>
      <c r="P21" s="503">
        <f>Taulukko3[[#This Row],[Vieraskieliset (2023)]]*$P$9</f>
        <v>1549.87</v>
      </c>
      <c r="Q21" s="459"/>
      <c r="R21" s="530">
        <f t="shared" si="5"/>
        <v>125372.46525829687</v>
      </c>
    </row>
    <row r="22" spans="1:18">
      <c r="A22" s="474">
        <v>47</v>
      </c>
      <c r="B22" s="474" t="s">
        <v>20</v>
      </c>
      <c r="C22" s="459">
        <v>957</v>
      </c>
      <c r="D22" s="459">
        <v>133</v>
      </c>
      <c r="E22" s="459">
        <v>59</v>
      </c>
      <c r="G22" s="523">
        <f>Taulukko3[[#This Row],[Väestö, 18-64-vuotiaat (2023)]]*Taulukko412[Perushinnat, €]</f>
        <v>79890.36</v>
      </c>
      <c r="H22" s="491">
        <f>Taulukko3[[#This Row],[Työttömät ja palveluissa olevat (2023)]]*Taulukko412[[ ]]</f>
        <v>97665.89</v>
      </c>
      <c r="I22" s="491">
        <f>Taulukko3[[#This Row],[Vieraskieliset (2023)]]*Taulukko412[[  ]]</f>
        <v>4911.16</v>
      </c>
      <c r="J22" s="500">
        <f t="shared" si="2"/>
        <v>182467.41</v>
      </c>
      <c r="K22" s="491"/>
      <c r="L22" s="497">
        <f>'TE25 Palveluiden kustannusarvio'!U15</f>
        <v>84406.145992904916</v>
      </c>
      <c r="M22" s="458">
        <f t="shared" si="3"/>
        <v>-91233.705000000002</v>
      </c>
      <c r="N22" s="500">
        <f t="shared" si="4"/>
        <v>-6827.5590070950857</v>
      </c>
      <c r="P22" s="503">
        <f>Taulukko3[[#This Row],[Vieraskieliset (2023)]]*$P$9</f>
        <v>1866.1699999999998</v>
      </c>
      <c r="Q22" s="459"/>
      <c r="R22" s="530">
        <f t="shared" si="5"/>
        <v>177506.02099290493</v>
      </c>
    </row>
    <row r="23" spans="1:18">
      <c r="A23" s="474">
        <v>49</v>
      </c>
      <c r="B23" s="474" t="s">
        <v>21</v>
      </c>
      <c r="C23" s="459">
        <v>199024</v>
      </c>
      <c r="D23" s="459">
        <v>19667</v>
      </c>
      <c r="E23" s="459">
        <v>74204</v>
      </c>
      <c r="G23" s="523">
        <f>Taulukko3[[#This Row],[Väestö, 18-64-vuotiaat (2023)]]*Taulukko412[Perushinnat, €]</f>
        <v>16614523.520000001</v>
      </c>
      <c r="H23" s="491">
        <f>Taulukko3[[#This Row],[Työttömät ja palveluissa olevat (2023)]]*Taulukko412[[ ]]</f>
        <v>14442068.110000001</v>
      </c>
      <c r="I23" s="491">
        <f>Taulukko3[[#This Row],[Vieraskieliset (2023)]]*Taulukko412[[  ]]</f>
        <v>6176740.96</v>
      </c>
      <c r="J23" s="500">
        <f t="shared" si="2"/>
        <v>37233332.590000004</v>
      </c>
      <c r="K23" s="491"/>
      <c r="L23" s="497">
        <f>'TE25 Palveluiden kustannusarvio'!U16</f>
        <v>16482786.364646561</v>
      </c>
      <c r="M23" s="458">
        <f t="shared" si="3"/>
        <v>-18616666.295000002</v>
      </c>
      <c r="N23" s="500">
        <f t="shared" si="4"/>
        <v>-2133879.9303534403</v>
      </c>
      <c r="P23" s="503">
        <f>Taulukko3[[#This Row],[Vieraskieliset (2023)]]*$P$9</f>
        <v>2347072.52</v>
      </c>
      <c r="Q23" s="459"/>
      <c r="R23" s="530">
        <f t="shared" si="5"/>
        <v>37446525.179646567</v>
      </c>
    </row>
    <row r="24" spans="1:18">
      <c r="A24" s="474">
        <v>50</v>
      </c>
      <c r="B24" s="474" t="s">
        <v>22</v>
      </c>
      <c r="C24" s="459">
        <v>5891</v>
      </c>
      <c r="D24" s="459">
        <v>460</v>
      </c>
      <c r="E24" s="459">
        <v>486</v>
      </c>
      <c r="G24" s="523">
        <f>Taulukko3[[#This Row],[Väestö, 18-64-vuotiaat (2023)]]*Taulukko412[Perushinnat, €]</f>
        <v>491780.68000000005</v>
      </c>
      <c r="H24" s="491">
        <f>Taulukko3[[#This Row],[Työttömät ja palveluissa olevat (2023)]]*Taulukko412[[ ]]</f>
        <v>337791.80000000005</v>
      </c>
      <c r="I24" s="491">
        <f>Taulukko3[[#This Row],[Vieraskieliset (2023)]]*Taulukko412[[  ]]</f>
        <v>40454.639999999999</v>
      </c>
      <c r="J24" s="500">
        <f t="shared" si="2"/>
        <v>870027.12000000011</v>
      </c>
      <c r="K24" s="491"/>
      <c r="L24" s="497">
        <f>'TE25 Palveluiden kustannusarvio'!U17</f>
        <v>350891.73161650682</v>
      </c>
      <c r="M24" s="458">
        <f t="shared" si="3"/>
        <v>-435013.56000000006</v>
      </c>
      <c r="N24" s="500">
        <f t="shared" si="4"/>
        <v>-84121.828383493237</v>
      </c>
      <c r="P24" s="503">
        <f>Taulukko3[[#This Row],[Vieraskieliset (2023)]]*$P$9</f>
        <v>15372.18</v>
      </c>
      <c r="Q24" s="459"/>
      <c r="R24" s="530">
        <f t="shared" si="5"/>
        <v>801277.47161650693</v>
      </c>
    </row>
    <row r="25" spans="1:18">
      <c r="A25" s="474">
        <v>51</v>
      </c>
      <c r="B25" s="474" t="s">
        <v>23</v>
      </c>
      <c r="C25" s="459">
        <v>4852</v>
      </c>
      <c r="D25" s="459">
        <v>370</v>
      </c>
      <c r="E25" s="459">
        <v>340</v>
      </c>
      <c r="G25" s="523">
        <f>Taulukko3[[#This Row],[Väestö, 18-64-vuotiaat (2023)]]*Taulukko412[Perushinnat, €]</f>
        <v>405044.96</v>
      </c>
      <c r="H25" s="491">
        <f>Taulukko3[[#This Row],[Työttömät ja palveluissa olevat (2023)]]*Taulukko412[[ ]]</f>
        <v>271702.10000000003</v>
      </c>
      <c r="I25" s="491">
        <f>Taulukko3[[#This Row],[Vieraskieliset (2023)]]*Taulukko412[[  ]]</f>
        <v>28301.599999999999</v>
      </c>
      <c r="J25" s="500">
        <f t="shared" si="2"/>
        <v>705048.66</v>
      </c>
      <c r="K25" s="491"/>
      <c r="L25" s="497">
        <f>'TE25 Palveluiden kustannusarvio'!U18</f>
        <v>294114.08292306686</v>
      </c>
      <c r="M25" s="458">
        <f t="shared" si="3"/>
        <v>-352524.33</v>
      </c>
      <c r="N25" s="500">
        <f t="shared" si="4"/>
        <v>-58410.247076933156</v>
      </c>
      <c r="P25" s="503">
        <f>Taulukko3[[#This Row],[Vieraskieliset (2023)]]*$P$9</f>
        <v>10754.199999999999</v>
      </c>
      <c r="Q25" s="459"/>
      <c r="R25" s="530">
        <f t="shared" si="5"/>
        <v>657392.61292306683</v>
      </c>
    </row>
    <row r="26" spans="1:18">
      <c r="A26" s="474">
        <v>52</v>
      </c>
      <c r="B26" s="474" t="s">
        <v>24</v>
      </c>
      <c r="C26" s="459">
        <v>1135</v>
      </c>
      <c r="D26" s="459">
        <v>73</v>
      </c>
      <c r="E26" s="459">
        <v>98</v>
      </c>
      <c r="G26" s="523">
        <f>Taulukko3[[#This Row],[Väestö, 18-64-vuotiaat (2023)]]*Taulukko412[Perushinnat, €]</f>
        <v>94749.8</v>
      </c>
      <c r="H26" s="491">
        <f>Taulukko3[[#This Row],[Työttömät ja palveluissa olevat (2023)]]*Taulukko412[[ ]]</f>
        <v>53606.090000000004</v>
      </c>
      <c r="I26" s="491">
        <f>Taulukko3[[#This Row],[Vieraskieliset (2023)]]*Taulukko412[[  ]]</f>
        <v>8157.5199999999995</v>
      </c>
      <c r="J26" s="500">
        <f t="shared" si="2"/>
        <v>156513.41</v>
      </c>
      <c r="K26" s="491"/>
      <c r="L26" s="497">
        <f>'TE25 Palveluiden kustannusarvio'!U19</f>
        <v>75714.726539672542</v>
      </c>
      <c r="M26" s="458">
        <f t="shared" si="3"/>
        <v>-78256.705000000002</v>
      </c>
      <c r="N26" s="500">
        <f t="shared" si="4"/>
        <v>-2541.9784603274602</v>
      </c>
      <c r="P26" s="503">
        <f>Taulukko3[[#This Row],[Vieraskieliset (2023)]]*$P$9</f>
        <v>3099.74</v>
      </c>
      <c r="Q26" s="459"/>
      <c r="R26" s="530">
        <f t="shared" si="5"/>
        <v>157071.17153967253</v>
      </c>
    </row>
    <row r="27" spans="1:18">
      <c r="A27" s="474">
        <v>61</v>
      </c>
      <c r="B27" s="474" t="s">
        <v>25</v>
      </c>
      <c r="C27" s="459">
        <v>8649</v>
      </c>
      <c r="D27" s="459">
        <v>1258</v>
      </c>
      <c r="E27" s="459">
        <v>1302</v>
      </c>
      <c r="G27" s="523">
        <f>Taulukko3[[#This Row],[Väestö, 18-64-vuotiaat (2023)]]*Taulukko412[Perushinnat, €]</f>
        <v>722018.52</v>
      </c>
      <c r="H27" s="491">
        <f>Taulukko3[[#This Row],[Työttömät ja palveluissa olevat (2023)]]*Taulukko412[[ ]]</f>
        <v>923787.14</v>
      </c>
      <c r="I27" s="491">
        <f>Taulukko3[[#This Row],[Vieraskieliset (2023)]]*Taulukko412[[  ]]</f>
        <v>108378.48</v>
      </c>
      <c r="J27" s="500">
        <f t="shared" si="2"/>
        <v>1754184.1400000001</v>
      </c>
      <c r="K27" s="491"/>
      <c r="L27" s="497">
        <f>'TE25 Palveluiden kustannusarvio'!U20</f>
        <v>1026100.3083655105</v>
      </c>
      <c r="M27" s="458">
        <f t="shared" si="3"/>
        <v>-877092.07000000007</v>
      </c>
      <c r="N27" s="500">
        <f t="shared" si="4"/>
        <v>149008.23836551048</v>
      </c>
      <c r="P27" s="503">
        <f>Taulukko3[[#This Row],[Vieraskieliset (2023)]]*$P$9</f>
        <v>41182.26</v>
      </c>
      <c r="Q27" s="459"/>
      <c r="R27" s="530">
        <f t="shared" si="5"/>
        <v>1944374.6383655106</v>
      </c>
    </row>
    <row r="28" spans="1:18">
      <c r="A28" s="474">
        <v>69</v>
      </c>
      <c r="B28" s="474" t="s">
        <v>26</v>
      </c>
      <c r="C28" s="459">
        <v>3355</v>
      </c>
      <c r="D28" s="459">
        <v>344</v>
      </c>
      <c r="E28" s="459">
        <v>133</v>
      </c>
      <c r="G28" s="523">
        <f>Taulukko3[[#This Row],[Väestö, 18-64-vuotiaat (2023)]]*Taulukko412[Perushinnat, €]</f>
        <v>280075.40000000002</v>
      </c>
      <c r="H28" s="491">
        <f>Taulukko3[[#This Row],[Työttömät ja palveluissa olevat (2023)]]*Taulukko412[[ ]]</f>
        <v>252609.52000000002</v>
      </c>
      <c r="I28" s="491">
        <f>Taulukko3[[#This Row],[Vieraskieliset (2023)]]*Taulukko412[[  ]]</f>
        <v>11070.92</v>
      </c>
      <c r="J28" s="500">
        <f t="shared" si="2"/>
        <v>543755.84000000008</v>
      </c>
      <c r="K28" s="491"/>
      <c r="L28" s="497">
        <f>'TE25 Palveluiden kustannusarvio'!U21</f>
        <v>241121.41166589712</v>
      </c>
      <c r="M28" s="458">
        <f t="shared" si="3"/>
        <v>-271877.92000000004</v>
      </c>
      <c r="N28" s="500">
        <f t="shared" si="4"/>
        <v>-30756.508334102924</v>
      </c>
      <c r="P28" s="503">
        <f>Taulukko3[[#This Row],[Vieraskieliset (2023)]]*$P$9</f>
        <v>4206.79</v>
      </c>
      <c r="Q28" s="459"/>
      <c r="R28" s="530">
        <f t="shared" si="5"/>
        <v>517206.12166589714</v>
      </c>
    </row>
    <row r="29" spans="1:18">
      <c r="A29" s="474">
        <v>71</v>
      </c>
      <c r="B29" s="474" t="s">
        <v>27</v>
      </c>
      <c r="C29" s="459">
        <v>3303</v>
      </c>
      <c r="D29" s="459">
        <v>316</v>
      </c>
      <c r="E29" s="459">
        <v>232</v>
      </c>
      <c r="G29" s="523">
        <f>Taulukko3[[#This Row],[Väestö, 18-64-vuotiaat (2023)]]*Taulukko412[Perushinnat, €]</f>
        <v>275734.44</v>
      </c>
      <c r="H29" s="491">
        <f>Taulukko3[[#This Row],[Työttömät ja palveluissa olevat (2023)]]*Taulukko412[[ ]]</f>
        <v>232048.28</v>
      </c>
      <c r="I29" s="491">
        <f>Taulukko3[[#This Row],[Vieraskieliset (2023)]]*Taulukko412[[  ]]</f>
        <v>19311.68</v>
      </c>
      <c r="J29" s="500">
        <f t="shared" si="2"/>
        <v>527094.4</v>
      </c>
      <c r="K29" s="491"/>
      <c r="L29" s="497">
        <f>'TE25 Palveluiden kustannusarvio'!U22</f>
        <v>216185.10736371856</v>
      </c>
      <c r="M29" s="458">
        <f t="shared" si="3"/>
        <v>-263547.2</v>
      </c>
      <c r="N29" s="500">
        <f t="shared" si="4"/>
        <v>-47362.09263628145</v>
      </c>
      <c r="P29" s="503">
        <f>Taulukko3[[#This Row],[Vieraskieliset (2023)]]*$P$9</f>
        <v>7338.16</v>
      </c>
      <c r="Q29" s="459"/>
      <c r="R29" s="530">
        <f t="shared" si="5"/>
        <v>487070.46736371855</v>
      </c>
    </row>
    <row r="30" spans="1:18">
      <c r="A30" s="474">
        <v>72</v>
      </c>
      <c r="B30" s="474" t="s">
        <v>28</v>
      </c>
      <c r="C30" s="459">
        <v>425</v>
      </c>
      <c r="D30" s="459">
        <v>50</v>
      </c>
      <c r="E30" s="459">
        <v>17</v>
      </c>
      <c r="G30" s="523">
        <f>Taulukko3[[#This Row],[Väestö, 18-64-vuotiaat (2023)]]*Taulukko412[Perushinnat, €]</f>
        <v>35479</v>
      </c>
      <c r="H30" s="491">
        <f>Taulukko3[[#This Row],[Työttömät ja palveluissa olevat (2023)]]*Taulukko412[[ ]]</f>
        <v>36716.5</v>
      </c>
      <c r="I30" s="491">
        <f>Taulukko3[[#This Row],[Vieraskieliset (2023)]]*Taulukko412[[  ]]</f>
        <v>1415.08</v>
      </c>
      <c r="J30" s="500">
        <f t="shared" si="2"/>
        <v>73610.58</v>
      </c>
      <c r="K30" s="491"/>
      <c r="L30" s="497">
        <f>'TE25 Palveluiden kustannusarvio'!U23</f>
        <v>47825.709102116562</v>
      </c>
      <c r="M30" s="458">
        <f t="shared" si="3"/>
        <v>-36805.29</v>
      </c>
      <c r="N30" s="500">
        <f t="shared" si="4"/>
        <v>11020.419102116561</v>
      </c>
      <c r="P30" s="503">
        <f>Taulukko3[[#This Row],[Vieraskieliset (2023)]]*$P$9</f>
        <v>537.71</v>
      </c>
      <c r="Q30" s="459"/>
      <c r="R30" s="530">
        <f t="shared" si="5"/>
        <v>85168.709102116569</v>
      </c>
    </row>
    <row r="31" spans="1:18">
      <c r="A31" s="474">
        <v>74</v>
      </c>
      <c r="B31" s="474" t="s">
        <v>29</v>
      </c>
      <c r="C31" s="459">
        <v>475</v>
      </c>
      <c r="D31" s="459">
        <v>53</v>
      </c>
      <c r="E31" s="459">
        <v>51</v>
      </c>
      <c r="G31" s="523">
        <f>Taulukko3[[#This Row],[Väestö, 18-64-vuotiaat (2023)]]*Taulukko412[Perushinnat, €]</f>
        <v>39653</v>
      </c>
      <c r="H31" s="491">
        <f>Taulukko3[[#This Row],[Työttömät ja palveluissa olevat (2023)]]*Taulukko412[[ ]]</f>
        <v>38919.490000000005</v>
      </c>
      <c r="I31" s="491">
        <f>Taulukko3[[#This Row],[Vieraskieliset (2023)]]*Taulukko412[[  ]]</f>
        <v>4245.24</v>
      </c>
      <c r="J31" s="500">
        <f t="shared" si="2"/>
        <v>82817.73000000001</v>
      </c>
      <c r="K31" s="491"/>
      <c r="L31" s="497">
        <f>'TE25 Palveluiden kustannusarvio'!U24</f>
        <v>47920.68347969577</v>
      </c>
      <c r="M31" s="458">
        <f t="shared" si="3"/>
        <v>-41408.865000000005</v>
      </c>
      <c r="N31" s="500">
        <f t="shared" si="4"/>
        <v>6511.8184796957648</v>
      </c>
      <c r="P31" s="503">
        <f>Taulukko3[[#This Row],[Vieraskieliset (2023)]]*$P$9</f>
        <v>1613.1299999999999</v>
      </c>
      <c r="Q31" s="459"/>
      <c r="R31" s="530">
        <f t="shared" si="5"/>
        <v>90942.67847969578</v>
      </c>
    </row>
    <row r="32" spans="1:18">
      <c r="A32" s="474">
        <v>75</v>
      </c>
      <c r="B32" s="474" t="s">
        <v>30</v>
      </c>
      <c r="C32" s="459">
        <v>10434</v>
      </c>
      <c r="D32" s="459">
        <v>1365</v>
      </c>
      <c r="E32" s="459">
        <v>1558</v>
      </c>
      <c r="G32" s="523">
        <f>Taulukko3[[#This Row],[Väestö, 18-64-vuotiaat (2023)]]*Taulukko412[Perushinnat, €]</f>
        <v>871030.32000000007</v>
      </c>
      <c r="H32" s="491">
        <f>Taulukko3[[#This Row],[Työttömät ja palveluissa olevat (2023)]]*Taulukko412[[ ]]</f>
        <v>1002360.4500000001</v>
      </c>
      <c r="I32" s="491">
        <f>Taulukko3[[#This Row],[Vieraskieliset (2023)]]*Taulukko412[[  ]]</f>
        <v>129687.92</v>
      </c>
      <c r="J32" s="500">
        <f t="shared" si="2"/>
        <v>2003078.69</v>
      </c>
      <c r="K32" s="491"/>
      <c r="L32" s="497">
        <f>'TE25 Palveluiden kustannusarvio'!U25</f>
        <v>1052275.3622585402</v>
      </c>
      <c r="M32" s="458">
        <f t="shared" si="3"/>
        <v>-1001539.345</v>
      </c>
      <c r="N32" s="500">
        <f t="shared" si="4"/>
        <v>50736.017258540262</v>
      </c>
      <c r="P32" s="503">
        <f>Taulukko3[[#This Row],[Vieraskieliset (2023)]]*$P$9</f>
        <v>49279.54</v>
      </c>
      <c r="Q32" s="459"/>
      <c r="R32" s="530">
        <f t="shared" si="5"/>
        <v>2103094.2472585402</v>
      </c>
    </row>
    <row r="33" spans="1:18">
      <c r="A33" s="474">
        <v>77</v>
      </c>
      <c r="B33" s="474" t="s">
        <v>31</v>
      </c>
      <c r="C33" s="459">
        <v>2215</v>
      </c>
      <c r="D33" s="459">
        <v>275</v>
      </c>
      <c r="E33" s="459">
        <v>121</v>
      </c>
      <c r="G33" s="523">
        <f>Taulukko3[[#This Row],[Väestö, 18-64-vuotiaat (2023)]]*Taulukko412[Perushinnat, €]</f>
        <v>184908.2</v>
      </c>
      <c r="H33" s="491">
        <f>Taulukko3[[#This Row],[Työttömät ja palveluissa olevat (2023)]]*Taulukko412[[ ]]</f>
        <v>201940.75</v>
      </c>
      <c r="I33" s="491">
        <f>Taulukko3[[#This Row],[Vieraskieliset (2023)]]*Taulukko412[[  ]]</f>
        <v>10072.039999999999</v>
      </c>
      <c r="J33" s="500">
        <f t="shared" si="2"/>
        <v>396920.99</v>
      </c>
      <c r="K33" s="491"/>
      <c r="L33" s="497">
        <f>'TE25 Palveluiden kustannusarvio'!U26</f>
        <v>228985.43399439895</v>
      </c>
      <c r="M33" s="458">
        <f t="shared" si="3"/>
        <v>-198460.495</v>
      </c>
      <c r="N33" s="500">
        <f t="shared" si="4"/>
        <v>30524.938994398952</v>
      </c>
      <c r="P33" s="503">
        <f>Taulukko3[[#This Row],[Vieraskieliset (2023)]]*$P$9</f>
        <v>3827.23</v>
      </c>
      <c r="Q33" s="459"/>
      <c r="R33" s="530">
        <f t="shared" si="5"/>
        <v>431273.15899439889</v>
      </c>
    </row>
    <row r="34" spans="1:18">
      <c r="A34" s="474">
        <v>78</v>
      </c>
      <c r="B34" s="474" t="s">
        <v>32</v>
      </c>
      <c r="C34" s="459">
        <v>3956</v>
      </c>
      <c r="D34" s="459">
        <v>477</v>
      </c>
      <c r="E34" s="459">
        <v>410</v>
      </c>
      <c r="G34" s="523">
        <f>Taulukko3[[#This Row],[Väestö, 18-64-vuotiaat (2023)]]*Taulukko412[Perushinnat, €]</f>
        <v>330246.88</v>
      </c>
      <c r="H34" s="491">
        <f>Taulukko3[[#This Row],[Työttömät ja palveluissa olevat (2023)]]*Taulukko412[[ ]]</f>
        <v>350275.41000000003</v>
      </c>
      <c r="I34" s="491">
        <f>Taulukko3[[#This Row],[Vieraskieliset (2023)]]*Taulukko412[[  ]]</f>
        <v>34128.400000000001</v>
      </c>
      <c r="J34" s="500">
        <f t="shared" si="2"/>
        <v>714650.69000000006</v>
      </c>
      <c r="K34" s="491"/>
      <c r="L34" s="497">
        <f>'TE25 Palveluiden kustannusarvio'!U27</f>
        <v>329672.94297573983</v>
      </c>
      <c r="M34" s="458">
        <f t="shared" si="3"/>
        <v>-357325.34500000003</v>
      </c>
      <c r="N34" s="500">
        <f t="shared" si="4"/>
        <v>-27652.402024260198</v>
      </c>
      <c r="P34" s="503">
        <f>Taulukko3[[#This Row],[Vieraskieliset (2023)]]*$P$9</f>
        <v>12968.3</v>
      </c>
      <c r="Q34" s="459"/>
      <c r="R34" s="530">
        <f t="shared" si="5"/>
        <v>699966.58797573997</v>
      </c>
    </row>
    <row r="35" spans="1:18">
      <c r="A35" s="474">
        <v>79</v>
      </c>
      <c r="B35" s="474" t="s">
        <v>33</v>
      </c>
      <c r="C35" s="459">
        <v>3406</v>
      </c>
      <c r="D35" s="459">
        <v>420</v>
      </c>
      <c r="E35" s="459">
        <v>330</v>
      </c>
      <c r="G35" s="523">
        <f>Taulukko3[[#This Row],[Väestö, 18-64-vuotiaat (2023)]]*Taulukko412[Perushinnat, €]</f>
        <v>284332.88</v>
      </c>
      <c r="H35" s="491">
        <f>Taulukko3[[#This Row],[Työttömät ja palveluissa olevat (2023)]]*Taulukko412[[ ]]</f>
        <v>308418.60000000003</v>
      </c>
      <c r="I35" s="491">
        <f>Taulukko3[[#This Row],[Vieraskieliset (2023)]]*Taulukko412[[  ]]</f>
        <v>27469.199999999997</v>
      </c>
      <c r="J35" s="500">
        <f t="shared" si="2"/>
        <v>620220.67999999993</v>
      </c>
      <c r="K35" s="491"/>
      <c r="L35" s="497">
        <f>'TE25 Palveluiden kustannusarvio'!U28</f>
        <v>263127.87574586971</v>
      </c>
      <c r="M35" s="458">
        <f t="shared" si="3"/>
        <v>-310110.33999999997</v>
      </c>
      <c r="N35" s="500">
        <f t="shared" si="4"/>
        <v>-46982.46425413026</v>
      </c>
      <c r="P35" s="503">
        <f>Taulukko3[[#This Row],[Vieraskieliset (2023)]]*$P$9</f>
        <v>10437.9</v>
      </c>
      <c r="Q35" s="459"/>
      <c r="R35" s="530">
        <f t="shared" si="5"/>
        <v>583676.1157458697</v>
      </c>
    </row>
    <row r="36" spans="1:18">
      <c r="A36" s="474">
        <v>81</v>
      </c>
      <c r="B36" s="474" t="s">
        <v>34</v>
      </c>
      <c r="C36" s="459">
        <v>1151</v>
      </c>
      <c r="D36" s="459">
        <v>166</v>
      </c>
      <c r="E36" s="459">
        <v>86</v>
      </c>
      <c r="G36" s="523">
        <f>Taulukko3[[#This Row],[Väestö, 18-64-vuotiaat (2023)]]*Taulukko412[Perushinnat, €]</f>
        <v>96085.48000000001</v>
      </c>
      <c r="H36" s="491">
        <f>Taulukko3[[#This Row],[Työttömät ja palveluissa olevat (2023)]]*Taulukko412[[ ]]</f>
        <v>121898.78000000001</v>
      </c>
      <c r="I36" s="491">
        <f>Taulukko3[[#This Row],[Vieraskieliset (2023)]]*Taulukko412[[  ]]</f>
        <v>7158.6399999999994</v>
      </c>
      <c r="J36" s="500">
        <f t="shared" si="2"/>
        <v>225142.90000000002</v>
      </c>
      <c r="K36" s="491"/>
      <c r="L36" s="497">
        <f>'TE25 Palveluiden kustannusarvio'!U29</f>
        <v>164692.35961812353</v>
      </c>
      <c r="M36" s="458">
        <f t="shared" si="3"/>
        <v>-112571.45000000001</v>
      </c>
      <c r="N36" s="500">
        <f t="shared" si="4"/>
        <v>52120.909618123522</v>
      </c>
      <c r="P36" s="503">
        <f>Taulukko3[[#This Row],[Vieraskieliset (2023)]]*$P$9</f>
        <v>2720.18</v>
      </c>
      <c r="Q36" s="459"/>
      <c r="R36" s="530">
        <f t="shared" si="5"/>
        <v>279983.98961812357</v>
      </c>
    </row>
    <row r="37" spans="1:18">
      <c r="A37" s="474">
        <v>82</v>
      </c>
      <c r="B37" s="474" t="s">
        <v>35</v>
      </c>
      <c r="C37" s="459">
        <v>5143</v>
      </c>
      <c r="D37" s="459">
        <v>384</v>
      </c>
      <c r="E37" s="459">
        <v>231</v>
      </c>
      <c r="G37" s="523">
        <f>Taulukko3[[#This Row],[Väestö, 18-64-vuotiaat (2023)]]*Taulukko412[Perushinnat, €]</f>
        <v>429337.64</v>
      </c>
      <c r="H37" s="491">
        <f>Taulukko3[[#This Row],[Työttömät ja palveluissa olevat (2023)]]*Taulukko412[[ ]]</f>
        <v>281982.72000000003</v>
      </c>
      <c r="I37" s="491">
        <f>Taulukko3[[#This Row],[Vieraskieliset (2023)]]*Taulukko412[[  ]]</f>
        <v>19228.439999999999</v>
      </c>
      <c r="J37" s="500">
        <f t="shared" si="2"/>
        <v>730548.8</v>
      </c>
      <c r="K37" s="491"/>
      <c r="L37" s="497">
        <f>'TE25 Palveluiden kustannusarvio'!U30</f>
        <v>359172.16723084165</v>
      </c>
      <c r="M37" s="458">
        <f t="shared" si="3"/>
        <v>-365274.4</v>
      </c>
      <c r="N37" s="500">
        <f t="shared" si="4"/>
        <v>-6102.2327691583778</v>
      </c>
      <c r="P37" s="503">
        <f>Taulukko3[[#This Row],[Vieraskieliset (2023)]]*$P$9</f>
        <v>7306.53</v>
      </c>
      <c r="Q37" s="459"/>
      <c r="R37" s="530">
        <f t="shared" si="5"/>
        <v>731753.09723084164</v>
      </c>
    </row>
    <row r="38" spans="1:18">
      <c r="A38" s="474">
        <v>86</v>
      </c>
      <c r="B38" s="474" t="s">
        <v>36</v>
      </c>
      <c r="C38" s="459">
        <v>4490</v>
      </c>
      <c r="D38" s="459">
        <v>373</v>
      </c>
      <c r="E38" s="459">
        <v>284</v>
      </c>
      <c r="G38" s="523">
        <f>Taulukko3[[#This Row],[Väestö, 18-64-vuotiaat (2023)]]*Taulukko412[Perushinnat, €]</f>
        <v>374825.2</v>
      </c>
      <c r="H38" s="491">
        <f>Taulukko3[[#This Row],[Työttömät ja palveluissa olevat (2023)]]*Taulukko412[[ ]]</f>
        <v>273905.09000000003</v>
      </c>
      <c r="I38" s="491">
        <f>Taulukko3[[#This Row],[Vieraskieliset (2023)]]*Taulukko412[[  ]]</f>
        <v>23640.16</v>
      </c>
      <c r="J38" s="500">
        <f t="shared" si="2"/>
        <v>672370.45000000007</v>
      </c>
      <c r="K38" s="491"/>
      <c r="L38" s="497">
        <f>'TE25 Palveluiden kustannusarvio'!U31</f>
        <v>305994.99176089646</v>
      </c>
      <c r="M38" s="458">
        <f t="shared" si="3"/>
        <v>-336185.22500000003</v>
      </c>
      <c r="N38" s="500">
        <f t="shared" si="4"/>
        <v>-30190.233239103574</v>
      </c>
      <c r="P38" s="503">
        <f>Taulukko3[[#This Row],[Vieraskieliset (2023)]]*$P$9</f>
        <v>8982.92</v>
      </c>
      <c r="Q38" s="459"/>
      <c r="R38" s="530">
        <f t="shared" si="5"/>
        <v>651163.13676089654</v>
      </c>
    </row>
    <row r="39" spans="1:18">
      <c r="A39" s="474">
        <v>90</v>
      </c>
      <c r="B39" s="474" t="s">
        <v>37</v>
      </c>
      <c r="C39" s="459">
        <v>1388</v>
      </c>
      <c r="D39" s="459">
        <v>210</v>
      </c>
      <c r="E39" s="459">
        <v>129</v>
      </c>
      <c r="G39" s="523">
        <f>Taulukko3[[#This Row],[Väestö, 18-64-vuotiaat (2023)]]*Taulukko412[Perushinnat, €]</f>
        <v>115870.24</v>
      </c>
      <c r="H39" s="491">
        <f>Taulukko3[[#This Row],[Työttömät ja palveluissa olevat (2023)]]*Taulukko412[[ ]]</f>
        <v>154209.30000000002</v>
      </c>
      <c r="I39" s="491">
        <f>Taulukko3[[#This Row],[Vieraskieliset (2023)]]*Taulukko412[[  ]]</f>
        <v>10737.96</v>
      </c>
      <c r="J39" s="500">
        <f t="shared" si="2"/>
        <v>280817.50000000006</v>
      </c>
      <c r="K39" s="491"/>
      <c r="L39" s="497">
        <f>'TE25 Palveluiden kustannusarvio'!U32</f>
        <v>200317.05587476716</v>
      </c>
      <c r="M39" s="458">
        <f t="shared" si="3"/>
        <v>-140408.75000000003</v>
      </c>
      <c r="N39" s="500">
        <f t="shared" si="4"/>
        <v>59908.305874767131</v>
      </c>
      <c r="P39" s="503">
        <f>Taulukko3[[#This Row],[Vieraskieliset (2023)]]*$P$9</f>
        <v>4080.27</v>
      </c>
      <c r="Q39" s="459"/>
      <c r="R39" s="530">
        <f t="shared" si="5"/>
        <v>344806.07587476721</v>
      </c>
    </row>
    <row r="40" spans="1:18">
      <c r="A40" s="474">
        <v>91</v>
      </c>
      <c r="B40" s="474" t="s">
        <v>38</v>
      </c>
      <c r="C40" s="459">
        <v>442093</v>
      </c>
      <c r="D40" s="459">
        <v>50575</v>
      </c>
      <c r="E40" s="459">
        <v>131878</v>
      </c>
      <c r="G40" s="523">
        <f>Taulukko3[[#This Row],[Väestö, 18-64-vuotiaat (2023)]]*Taulukko412[Perushinnat, €]</f>
        <v>36905923.640000001</v>
      </c>
      <c r="H40" s="491">
        <f>Taulukko3[[#This Row],[Työttömät ja palveluissa olevat (2023)]]*Taulukko412[[ ]]</f>
        <v>37138739.75</v>
      </c>
      <c r="I40" s="491">
        <f>Taulukko3[[#This Row],[Vieraskieliset (2023)]]*Taulukko412[[  ]]</f>
        <v>10977524.719999999</v>
      </c>
      <c r="J40" s="500">
        <f t="shared" si="2"/>
        <v>85022188.109999999</v>
      </c>
      <c r="K40" s="491"/>
      <c r="L40" s="497">
        <f>'TE25 Palveluiden kustannusarvio'!U33</f>
        <v>35325494.142591663</v>
      </c>
      <c r="M40" s="458">
        <f t="shared" si="3"/>
        <v>-42511094.055</v>
      </c>
      <c r="N40" s="500">
        <f t="shared" si="4"/>
        <v>-7185599.912408337</v>
      </c>
      <c r="P40" s="503">
        <f>Taulukko3[[#This Row],[Vieraskieliset (2023)]]*$P$9</f>
        <v>4171301.1399999997</v>
      </c>
      <c r="Q40" s="459"/>
      <c r="R40" s="530">
        <f t="shared" si="5"/>
        <v>82007889.337591663</v>
      </c>
    </row>
    <row r="41" spans="1:18">
      <c r="A41" s="474">
        <v>92</v>
      </c>
      <c r="B41" s="474" t="s">
        <v>39</v>
      </c>
      <c r="C41" s="459">
        <v>159397</v>
      </c>
      <c r="D41" s="459">
        <v>19875</v>
      </c>
      <c r="E41" s="459">
        <v>66586</v>
      </c>
      <c r="G41" s="523">
        <f>Taulukko3[[#This Row],[Väestö, 18-64-vuotiaat (2023)]]*Taulukko412[Perushinnat, €]</f>
        <v>13306461.560000001</v>
      </c>
      <c r="H41" s="491">
        <f>Taulukko3[[#This Row],[Työttömät ja palveluissa olevat (2023)]]*Taulukko412[[ ]]</f>
        <v>14594808.75</v>
      </c>
      <c r="I41" s="491">
        <f>Taulukko3[[#This Row],[Vieraskieliset (2023)]]*Taulukko412[[  ]]</f>
        <v>5542618.6399999997</v>
      </c>
      <c r="J41" s="500">
        <f t="shared" si="2"/>
        <v>33443888.950000003</v>
      </c>
      <c r="K41" s="491"/>
      <c r="L41" s="497">
        <f>'TE25 Palveluiden kustannusarvio'!U34</f>
        <v>15388301.9105462</v>
      </c>
      <c r="M41" s="458">
        <f t="shared" si="3"/>
        <v>-16721944.475000001</v>
      </c>
      <c r="N41" s="500">
        <f t="shared" si="4"/>
        <v>-1333642.5644538011</v>
      </c>
      <c r="P41" s="503">
        <f>Taulukko3[[#This Row],[Vieraskieliset (2023)]]*$P$9</f>
        <v>2106115.1799999997</v>
      </c>
      <c r="Q41" s="459"/>
      <c r="R41" s="530">
        <f t="shared" si="5"/>
        <v>34216361.5655462</v>
      </c>
    </row>
    <row r="42" spans="1:18">
      <c r="A42" s="474">
        <v>97</v>
      </c>
      <c r="B42" s="474" t="s">
        <v>40</v>
      </c>
      <c r="C42" s="459">
        <v>994</v>
      </c>
      <c r="D42" s="459">
        <v>123</v>
      </c>
      <c r="E42" s="459">
        <v>63</v>
      </c>
      <c r="G42" s="523">
        <f>Taulukko3[[#This Row],[Väestö, 18-64-vuotiaat (2023)]]*Taulukko412[Perushinnat, €]</f>
        <v>82979.12000000001</v>
      </c>
      <c r="H42" s="491">
        <f>Taulukko3[[#This Row],[Työttömät ja palveluissa olevat (2023)]]*Taulukko412[[ ]]</f>
        <v>90322.590000000011</v>
      </c>
      <c r="I42" s="491">
        <f>Taulukko3[[#This Row],[Vieraskieliset (2023)]]*Taulukko412[[  ]]</f>
        <v>5244.12</v>
      </c>
      <c r="J42" s="500">
        <f t="shared" si="2"/>
        <v>178545.83000000002</v>
      </c>
      <c r="K42" s="491"/>
      <c r="L42" s="497">
        <f>'TE25 Palveluiden kustannusarvio'!U35</f>
        <v>109689.75482661955</v>
      </c>
      <c r="M42" s="458">
        <f t="shared" si="3"/>
        <v>-89272.915000000008</v>
      </c>
      <c r="N42" s="500">
        <f t="shared" si="4"/>
        <v>20416.839826619544</v>
      </c>
      <c r="P42" s="503">
        <f>Taulukko3[[#This Row],[Vieraskieliset (2023)]]*$P$9</f>
        <v>1992.6899999999998</v>
      </c>
      <c r="Q42" s="459"/>
      <c r="R42" s="530">
        <f t="shared" si="5"/>
        <v>200955.35982661956</v>
      </c>
    </row>
    <row r="43" spans="1:18">
      <c r="A43" s="474">
        <v>98</v>
      </c>
      <c r="B43" s="474" t="s">
        <v>41</v>
      </c>
      <c r="C43" s="459">
        <v>12134</v>
      </c>
      <c r="D43" s="459">
        <v>1059</v>
      </c>
      <c r="E43" s="459">
        <v>732</v>
      </c>
      <c r="G43" s="523">
        <f>Taulukko3[[#This Row],[Väestö, 18-64-vuotiaat (2023)]]*Taulukko412[Perushinnat, €]</f>
        <v>1012946.3200000001</v>
      </c>
      <c r="H43" s="491">
        <f>Taulukko3[[#This Row],[Työttömät ja palveluissa olevat (2023)]]*Taulukko412[[ ]]</f>
        <v>777655.47000000009</v>
      </c>
      <c r="I43" s="491">
        <f>Taulukko3[[#This Row],[Vieraskieliset (2023)]]*Taulukko412[[  ]]</f>
        <v>60931.679999999993</v>
      </c>
      <c r="J43" s="500">
        <f t="shared" si="2"/>
        <v>1851533.47</v>
      </c>
      <c r="K43" s="491"/>
      <c r="L43" s="497">
        <f>'TE25 Palveluiden kustannusarvio'!U36</f>
        <v>1133605.7541564063</v>
      </c>
      <c r="M43" s="458">
        <f t="shared" si="3"/>
        <v>-925766.73499999999</v>
      </c>
      <c r="N43" s="500">
        <f t="shared" si="4"/>
        <v>207839.01915640628</v>
      </c>
      <c r="P43" s="503">
        <f>Taulukko3[[#This Row],[Vieraskieliset (2023)]]*$P$9</f>
        <v>23153.16</v>
      </c>
      <c r="Q43" s="459"/>
      <c r="R43" s="530">
        <f t="shared" si="5"/>
        <v>2082525.6491564063</v>
      </c>
    </row>
    <row r="44" spans="1:18">
      <c r="A44" s="474">
        <v>102</v>
      </c>
      <c r="B44" s="474" t="s">
        <v>42</v>
      </c>
      <c r="C44" s="459">
        <v>5057</v>
      </c>
      <c r="D44" s="459">
        <v>451</v>
      </c>
      <c r="E44" s="459">
        <v>494</v>
      </c>
      <c r="G44" s="523">
        <f>Taulukko3[[#This Row],[Väestö, 18-64-vuotiaat (2023)]]*Taulukko412[Perushinnat, €]</f>
        <v>422158.36000000004</v>
      </c>
      <c r="H44" s="491">
        <f>Taulukko3[[#This Row],[Työttömät ja palveluissa olevat (2023)]]*Taulukko412[[ ]]</f>
        <v>331182.83</v>
      </c>
      <c r="I44" s="491">
        <f>Taulukko3[[#This Row],[Vieraskieliset (2023)]]*Taulukko412[[  ]]</f>
        <v>41120.559999999998</v>
      </c>
      <c r="J44" s="500">
        <f t="shared" si="2"/>
        <v>794461.75</v>
      </c>
      <c r="K44" s="491"/>
      <c r="L44" s="497">
        <f>'TE25 Palveluiden kustannusarvio'!U37</f>
        <v>320261.18306306319</v>
      </c>
      <c r="M44" s="458">
        <f t="shared" si="3"/>
        <v>-397230.875</v>
      </c>
      <c r="N44" s="500">
        <f t="shared" si="4"/>
        <v>-76969.691936936812</v>
      </c>
      <c r="P44" s="503">
        <f>Taulukko3[[#This Row],[Vieraskieliset (2023)]]*$P$9</f>
        <v>15625.22</v>
      </c>
      <c r="Q44" s="459"/>
      <c r="R44" s="530">
        <f t="shared" si="5"/>
        <v>733117.27806306316</v>
      </c>
    </row>
    <row r="45" spans="1:18">
      <c r="A45" s="474">
        <v>103</v>
      </c>
      <c r="B45" s="474" t="s">
        <v>43</v>
      </c>
      <c r="C45" s="459">
        <v>1092</v>
      </c>
      <c r="D45" s="459">
        <v>127</v>
      </c>
      <c r="E45" s="459">
        <v>45</v>
      </c>
      <c r="G45" s="523">
        <f>Taulukko3[[#This Row],[Väestö, 18-64-vuotiaat (2023)]]*Taulukko412[Perushinnat, €]</f>
        <v>91160.16</v>
      </c>
      <c r="H45" s="491">
        <f>Taulukko3[[#This Row],[Työttömät ja palveluissa olevat (2023)]]*Taulukko412[[ ]]</f>
        <v>93259.91</v>
      </c>
      <c r="I45" s="491">
        <f>Taulukko3[[#This Row],[Vieraskieliset (2023)]]*Taulukko412[[  ]]</f>
        <v>3745.7999999999997</v>
      </c>
      <c r="J45" s="500">
        <f t="shared" si="2"/>
        <v>188165.87</v>
      </c>
      <c r="K45" s="491"/>
      <c r="L45" s="497">
        <f>'TE25 Palveluiden kustannusarvio'!U38</f>
        <v>89581.479958435812</v>
      </c>
      <c r="M45" s="458">
        <f t="shared" si="3"/>
        <v>-94082.934999999998</v>
      </c>
      <c r="N45" s="500">
        <f t="shared" si="4"/>
        <v>-4501.4550415641861</v>
      </c>
      <c r="P45" s="503">
        <f>Taulukko3[[#This Row],[Vieraskieliset (2023)]]*$P$9</f>
        <v>1423.35</v>
      </c>
      <c r="Q45" s="459"/>
      <c r="R45" s="530">
        <f t="shared" si="5"/>
        <v>185087.76495843582</v>
      </c>
    </row>
    <row r="46" spans="1:18">
      <c r="A46" s="474">
        <v>105</v>
      </c>
      <c r="B46" s="474" t="s">
        <v>44</v>
      </c>
      <c r="C46" s="459">
        <v>892</v>
      </c>
      <c r="D46" s="459">
        <v>124</v>
      </c>
      <c r="E46" s="459">
        <v>43</v>
      </c>
      <c r="G46" s="523">
        <f>Taulukko3[[#This Row],[Väestö, 18-64-vuotiaat (2023)]]*Taulukko412[Perushinnat, €]</f>
        <v>74464.160000000003</v>
      </c>
      <c r="H46" s="491">
        <f>Taulukko3[[#This Row],[Työttömät ja palveluissa olevat (2023)]]*Taulukko412[[ ]]</f>
        <v>91056.92</v>
      </c>
      <c r="I46" s="491">
        <f>Taulukko3[[#This Row],[Vieraskieliset (2023)]]*Taulukko412[[  ]]</f>
        <v>3579.3199999999997</v>
      </c>
      <c r="J46" s="500">
        <f t="shared" si="2"/>
        <v>169100.40000000002</v>
      </c>
      <c r="K46" s="491"/>
      <c r="L46" s="497">
        <f>'TE25 Palveluiden kustannusarvio'!U39</f>
        <v>107468.16383548029</v>
      </c>
      <c r="M46" s="458">
        <f t="shared" si="3"/>
        <v>-84550.200000000012</v>
      </c>
      <c r="N46" s="500">
        <f t="shared" si="4"/>
        <v>22917.963835480274</v>
      </c>
      <c r="P46" s="503">
        <f>Taulukko3[[#This Row],[Vieraskieliset (2023)]]*$P$9</f>
        <v>1360.09</v>
      </c>
      <c r="Q46" s="459"/>
      <c r="R46" s="530">
        <f t="shared" si="5"/>
        <v>193378.45383548029</v>
      </c>
    </row>
    <row r="47" spans="1:18">
      <c r="A47" s="474">
        <v>106</v>
      </c>
      <c r="B47" s="474" t="s">
        <v>45</v>
      </c>
      <c r="C47" s="459">
        <v>27145</v>
      </c>
      <c r="D47" s="459">
        <v>3254</v>
      </c>
      <c r="E47" s="459">
        <v>3681</v>
      </c>
      <c r="G47" s="523">
        <f>Taulukko3[[#This Row],[Väestö, 18-64-vuotiaat (2023)]]*Taulukko412[Perushinnat, €]</f>
        <v>2266064.6</v>
      </c>
      <c r="H47" s="491">
        <f>Taulukko3[[#This Row],[Työttömät ja palveluissa olevat (2023)]]*Taulukko412[[ ]]</f>
        <v>2389509.8200000003</v>
      </c>
      <c r="I47" s="491">
        <f>Taulukko3[[#This Row],[Vieraskieliset (2023)]]*Taulukko412[[  ]]</f>
        <v>306406.44</v>
      </c>
      <c r="J47" s="500">
        <f t="shared" si="2"/>
        <v>4961980.8600000003</v>
      </c>
      <c r="K47" s="491"/>
      <c r="L47" s="497">
        <f>'TE25 Palveluiden kustannusarvio'!U40</f>
        <v>2259243.0935309716</v>
      </c>
      <c r="M47" s="458">
        <f t="shared" si="3"/>
        <v>-2480990.4300000002</v>
      </c>
      <c r="N47" s="500">
        <f t="shared" si="4"/>
        <v>-221747.33646902861</v>
      </c>
      <c r="P47" s="503">
        <f>Taulukko3[[#This Row],[Vieraskieliset (2023)]]*$P$9</f>
        <v>116430.03</v>
      </c>
      <c r="Q47" s="459"/>
      <c r="R47" s="530">
        <f t="shared" si="5"/>
        <v>4856663.5535309715</v>
      </c>
    </row>
    <row r="48" spans="1:18">
      <c r="A48" s="474">
        <v>108</v>
      </c>
      <c r="B48" s="474" t="s">
        <v>46</v>
      </c>
      <c r="C48" s="459">
        <v>5617</v>
      </c>
      <c r="D48" s="459">
        <v>578</v>
      </c>
      <c r="E48" s="459">
        <v>214</v>
      </c>
      <c r="G48" s="523">
        <f>Taulukko3[[#This Row],[Väestö, 18-64-vuotiaat (2023)]]*Taulukko412[Perushinnat, €]</f>
        <v>468907.16000000003</v>
      </c>
      <c r="H48" s="491">
        <f>Taulukko3[[#This Row],[Työttömät ja palveluissa olevat (2023)]]*Taulukko412[[ ]]</f>
        <v>424442.74000000005</v>
      </c>
      <c r="I48" s="491">
        <f>Taulukko3[[#This Row],[Vieraskieliset (2023)]]*Taulukko412[[  ]]</f>
        <v>17813.36</v>
      </c>
      <c r="J48" s="500">
        <f t="shared" si="2"/>
        <v>911163.26000000013</v>
      </c>
      <c r="K48" s="491"/>
      <c r="L48" s="497">
        <f>'TE25 Palveluiden kustannusarvio'!U41</f>
        <v>434550.29477082385</v>
      </c>
      <c r="M48" s="458">
        <f t="shared" si="3"/>
        <v>-455581.63000000006</v>
      </c>
      <c r="N48" s="500">
        <f t="shared" si="4"/>
        <v>-21031.335229176213</v>
      </c>
      <c r="P48" s="503">
        <f>Taulukko3[[#This Row],[Vieraskieliset (2023)]]*$P$9</f>
        <v>6768.82</v>
      </c>
      <c r="Q48" s="459"/>
      <c r="R48" s="530">
        <f t="shared" si="5"/>
        <v>896900.74477082386</v>
      </c>
    </row>
    <row r="49" spans="1:18">
      <c r="A49" s="474">
        <v>109</v>
      </c>
      <c r="B49" s="474" t="s">
        <v>47</v>
      </c>
      <c r="C49" s="459">
        <v>38148</v>
      </c>
      <c r="D49" s="459">
        <v>4519</v>
      </c>
      <c r="E49" s="459">
        <v>4660</v>
      </c>
      <c r="G49" s="523">
        <f>Taulukko3[[#This Row],[Väestö, 18-64-vuotiaat (2023)]]*Taulukko412[Perushinnat, €]</f>
        <v>3184595.04</v>
      </c>
      <c r="H49" s="491">
        <f>Taulukko3[[#This Row],[Työttömät ja palveluissa olevat (2023)]]*Taulukko412[[ ]]</f>
        <v>3318437.27</v>
      </c>
      <c r="I49" s="491">
        <f>Taulukko3[[#This Row],[Vieraskieliset (2023)]]*Taulukko412[[  ]]</f>
        <v>387898.39999999997</v>
      </c>
      <c r="J49" s="500">
        <f t="shared" si="2"/>
        <v>6890930.7100000009</v>
      </c>
      <c r="K49" s="491"/>
      <c r="L49" s="497">
        <f>'TE25 Palveluiden kustannusarvio'!U42</f>
        <v>3322159.5854255399</v>
      </c>
      <c r="M49" s="458">
        <f t="shared" si="3"/>
        <v>-3445465.3550000004</v>
      </c>
      <c r="N49" s="500">
        <f t="shared" si="4"/>
        <v>-123305.76957446057</v>
      </c>
      <c r="P49" s="503">
        <f>Taulukko3[[#This Row],[Vieraskieliset (2023)]]*$P$9</f>
        <v>147395.79999999999</v>
      </c>
      <c r="Q49" s="459"/>
      <c r="R49" s="530">
        <f t="shared" si="5"/>
        <v>6915020.7404255401</v>
      </c>
    </row>
    <row r="50" spans="1:18">
      <c r="A50" s="474">
        <v>111</v>
      </c>
      <c r="B50" s="474" t="s">
        <v>48</v>
      </c>
      <c r="C50" s="459">
        <v>8967</v>
      </c>
      <c r="D50" s="459">
        <v>1289</v>
      </c>
      <c r="E50" s="459">
        <v>903</v>
      </c>
      <c r="G50" s="523">
        <f>Taulukko3[[#This Row],[Väestö, 18-64-vuotiaat (2023)]]*Taulukko412[Perushinnat, €]</f>
        <v>748565.16</v>
      </c>
      <c r="H50" s="491">
        <f>Taulukko3[[#This Row],[Työttömät ja palveluissa olevat (2023)]]*Taulukko412[[ ]]</f>
        <v>946551.37</v>
      </c>
      <c r="I50" s="491">
        <f>Taulukko3[[#This Row],[Vieraskieliset (2023)]]*Taulukko412[[  ]]</f>
        <v>75165.72</v>
      </c>
      <c r="J50" s="500">
        <f t="shared" si="2"/>
        <v>1770282.25</v>
      </c>
      <c r="K50" s="491"/>
      <c r="L50" s="497">
        <f>'TE25 Palveluiden kustannusarvio'!U43</f>
        <v>1064950.9070217507</v>
      </c>
      <c r="M50" s="458">
        <f t="shared" si="3"/>
        <v>-885141.125</v>
      </c>
      <c r="N50" s="500">
        <f t="shared" si="4"/>
        <v>179809.7820217507</v>
      </c>
      <c r="P50" s="503">
        <f>Taulukko3[[#This Row],[Vieraskieliset (2023)]]*$P$9</f>
        <v>28561.89</v>
      </c>
      <c r="Q50" s="459"/>
      <c r="R50" s="530">
        <f t="shared" si="5"/>
        <v>1978653.9220217506</v>
      </c>
    </row>
    <row r="51" spans="1:18">
      <c r="A51" s="474">
        <v>139</v>
      </c>
      <c r="B51" s="474" t="s">
        <v>49</v>
      </c>
      <c r="C51" s="459">
        <v>5050</v>
      </c>
      <c r="D51" s="459">
        <v>657</v>
      </c>
      <c r="E51" s="459">
        <v>88</v>
      </c>
      <c r="G51" s="523">
        <f>Taulukko3[[#This Row],[Väestö, 18-64-vuotiaat (2023)]]*Taulukko412[Perushinnat, €]</f>
        <v>421574</v>
      </c>
      <c r="H51" s="491">
        <f>Taulukko3[[#This Row],[Työttömät ja palveluissa olevat (2023)]]*Taulukko412[[ ]]</f>
        <v>482454.81000000006</v>
      </c>
      <c r="I51" s="491">
        <f>Taulukko3[[#This Row],[Vieraskieliset (2023)]]*Taulukko412[[  ]]</f>
        <v>7325.12</v>
      </c>
      <c r="J51" s="500">
        <f t="shared" si="2"/>
        <v>911353.93</v>
      </c>
      <c r="K51" s="491"/>
      <c r="L51" s="497">
        <f>'TE25 Palveluiden kustannusarvio'!U44</f>
        <v>433812.97137158451</v>
      </c>
      <c r="M51" s="458">
        <f t="shared" si="3"/>
        <v>-455676.96500000003</v>
      </c>
      <c r="N51" s="500">
        <f t="shared" si="4"/>
        <v>-21863.993628415512</v>
      </c>
      <c r="P51" s="503">
        <f>Taulukko3[[#This Row],[Vieraskieliset (2023)]]*$P$9</f>
        <v>2783.44</v>
      </c>
      <c r="Q51" s="459"/>
      <c r="R51" s="530">
        <f t="shared" si="5"/>
        <v>892273.37637158448</v>
      </c>
    </row>
    <row r="52" spans="1:18">
      <c r="A52" s="474">
        <v>140</v>
      </c>
      <c r="B52" s="474" t="s">
        <v>50</v>
      </c>
      <c r="C52" s="459">
        <v>10977</v>
      </c>
      <c r="D52" s="459">
        <v>1525</v>
      </c>
      <c r="E52" s="459">
        <v>851</v>
      </c>
      <c r="G52" s="523">
        <f>Taulukko3[[#This Row],[Väestö, 18-64-vuotiaat (2023)]]*Taulukko412[Perushinnat, €]</f>
        <v>916359.96000000008</v>
      </c>
      <c r="H52" s="491">
        <f>Taulukko3[[#This Row],[Työttömät ja palveluissa olevat (2023)]]*Taulukko412[[ ]]</f>
        <v>1119853.25</v>
      </c>
      <c r="I52" s="491">
        <f>Taulukko3[[#This Row],[Vieraskieliset (2023)]]*Taulukko412[[  ]]</f>
        <v>70837.239999999991</v>
      </c>
      <c r="J52" s="500">
        <f t="shared" si="2"/>
        <v>2107050.4500000002</v>
      </c>
      <c r="K52" s="491"/>
      <c r="L52" s="497">
        <f>'TE25 Palveluiden kustannusarvio'!U45</f>
        <v>1148698.4510779332</v>
      </c>
      <c r="M52" s="458">
        <f t="shared" si="3"/>
        <v>-1053525.2250000001</v>
      </c>
      <c r="N52" s="500">
        <f t="shared" si="4"/>
        <v>95173.226077933097</v>
      </c>
      <c r="P52" s="503">
        <f>Taulukko3[[#This Row],[Vieraskieliset (2023)]]*$P$9</f>
        <v>26917.129999999997</v>
      </c>
      <c r="Q52" s="459"/>
      <c r="R52" s="530">
        <f t="shared" si="5"/>
        <v>2229140.8060779329</v>
      </c>
    </row>
    <row r="53" spans="1:18">
      <c r="A53" s="474">
        <v>142</v>
      </c>
      <c r="B53" s="474" t="s">
        <v>51</v>
      </c>
      <c r="C53" s="459">
        <v>3208</v>
      </c>
      <c r="D53" s="459">
        <v>357</v>
      </c>
      <c r="E53" s="459">
        <v>157</v>
      </c>
      <c r="G53" s="523">
        <f>Taulukko3[[#This Row],[Väestö, 18-64-vuotiaat (2023)]]*Taulukko412[Perushinnat, €]</f>
        <v>267803.84000000003</v>
      </c>
      <c r="H53" s="491">
        <f>Taulukko3[[#This Row],[Työttömät ja palveluissa olevat (2023)]]*Taulukko412[[ ]]</f>
        <v>262155.81</v>
      </c>
      <c r="I53" s="491">
        <f>Taulukko3[[#This Row],[Vieraskieliset (2023)]]*Taulukko412[[  ]]</f>
        <v>13068.679999999998</v>
      </c>
      <c r="J53" s="500">
        <f t="shared" si="2"/>
        <v>543028.33000000007</v>
      </c>
      <c r="K53" s="491"/>
      <c r="L53" s="497">
        <f>'TE25 Palveluiden kustannusarvio'!U46</f>
        <v>375007.19797188701</v>
      </c>
      <c r="M53" s="458">
        <f t="shared" si="3"/>
        <v>-271514.16500000004</v>
      </c>
      <c r="N53" s="500">
        <f t="shared" si="4"/>
        <v>103493.03297188698</v>
      </c>
      <c r="P53" s="503">
        <f>Taulukko3[[#This Row],[Vieraskieliset (2023)]]*$P$9</f>
        <v>4965.91</v>
      </c>
      <c r="Q53" s="459"/>
      <c r="R53" s="530">
        <f t="shared" si="5"/>
        <v>651487.27297188703</v>
      </c>
    </row>
    <row r="54" spans="1:18">
      <c r="A54" s="474">
        <v>143</v>
      </c>
      <c r="B54" s="474" t="s">
        <v>52</v>
      </c>
      <c r="C54" s="459">
        <v>3435</v>
      </c>
      <c r="D54" s="459">
        <v>397</v>
      </c>
      <c r="E54" s="459">
        <v>321</v>
      </c>
      <c r="G54" s="523">
        <f>Taulukko3[[#This Row],[Väestö, 18-64-vuotiaat (2023)]]*Taulukko412[Perushinnat, €]</f>
        <v>286753.8</v>
      </c>
      <c r="H54" s="491">
        <f>Taulukko3[[#This Row],[Työttömät ja palveluissa olevat (2023)]]*Taulukko412[[ ]]</f>
        <v>291529.01</v>
      </c>
      <c r="I54" s="491">
        <f>Taulukko3[[#This Row],[Vieraskieliset (2023)]]*Taulukko412[[  ]]</f>
        <v>26720.039999999997</v>
      </c>
      <c r="J54" s="500">
        <f t="shared" si="2"/>
        <v>605002.85000000009</v>
      </c>
      <c r="K54" s="491"/>
      <c r="L54" s="497">
        <f>'TE25 Palveluiden kustannusarvio'!U47</f>
        <v>271803.36173789349</v>
      </c>
      <c r="M54" s="458">
        <f t="shared" si="3"/>
        <v>-302501.42500000005</v>
      </c>
      <c r="N54" s="500">
        <f t="shared" si="4"/>
        <v>-30698.06326210656</v>
      </c>
      <c r="P54" s="503">
        <f>Taulukko3[[#This Row],[Vieraskieliset (2023)]]*$P$9</f>
        <v>10153.23</v>
      </c>
      <c r="Q54" s="459"/>
      <c r="R54" s="530">
        <f t="shared" si="5"/>
        <v>584458.01673789346</v>
      </c>
    </row>
    <row r="55" spans="1:18">
      <c r="A55" s="474">
        <v>145</v>
      </c>
      <c r="B55" s="474" t="s">
        <v>53</v>
      </c>
      <c r="C55" s="459">
        <v>6666</v>
      </c>
      <c r="D55" s="459">
        <v>468</v>
      </c>
      <c r="E55" s="459">
        <v>202</v>
      </c>
      <c r="G55" s="523">
        <f>Taulukko3[[#This Row],[Väestö, 18-64-vuotiaat (2023)]]*Taulukko412[Perushinnat, €]</f>
        <v>556477.68000000005</v>
      </c>
      <c r="H55" s="491">
        <f>Taulukko3[[#This Row],[Työttömät ja palveluissa olevat (2023)]]*Taulukko412[[ ]]</f>
        <v>343666.44</v>
      </c>
      <c r="I55" s="491">
        <f>Taulukko3[[#This Row],[Vieraskieliset (2023)]]*Taulukko412[[  ]]</f>
        <v>16814.48</v>
      </c>
      <c r="J55" s="500">
        <f t="shared" si="2"/>
        <v>916958.60000000009</v>
      </c>
      <c r="K55" s="491"/>
      <c r="L55" s="497">
        <f>'TE25 Palveluiden kustannusarvio'!U48</f>
        <v>429483.17178188852</v>
      </c>
      <c r="M55" s="458">
        <f t="shared" si="3"/>
        <v>-458479.30000000005</v>
      </c>
      <c r="N55" s="500">
        <f t="shared" si="4"/>
        <v>-28996.128218111524</v>
      </c>
      <c r="P55" s="503">
        <f>Taulukko3[[#This Row],[Vieraskieliset (2023)]]*$P$9</f>
        <v>6389.26</v>
      </c>
      <c r="Q55" s="459"/>
      <c r="R55" s="530">
        <f t="shared" si="5"/>
        <v>894351.73178188852</v>
      </c>
    </row>
    <row r="56" spans="1:18">
      <c r="A56" s="474">
        <v>146</v>
      </c>
      <c r="B56" s="474" t="s">
        <v>54</v>
      </c>
      <c r="C56" s="459">
        <v>1935</v>
      </c>
      <c r="D56" s="459">
        <v>313</v>
      </c>
      <c r="E56" s="459">
        <v>193</v>
      </c>
      <c r="G56" s="523">
        <f>Taulukko3[[#This Row],[Väestö, 18-64-vuotiaat (2023)]]*Taulukko412[Perushinnat, €]</f>
        <v>161533.80000000002</v>
      </c>
      <c r="H56" s="491">
        <f>Taulukko3[[#This Row],[Työttömät ja palveluissa olevat (2023)]]*Taulukko412[[ ]]</f>
        <v>229845.29</v>
      </c>
      <c r="I56" s="491">
        <f>Taulukko3[[#This Row],[Vieraskieliset (2023)]]*Taulukko412[[  ]]</f>
        <v>16065.32</v>
      </c>
      <c r="J56" s="500">
        <f t="shared" si="2"/>
        <v>407444.41000000003</v>
      </c>
      <c r="K56" s="491"/>
      <c r="L56" s="497">
        <f>'TE25 Palveluiden kustannusarvio'!U49</f>
        <v>313344.53348666301</v>
      </c>
      <c r="M56" s="458">
        <f t="shared" si="3"/>
        <v>-203722.20500000002</v>
      </c>
      <c r="N56" s="500">
        <f t="shared" si="4"/>
        <v>109622.328486663</v>
      </c>
      <c r="P56" s="503">
        <f>Taulukko3[[#This Row],[Vieraskieliset (2023)]]*$P$9</f>
        <v>6104.59</v>
      </c>
      <c r="Q56" s="459"/>
      <c r="R56" s="530">
        <f t="shared" si="5"/>
        <v>523171.32848666306</v>
      </c>
    </row>
    <row r="57" spans="1:18">
      <c r="A57" s="474">
        <v>148</v>
      </c>
      <c r="B57" s="474" t="s">
        <v>55</v>
      </c>
      <c r="C57" s="459">
        <v>4110</v>
      </c>
      <c r="D57" s="459">
        <v>475</v>
      </c>
      <c r="E57" s="459">
        <v>358</v>
      </c>
      <c r="G57" s="523">
        <f>Taulukko3[[#This Row],[Väestö, 18-64-vuotiaat (2023)]]*Taulukko412[Perushinnat, €]</f>
        <v>343102.8</v>
      </c>
      <c r="H57" s="491">
        <f>Taulukko3[[#This Row],[Työttömät ja palveluissa olevat (2023)]]*Taulukko412[[ ]]</f>
        <v>348806.75</v>
      </c>
      <c r="I57" s="491">
        <f>Taulukko3[[#This Row],[Vieraskieliset (2023)]]*Taulukko412[[  ]]</f>
        <v>29799.919999999998</v>
      </c>
      <c r="J57" s="500">
        <f t="shared" si="2"/>
        <v>721709.47000000009</v>
      </c>
      <c r="K57" s="491"/>
      <c r="L57" s="497">
        <f>'TE25 Palveluiden kustannusarvio'!U50</f>
        <v>380747.26745200565</v>
      </c>
      <c r="M57" s="458">
        <f t="shared" si="3"/>
        <v>-360854.73500000004</v>
      </c>
      <c r="N57" s="500">
        <f t="shared" si="4"/>
        <v>19892.532452005602</v>
      </c>
      <c r="P57" s="503">
        <f>Taulukko3[[#This Row],[Vieraskieliset (2023)]]*$P$9</f>
        <v>11323.539999999999</v>
      </c>
      <c r="Q57" s="459"/>
      <c r="R57" s="530">
        <f t="shared" si="5"/>
        <v>752925.54245200567</v>
      </c>
    </row>
    <row r="58" spans="1:18">
      <c r="A58" s="474">
        <v>149</v>
      </c>
      <c r="B58" s="474" t="s">
        <v>56</v>
      </c>
      <c r="C58" s="459">
        <v>2974</v>
      </c>
      <c r="D58" s="459">
        <v>188</v>
      </c>
      <c r="E58" s="459">
        <v>278</v>
      </c>
      <c r="G58" s="523">
        <f>Taulukko3[[#This Row],[Väestö, 18-64-vuotiaat (2023)]]*Taulukko412[Perushinnat, €]</f>
        <v>248269.52000000002</v>
      </c>
      <c r="H58" s="491">
        <f>Taulukko3[[#This Row],[Työttömät ja palveluissa olevat (2023)]]*Taulukko412[[ ]]</f>
        <v>138054.04</v>
      </c>
      <c r="I58" s="491">
        <f>Taulukko3[[#This Row],[Vieraskieliset (2023)]]*Taulukko412[[  ]]</f>
        <v>23140.719999999998</v>
      </c>
      <c r="J58" s="500">
        <f t="shared" si="2"/>
        <v>409464.28</v>
      </c>
      <c r="K58" s="491"/>
      <c r="L58" s="497">
        <f>'TE25 Palveluiden kustannusarvio'!U51</f>
        <v>163458.49805889334</v>
      </c>
      <c r="M58" s="458">
        <f t="shared" si="3"/>
        <v>-204732.14</v>
      </c>
      <c r="N58" s="500">
        <f t="shared" si="4"/>
        <v>-41273.641941106674</v>
      </c>
      <c r="P58" s="503">
        <f>Taulukko3[[#This Row],[Vieraskieliset (2023)]]*$P$9</f>
        <v>8793.14</v>
      </c>
      <c r="Q58" s="459"/>
      <c r="R58" s="530">
        <f t="shared" si="5"/>
        <v>376983.7780588934</v>
      </c>
    </row>
    <row r="59" spans="1:18">
      <c r="A59" s="474">
        <v>151</v>
      </c>
      <c r="B59" s="474" t="s">
        <v>57</v>
      </c>
      <c r="C59" s="459">
        <v>908</v>
      </c>
      <c r="D59" s="459">
        <v>57</v>
      </c>
      <c r="E59" s="459">
        <v>80</v>
      </c>
      <c r="G59" s="523">
        <f>Taulukko3[[#This Row],[Väestö, 18-64-vuotiaat (2023)]]*Taulukko412[Perushinnat, €]</f>
        <v>75799.839999999997</v>
      </c>
      <c r="H59" s="491">
        <f>Taulukko3[[#This Row],[Työttömät ja palveluissa olevat (2023)]]*Taulukko412[[ ]]</f>
        <v>41856.810000000005</v>
      </c>
      <c r="I59" s="491">
        <f>Taulukko3[[#This Row],[Vieraskieliset (2023)]]*Taulukko412[[  ]]</f>
        <v>6659.2</v>
      </c>
      <c r="J59" s="500">
        <f t="shared" si="2"/>
        <v>124315.84999999999</v>
      </c>
      <c r="K59" s="491"/>
      <c r="L59" s="497">
        <f>'TE25 Palveluiden kustannusarvio'!U52</f>
        <v>44162.302879791889</v>
      </c>
      <c r="M59" s="458">
        <f t="shared" si="3"/>
        <v>-62157.924999999996</v>
      </c>
      <c r="N59" s="500">
        <f t="shared" si="4"/>
        <v>-17995.622120208107</v>
      </c>
      <c r="P59" s="503">
        <f>Taulukko3[[#This Row],[Vieraskieliset (2023)]]*$P$9</f>
        <v>2530.4</v>
      </c>
      <c r="Q59" s="459"/>
      <c r="R59" s="530">
        <f t="shared" si="5"/>
        <v>108850.62787979188</v>
      </c>
    </row>
    <row r="60" spans="1:18">
      <c r="A60" s="474">
        <v>152</v>
      </c>
      <c r="B60" s="474" t="s">
        <v>58</v>
      </c>
      <c r="C60" s="459">
        <v>2219</v>
      </c>
      <c r="D60" s="459">
        <v>167</v>
      </c>
      <c r="E60" s="459">
        <v>79</v>
      </c>
      <c r="G60" s="523">
        <f>Taulukko3[[#This Row],[Väestö, 18-64-vuotiaat (2023)]]*Taulukko412[Perushinnat, €]</f>
        <v>185242.12</v>
      </c>
      <c r="H60" s="491">
        <f>Taulukko3[[#This Row],[Työttömät ja palveluissa olevat (2023)]]*Taulukko412[[ ]]</f>
        <v>122633.11</v>
      </c>
      <c r="I60" s="491">
        <f>Taulukko3[[#This Row],[Vieraskieliset (2023)]]*Taulukko412[[  ]]</f>
        <v>6575.96</v>
      </c>
      <c r="J60" s="500">
        <f t="shared" si="2"/>
        <v>314451.19</v>
      </c>
      <c r="K60" s="491"/>
      <c r="L60" s="497">
        <f>'TE25 Palveluiden kustannusarvio'!U53</f>
        <v>162957.00690793857</v>
      </c>
      <c r="M60" s="458">
        <f t="shared" si="3"/>
        <v>-157225.595</v>
      </c>
      <c r="N60" s="500">
        <f t="shared" si="4"/>
        <v>5731.4119079385709</v>
      </c>
      <c r="P60" s="503">
        <f>Taulukko3[[#This Row],[Vieraskieliset (2023)]]*$P$9</f>
        <v>2498.77</v>
      </c>
      <c r="Q60" s="459"/>
      <c r="R60" s="530">
        <f t="shared" si="5"/>
        <v>322681.37190793862</v>
      </c>
    </row>
    <row r="61" spans="1:18">
      <c r="A61" s="474">
        <v>153</v>
      </c>
      <c r="B61" s="474" t="s">
        <v>59</v>
      </c>
      <c r="C61" s="459">
        <v>13249</v>
      </c>
      <c r="D61" s="459">
        <v>2227</v>
      </c>
      <c r="E61" s="459">
        <v>2136</v>
      </c>
      <c r="G61" s="523">
        <f>Taulukko3[[#This Row],[Väestö, 18-64-vuotiaat (2023)]]*Taulukko412[Perushinnat, €]</f>
        <v>1106026.52</v>
      </c>
      <c r="H61" s="491">
        <f>Taulukko3[[#This Row],[Työttömät ja palveluissa olevat (2023)]]*Taulukko412[[ ]]</f>
        <v>1635352.9100000001</v>
      </c>
      <c r="I61" s="491">
        <f>Taulukko3[[#This Row],[Vieraskieliset (2023)]]*Taulukko412[[  ]]</f>
        <v>177800.63999999998</v>
      </c>
      <c r="J61" s="500">
        <f t="shared" si="2"/>
        <v>2919180.0700000003</v>
      </c>
      <c r="K61" s="491"/>
      <c r="L61" s="497">
        <f>'TE25 Palveluiden kustannusarvio'!U54</f>
        <v>1805865.0207885664</v>
      </c>
      <c r="M61" s="458">
        <f t="shared" si="3"/>
        <v>-1459590.0350000001</v>
      </c>
      <c r="N61" s="500">
        <f t="shared" si="4"/>
        <v>346274.98578856629</v>
      </c>
      <c r="P61" s="503">
        <f>Taulukko3[[#This Row],[Vieraskieliset (2023)]]*$P$9</f>
        <v>67561.679999999993</v>
      </c>
      <c r="Q61" s="459"/>
      <c r="R61" s="530">
        <f t="shared" si="5"/>
        <v>3333016.7357885665</v>
      </c>
    </row>
    <row r="62" spans="1:18">
      <c r="A62" s="474">
        <v>165</v>
      </c>
      <c r="B62" s="474" t="s">
        <v>60</v>
      </c>
      <c r="C62" s="459">
        <v>8879</v>
      </c>
      <c r="D62" s="459">
        <v>864</v>
      </c>
      <c r="E62" s="459">
        <v>612</v>
      </c>
      <c r="G62" s="523">
        <f>Taulukko3[[#This Row],[Väestö, 18-64-vuotiaat (2023)]]*Taulukko412[Perushinnat, €]</f>
        <v>741218.92</v>
      </c>
      <c r="H62" s="491">
        <f>Taulukko3[[#This Row],[Työttömät ja palveluissa olevat (2023)]]*Taulukko412[[ ]]</f>
        <v>634461.12</v>
      </c>
      <c r="I62" s="491">
        <f>Taulukko3[[#This Row],[Vieraskieliset (2023)]]*Taulukko412[[  ]]</f>
        <v>50942.879999999997</v>
      </c>
      <c r="J62" s="500">
        <f t="shared" si="2"/>
        <v>1426622.92</v>
      </c>
      <c r="K62" s="491"/>
      <c r="L62" s="497">
        <f>'TE25 Palveluiden kustannusarvio'!U55</f>
        <v>715312.05977187853</v>
      </c>
      <c r="M62" s="458">
        <f t="shared" si="3"/>
        <v>-713311.46</v>
      </c>
      <c r="N62" s="500">
        <f t="shared" si="4"/>
        <v>2000.5997718785657</v>
      </c>
      <c r="P62" s="503">
        <f>Taulukko3[[#This Row],[Vieraskieliset (2023)]]*$P$9</f>
        <v>19357.559999999998</v>
      </c>
      <c r="Q62" s="459"/>
      <c r="R62" s="530">
        <f t="shared" si="5"/>
        <v>1447981.0797718787</v>
      </c>
    </row>
    <row r="63" spans="1:18">
      <c r="A63" s="474">
        <v>167</v>
      </c>
      <c r="B63" s="474" t="s">
        <v>61</v>
      </c>
      <c r="C63" s="459">
        <v>47403</v>
      </c>
      <c r="D63" s="459">
        <v>6813</v>
      </c>
      <c r="E63" s="459">
        <v>5753</v>
      </c>
      <c r="G63" s="523">
        <f>Taulukko3[[#This Row],[Väestö, 18-64-vuotiaat (2023)]]*Taulukko412[Perushinnat, €]</f>
        <v>3957202.4400000004</v>
      </c>
      <c r="H63" s="491">
        <f>Taulukko3[[#This Row],[Työttömät ja palveluissa olevat (2023)]]*Taulukko412[[ ]]</f>
        <v>5002990.29</v>
      </c>
      <c r="I63" s="491">
        <f>Taulukko3[[#This Row],[Vieraskieliset (2023)]]*Taulukko412[[  ]]</f>
        <v>478879.72</v>
      </c>
      <c r="J63" s="500">
        <f t="shared" si="2"/>
        <v>9439072.4500000011</v>
      </c>
      <c r="K63" s="491"/>
      <c r="L63" s="497">
        <f>'TE25 Palveluiden kustannusarvio'!U56</f>
        <v>6221799.8026622925</v>
      </c>
      <c r="M63" s="458">
        <f t="shared" si="3"/>
        <v>-4719536.2250000006</v>
      </c>
      <c r="N63" s="500">
        <f t="shared" si="4"/>
        <v>1502263.5776622919</v>
      </c>
      <c r="P63" s="503">
        <f>Taulukko3[[#This Row],[Vieraskieliset (2023)]]*$P$9</f>
        <v>181967.38999999998</v>
      </c>
      <c r="Q63" s="459"/>
      <c r="R63" s="530">
        <f t="shared" si="5"/>
        <v>11123303.417662293</v>
      </c>
    </row>
    <row r="64" spans="1:18">
      <c r="A64" s="474">
        <v>169</v>
      </c>
      <c r="B64" s="474" t="s">
        <v>62</v>
      </c>
      <c r="C64" s="459">
        <v>2589</v>
      </c>
      <c r="D64" s="459">
        <v>248</v>
      </c>
      <c r="E64" s="459">
        <v>172</v>
      </c>
      <c r="G64" s="523">
        <f>Taulukko3[[#This Row],[Väestö, 18-64-vuotiaat (2023)]]*Taulukko412[Perushinnat, €]</f>
        <v>216129.72</v>
      </c>
      <c r="H64" s="491">
        <f>Taulukko3[[#This Row],[Työttömät ja palveluissa olevat (2023)]]*Taulukko412[[ ]]</f>
        <v>182113.84</v>
      </c>
      <c r="I64" s="491">
        <f>Taulukko3[[#This Row],[Vieraskieliset (2023)]]*Taulukko412[[  ]]</f>
        <v>14317.279999999999</v>
      </c>
      <c r="J64" s="500">
        <f t="shared" si="2"/>
        <v>412560.83999999997</v>
      </c>
      <c r="K64" s="491"/>
      <c r="L64" s="497">
        <f>'TE25 Palveluiden kustannusarvio'!U57</f>
        <v>211048.779961372</v>
      </c>
      <c r="M64" s="458">
        <f t="shared" si="3"/>
        <v>-206280.41999999998</v>
      </c>
      <c r="N64" s="500">
        <f t="shared" si="4"/>
        <v>4768.3599613720144</v>
      </c>
      <c r="P64" s="503">
        <f>Taulukko3[[#This Row],[Vieraskieliset (2023)]]*$P$9</f>
        <v>5440.36</v>
      </c>
      <c r="Q64" s="459"/>
      <c r="R64" s="530">
        <f t="shared" si="5"/>
        <v>422769.55996137194</v>
      </c>
    </row>
    <row r="65" spans="1:18">
      <c r="A65" s="474">
        <v>171</v>
      </c>
      <c r="B65" s="474" t="s">
        <v>63</v>
      </c>
      <c r="C65" s="459">
        <v>2333</v>
      </c>
      <c r="D65" s="459">
        <v>253</v>
      </c>
      <c r="E65" s="459">
        <v>262</v>
      </c>
      <c r="G65" s="523">
        <f>Taulukko3[[#This Row],[Väestö, 18-64-vuotiaat (2023)]]*Taulukko412[Perushinnat, €]</f>
        <v>194758.84</v>
      </c>
      <c r="H65" s="491">
        <f>Taulukko3[[#This Row],[Työttömät ja palveluissa olevat (2023)]]*Taulukko412[[ ]]</f>
        <v>185785.49000000002</v>
      </c>
      <c r="I65" s="491">
        <f>Taulukko3[[#This Row],[Vieraskieliset (2023)]]*Taulukko412[[  ]]</f>
        <v>21808.879999999997</v>
      </c>
      <c r="J65" s="500">
        <f t="shared" si="2"/>
        <v>402353.21</v>
      </c>
      <c r="K65" s="491"/>
      <c r="L65" s="497">
        <f>'TE25 Palveluiden kustannusarvio'!U58</f>
        <v>239566.80590862213</v>
      </c>
      <c r="M65" s="458">
        <f t="shared" si="3"/>
        <v>-201176.60500000001</v>
      </c>
      <c r="N65" s="500">
        <f t="shared" si="4"/>
        <v>38390.200908622122</v>
      </c>
      <c r="P65" s="503">
        <f>Taulukko3[[#This Row],[Vieraskieliset (2023)]]*$P$9</f>
        <v>8287.06</v>
      </c>
      <c r="Q65" s="459"/>
      <c r="R65" s="530">
        <f t="shared" si="5"/>
        <v>449030.47090862214</v>
      </c>
    </row>
    <row r="66" spans="1:18">
      <c r="A66" s="474">
        <v>172</v>
      </c>
      <c r="B66" s="474" t="s">
        <v>64</v>
      </c>
      <c r="C66" s="459">
        <v>1888</v>
      </c>
      <c r="D66" s="459">
        <v>265</v>
      </c>
      <c r="E66" s="459">
        <v>120</v>
      </c>
      <c r="G66" s="523">
        <f>Taulukko3[[#This Row],[Väestö, 18-64-vuotiaat (2023)]]*Taulukko412[Perushinnat, €]</f>
        <v>157610.24000000002</v>
      </c>
      <c r="H66" s="491">
        <f>Taulukko3[[#This Row],[Työttömät ja palveluissa olevat (2023)]]*Taulukko412[[ ]]</f>
        <v>194597.45</v>
      </c>
      <c r="I66" s="491">
        <f>Taulukko3[[#This Row],[Vieraskieliset (2023)]]*Taulukko412[[  ]]</f>
        <v>9988.7999999999993</v>
      </c>
      <c r="J66" s="500">
        <f t="shared" si="2"/>
        <v>362196.49000000005</v>
      </c>
      <c r="K66" s="491"/>
      <c r="L66" s="497">
        <f>'TE25 Palveluiden kustannusarvio'!U59</f>
        <v>212834.79843544375</v>
      </c>
      <c r="M66" s="458">
        <f t="shared" si="3"/>
        <v>-181098.24500000002</v>
      </c>
      <c r="N66" s="500">
        <f t="shared" si="4"/>
        <v>31736.553435443726</v>
      </c>
      <c r="P66" s="503">
        <f>Taulukko3[[#This Row],[Vieraskieliset (2023)]]*$P$9</f>
        <v>3795.6</v>
      </c>
      <c r="Q66" s="459"/>
      <c r="R66" s="530">
        <f t="shared" si="5"/>
        <v>397728.64343544375</v>
      </c>
    </row>
    <row r="67" spans="1:18">
      <c r="A67" s="474">
        <v>176</v>
      </c>
      <c r="B67" s="474" t="s">
        <v>65</v>
      </c>
      <c r="C67" s="459">
        <v>2050</v>
      </c>
      <c r="D67" s="459">
        <v>357</v>
      </c>
      <c r="E67" s="459">
        <v>136</v>
      </c>
      <c r="G67" s="523">
        <f>Taulukko3[[#This Row],[Väestö, 18-64-vuotiaat (2023)]]*Taulukko412[Perushinnat, €]</f>
        <v>171134</v>
      </c>
      <c r="H67" s="491">
        <f>Taulukko3[[#This Row],[Työttömät ja palveluissa olevat (2023)]]*Taulukko412[[ ]]</f>
        <v>262155.81</v>
      </c>
      <c r="I67" s="491">
        <f>Taulukko3[[#This Row],[Vieraskieliset (2023)]]*Taulukko412[[  ]]</f>
        <v>11320.64</v>
      </c>
      <c r="J67" s="500">
        <f t="shared" si="2"/>
        <v>444610.45</v>
      </c>
      <c r="K67" s="491"/>
      <c r="L67" s="497">
        <f>'TE25 Palveluiden kustannusarvio'!U60</f>
        <v>364345.6116616099</v>
      </c>
      <c r="M67" s="458">
        <f t="shared" si="3"/>
        <v>-222305.22500000001</v>
      </c>
      <c r="N67" s="500">
        <f t="shared" si="4"/>
        <v>142040.3866616099</v>
      </c>
      <c r="P67" s="503">
        <f>Taulukko3[[#This Row],[Vieraskieliset (2023)]]*$P$9</f>
        <v>4301.68</v>
      </c>
      <c r="Q67" s="459"/>
      <c r="R67" s="530">
        <f t="shared" si="5"/>
        <v>590952.51666160999</v>
      </c>
    </row>
    <row r="68" spans="1:18">
      <c r="A68" s="474">
        <v>177</v>
      </c>
      <c r="B68" s="474" t="s">
        <v>66</v>
      </c>
      <c r="C68" s="459">
        <v>850</v>
      </c>
      <c r="D68" s="459">
        <v>83</v>
      </c>
      <c r="E68" s="459">
        <v>29</v>
      </c>
      <c r="G68" s="523">
        <f>Taulukko3[[#This Row],[Väestö, 18-64-vuotiaat (2023)]]*Taulukko412[Perushinnat, €]</f>
        <v>70958</v>
      </c>
      <c r="H68" s="491">
        <f>Taulukko3[[#This Row],[Työttömät ja palveluissa olevat (2023)]]*Taulukko412[[ ]]</f>
        <v>60949.390000000007</v>
      </c>
      <c r="I68" s="491">
        <f>Taulukko3[[#This Row],[Vieraskieliset (2023)]]*Taulukko412[[  ]]</f>
        <v>2413.96</v>
      </c>
      <c r="J68" s="500">
        <f t="shared" si="2"/>
        <v>134321.35</v>
      </c>
      <c r="K68" s="491"/>
      <c r="L68" s="497">
        <f>'TE25 Palveluiden kustannusarvio'!U61</f>
        <v>73781.963666820768</v>
      </c>
      <c r="M68" s="458">
        <f t="shared" si="3"/>
        <v>-67160.675000000003</v>
      </c>
      <c r="N68" s="500">
        <f t="shared" si="4"/>
        <v>6621.2886668207648</v>
      </c>
      <c r="P68" s="503">
        <f>Taulukko3[[#This Row],[Vieraskieliset (2023)]]*$P$9</f>
        <v>917.27</v>
      </c>
      <c r="Q68" s="459"/>
      <c r="R68" s="530">
        <f t="shared" si="5"/>
        <v>141859.90866682076</v>
      </c>
    </row>
    <row r="69" spans="1:18">
      <c r="A69" s="474">
        <v>178</v>
      </c>
      <c r="B69" s="474" t="s">
        <v>67</v>
      </c>
      <c r="C69" s="459">
        <v>2743</v>
      </c>
      <c r="D69" s="459">
        <v>267</v>
      </c>
      <c r="E69" s="459">
        <v>226</v>
      </c>
      <c r="G69" s="523">
        <f>Taulukko3[[#This Row],[Väestö, 18-64-vuotiaat (2023)]]*Taulukko412[Perushinnat, €]</f>
        <v>228985.64</v>
      </c>
      <c r="H69" s="491">
        <f>Taulukko3[[#This Row],[Työttömät ja palveluissa olevat (2023)]]*Taulukko412[[ ]]</f>
        <v>196066.11000000002</v>
      </c>
      <c r="I69" s="491">
        <f>Taulukko3[[#This Row],[Vieraskieliset (2023)]]*Taulukko412[[  ]]</f>
        <v>18812.239999999998</v>
      </c>
      <c r="J69" s="500">
        <f t="shared" si="2"/>
        <v>443863.99</v>
      </c>
      <c r="K69" s="491"/>
      <c r="L69" s="497">
        <f>'TE25 Palveluiden kustannusarvio'!U62</f>
        <v>243374.60539042365</v>
      </c>
      <c r="M69" s="458">
        <f t="shared" si="3"/>
        <v>-221931.995</v>
      </c>
      <c r="N69" s="500">
        <f t="shared" si="4"/>
        <v>21442.610390423652</v>
      </c>
      <c r="P69" s="503">
        <f>Taulukko3[[#This Row],[Vieraskieliset (2023)]]*$P$9</f>
        <v>7148.38</v>
      </c>
      <c r="Q69" s="459"/>
      <c r="R69" s="530">
        <f t="shared" si="5"/>
        <v>472454.98039042368</v>
      </c>
    </row>
    <row r="70" spans="1:18">
      <c r="A70" s="474">
        <v>179</v>
      </c>
      <c r="B70" s="474" t="s">
        <v>68</v>
      </c>
      <c r="C70" s="459">
        <v>93446</v>
      </c>
      <c r="D70" s="459">
        <v>13154</v>
      </c>
      <c r="E70" s="459">
        <v>10003</v>
      </c>
      <c r="G70" s="523">
        <f>Taulukko3[[#This Row],[Väestö, 18-64-vuotiaat (2023)]]*Taulukko412[Perushinnat, €]</f>
        <v>7800872.0800000001</v>
      </c>
      <c r="H70" s="491">
        <f>Taulukko3[[#This Row],[Työttömät ja palveluissa olevat (2023)]]*Taulukko412[[ ]]</f>
        <v>9659376.8200000003</v>
      </c>
      <c r="I70" s="491">
        <f>Taulukko3[[#This Row],[Vieraskieliset (2023)]]*Taulukko412[[  ]]</f>
        <v>832649.72</v>
      </c>
      <c r="J70" s="500">
        <f t="shared" si="2"/>
        <v>18292898.619999997</v>
      </c>
      <c r="K70" s="491"/>
      <c r="L70" s="497">
        <f>'TE25 Palveluiden kustannusarvio'!U63</f>
        <v>10332202.046378946</v>
      </c>
      <c r="M70" s="458">
        <f t="shared" si="3"/>
        <v>-9146449.3099999987</v>
      </c>
      <c r="N70" s="500">
        <f t="shared" si="4"/>
        <v>1185752.7363789473</v>
      </c>
      <c r="P70" s="503">
        <f>Taulukko3[[#This Row],[Vieraskieliset (2023)]]*$P$9</f>
        <v>316394.89</v>
      </c>
      <c r="Q70" s="459"/>
      <c r="R70" s="530">
        <f t="shared" si="5"/>
        <v>19795046.246378943</v>
      </c>
    </row>
    <row r="71" spans="1:18">
      <c r="A71" s="474">
        <v>181</v>
      </c>
      <c r="B71" s="474" t="s">
        <v>69</v>
      </c>
      <c r="C71" s="459">
        <v>842</v>
      </c>
      <c r="D71" s="459">
        <v>74</v>
      </c>
      <c r="E71" s="459">
        <v>53</v>
      </c>
      <c r="G71" s="523">
        <f>Taulukko3[[#This Row],[Väestö, 18-64-vuotiaat (2023)]]*Taulukko412[Perushinnat, €]</f>
        <v>70290.16</v>
      </c>
      <c r="H71" s="491">
        <f>Taulukko3[[#This Row],[Työttömät ja palveluissa olevat (2023)]]*Taulukko412[[ ]]</f>
        <v>54340.420000000006</v>
      </c>
      <c r="I71" s="491">
        <f>Taulukko3[[#This Row],[Vieraskieliset (2023)]]*Taulukko412[[  ]]</f>
        <v>4411.7199999999993</v>
      </c>
      <c r="J71" s="500">
        <f t="shared" si="2"/>
        <v>129042.30000000002</v>
      </c>
      <c r="K71" s="491"/>
      <c r="L71" s="497">
        <f>'TE25 Palveluiden kustannusarvio'!U64</f>
        <v>48198.227518634805</v>
      </c>
      <c r="M71" s="458">
        <f t="shared" si="3"/>
        <v>-64521.150000000009</v>
      </c>
      <c r="N71" s="500">
        <f t="shared" si="4"/>
        <v>-16322.922481365204</v>
      </c>
      <c r="P71" s="503">
        <f>Taulukko3[[#This Row],[Vieraskieliset (2023)]]*$P$9</f>
        <v>1676.3899999999999</v>
      </c>
      <c r="Q71" s="459"/>
      <c r="R71" s="530">
        <f t="shared" si="5"/>
        <v>114395.76751863481</v>
      </c>
    </row>
    <row r="72" spans="1:18">
      <c r="A72" s="474">
        <v>182</v>
      </c>
      <c r="B72" s="474" t="s">
        <v>70</v>
      </c>
      <c r="C72" s="459">
        <v>9699</v>
      </c>
      <c r="D72" s="459">
        <v>1584</v>
      </c>
      <c r="E72" s="459">
        <v>630</v>
      </c>
      <c r="G72" s="523">
        <f>Taulukko3[[#This Row],[Väestö, 18-64-vuotiaat (2023)]]*Taulukko412[Perushinnat, €]</f>
        <v>809672.52</v>
      </c>
      <c r="H72" s="491">
        <f>Taulukko3[[#This Row],[Työttömät ja palveluissa olevat (2023)]]*Taulukko412[[ ]]</f>
        <v>1163178.72</v>
      </c>
      <c r="I72" s="491">
        <f>Taulukko3[[#This Row],[Vieraskieliset (2023)]]*Taulukko412[[  ]]</f>
        <v>52441.2</v>
      </c>
      <c r="J72" s="500">
        <f t="shared" si="2"/>
        <v>2025292.44</v>
      </c>
      <c r="K72" s="491"/>
      <c r="L72" s="497">
        <f>'TE25 Palveluiden kustannusarvio'!U65</f>
        <v>1110304.8011424772</v>
      </c>
      <c r="M72" s="458">
        <f t="shared" si="3"/>
        <v>-1012646.22</v>
      </c>
      <c r="N72" s="500">
        <f t="shared" si="4"/>
        <v>97658.581142477226</v>
      </c>
      <c r="P72" s="503">
        <f>Taulukko3[[#This Row],[Vieraskieliset (2023)]]*$P$9</f>
        <v>19926.899999999998</v>
      </c>
      <c r="Q72" s="459"/>
      <c r="R72" s="530">
        <f t="shared" si="5"/>
        <v>2142877.9211424771</v>
      </c>
    </row>
    <row r="73" spans="1:18">
      <c r="A73" s="474">
        <v>186</v>
      </c>
      <c r="B73" s="474" t="s">
        <v>71</v>
      </c>
      <c r="C73" s="459">
        <v>28047</v>
      </c>
      <c r="D73" s="459">
        <v>3005</v>
      </c>
      <c r="E73" s="459">
        <v>3945</v>
      </c>
      <c r="G73" s="523">
        <f>Taulukko3[[#This Row],[Väestö, 18-64-vuotiaat (2023)]]*Taulukko412[Perushinnat, €]</f>
        <v>2341363.56</v>
      </c>
      <c r="H73" s="491">
        <f>Taulukko3[[#This Row],[Työttömät ja palveluissa olevat (2023)]]*Taulukko412[[ ]]</f>
        <v>2206661.65</v>
      </c>
      <c r="I73" s="491">
        <f>Taulukko3[[#This Row],[Vieraskieliset (2023)]]*Taulukko412[[  ]]</f>
        <v>328381.8</v>
      </c>
      <c r="J73" s="500">
        <f t="shared" si="2"/>
        <v>4876407.01</v>
      </c>
      <c r="K73" s="491"/>
      <c r="L73" s="497">
        <f>'TE25 Palveluiden kustannusarvio'!U66</f>
        <v>2015090.8167536962</v>
      </c>
      <c r="M73" s="458">
        <f t="shared" si="3"/>
        <v>-2438203.5049999999</v>
      </c>
      <c r="N73" s="500">
        <f t="shared" si="4"/>
        <v>-423112.6882463037</v>
      </c>
      <c r="P73" s="503">
        <f>Taulukko3[[#This Row],[Vieraskieliset (2023)]]*$P$9</f>
        <v>124780.34999999999</v>
      </c>
      <c r="Q73" s="459"/>
      <c r="R73" s="530">
        <f t="shared" si="5"/>
        <v>4578074.6717536952</v>
      </c>
    </row>
    <row r="74" spans="1:18">
      <c r="A74" s="474">
        <v>202</v>
      </c>
      <c r="B74" s="474" t="s">
        <v>72</v>
      </c>
      <c r="C74" s="459">
        <v>20500</v>
      </c>
      <c r="D74" s="459">
        <v>1482</v>
      </c>
      <c r="E74" s="459">
        <v>2306</v>
      </c>
      <c r="G74" s="523">
        <f>Taulukko3[[#This Row],[Väestö, 18-64-vuotiaat (2023)]]*Taulukko412[Perushinnat, €]</f>
        <v>1711340</v>
      </c>
      <c r="H74" s="491">
        <f>Taulukko3[[#This Row],[Työttömät ja palveluissa olevat (2023)]]*Taulukko412[[ ]]</f>
        <v>1088277.06</v>
      </c>
      <c r="I74" s="491">
        <f>Taulukko3[[#This Row],[Vieraskieliset (2023)]]*Taulukko412[[  ]]</f>
        <v>191951.44</v>
      </c>
      <c r="J74" s="500">
        <f t="shared" si="2"/>
        <v>2991568.5</v>
      </c>
      <c r="K74" s="491"/>
      <c r="L74" s="497">
        <f>'TE25 Palveluiden kustannusarvio'!U67</f>
        <v>1358510.7898900553</v>
      </c>
      <c r="M74" s="458">
        <f t="shared" si="3"/>
        <v>-1495784.25</v>
      </c>
      <c r="N74" s="500">
        <f t="shared" si="4"/>
        <v>-137273.46010994469</v>
      </c>
      <c r="P74" s="503">
        <f>Taulukko3[[#This Row],[Vieraskieliset (2023)]]*$P$9</f>
        <v>72938.78</v>
      </c>
      <c r="Q74" s="459"/>
      <c r="R74" s="530">
        <f t="shared" si="5"/>
        <v>2927233.8198900553</v>
      </c>
    </row>
    <row r="75" spans="1:18">
      <c r="A75" s="474">
        <v>204</v>
      </c>
      <c r="B75" s="474" t="s">
        <v>73</v>
      </c>
      <c r="C75" s="459">
        <v>1274</v>
      </c>
      <c r="D75" s="459">
        <v>172</v>
      </c>
      <c r="E75" s="459">
        <v>49</v>
      </c>
      <c r="G75" s="523">
        <f>Taulukko3[[#This Row],[Väestö, 18-64-vuotiaat (2023)]]*Taulukko412[Perushinnat, €]</f>
        <v>106353.52</v>
      </c>
      <c r="H75" s="491">
        <f>Taulukko3[[#This Row],[Työttömät ja palveluissa olevat (2023)]]*Taulukko412[[ ]]</f>
        <v>126304.76000000001</v>
      </c>
      <c r="I75" s="491">
        <f>Taulukko3[[#This Row],[Vieraskieliset (2023)]]*Taulukko412[[  ]]</f>
        <v>4078.7599999999998</v>
      </c>
      <c r="J75" s="500">
        <f t="shared" si="2"/>
        <v>236737.04000000004</v>
      </c>
      <c r="K75" s="491"/>
      <c r="L75" s="497">
        <f>'TE25 Palveluiden kustannusarvio'!U68</f>
        <v>105495.09618154725</v>
      </c>
      <c r="M75" s="458">
        <f t="shared" si="3"/>
        <v>-118368.52000000002</v>
      </c>
      <c r="N75" s="500">
        <f t="shared" si="4"/>
        <v>-12873.423818452764</v>
      </c>
      <c r="P75" s="503">
        <f>Taulukko3[[#This Row],[Vieraskieliset (2023)]]*$P$9</f>
        <v>1549.87</v>
      </c>
      <c r="Q75" s="459"/>
      <c r="R75" s="530">
        <f t="shared" si="5"/>
        <v>225413.48618154728</v>
      </c>
    </row>
    <row r="76" spans="1:18">
      <c r="A76" s="474">
        <v>205</v>
      </c>
      <c r="B76" s="474" t="s">
        <v>74</v>
      </c>
      <c r="C76" s="459">
        <v>20713</v>
      </c>
      <c r="D76" s="459">
        <v>2536</v>
      </c>
      <c r="E76" s="459">
        <v>2501</v>
      </c>
      <c r="G76" s="523">
        <f>Taulukko3[[#This Row],[Väestö, 18-64-vuotiaat (2023)]]*Taulukko412[Perushinnat, €]</f>
        <v>1729121.24</v>
      </c>
      <c r="H76" s="491">
        <f>Taulukko3[[#This Row],[Työttömät ja palveluissa olevat (2023)]]*Taulukko412[[ ]]</f>
        <v>1862260.8800000001</v>
      </c>
      <c r="I76" s="491">
        <f>Taulukko3[[#This Row],[Vieraskieliset (2023)]]*Taulukko412[[  ]]</f>
        <v>208183.24</v>
      </c>
      <c r="J76" s="500">
        <f t="shared" si="2"/>
        <v>3799565.3600000003</v>
      </c>
      <c r="K76" s="491"/>
      <c r="L76" s="497">
        <f>'TE25 Palveluiden kustannusarvio'!U69</f>
        <v>2725694.6139898198</v>
      </c>
      <c r="M76" s="458">
        <f t="shared" si="3"/>
        <v>-1899782.6800000002</v>
      </c>
      <c r="N76" s="500">
        <f t="shared" si="4"/>
        <v>825911.9339898196</v>
      </c>
      <c r="P76" s="503">
        <f>Taulukko3[[#This Row],[Vieraskieliset (2023)]]*$P$9</f>
        <v>79106.63</v>
      </c>
      <c r="Q76" s="459"/>
      <c r="R76" s="530">
        <f t="shared" si="5"/>
        <v>4704583.9239898203</v>
      </c>
    </row>
    <row r="77" spans="1:18">
      <c r="A77" s="474">
        <v>208</v>
      </c>
      <c r="B77" s="474" t="s">
        <v>75</v>
      </c>
      <c r="C77" s="459">
        <v>6326</v>
      </c>
      <c r="D77" s="459">
        <v>571</v>
      </c>
      <c r="E77" s="459">
        <v>472</v>
      </c>
      <c r="G77" s="523">
        <f>Taulukko3[[#This Row],[Väestö, 18-64-vuotiaat (2023)]]*Taulukko412[Perushinnat, €]</f>
        <v>528094.48</v>
      </c>
      <c r="H77" s="491">
        <f>Taulukko3[[#This Row],[Työttömät ja palveluissa olevat (2023)]]*Taulukko412[[ ]]</f>
        <v>419302.43000000005</v>
      </c>
      <c r="I77" s="491">
        <f>Taulukko3[[#This Row],[Vieraskieliset (2023)]]*Taulukko412[[  ]]</f>
        <v>39289.279999999999</v>
      </c>
      <c r="J77" s="500">
        <f t="shared" si="2"/>
        <v>986686.19000000006</v>
      </c>
      <c r="K77" s="491"/>
      <c r="L77" s="497">
        <f>'TE25 Palveluiden kustannusarvio'!U70</f>
        <v>386194.96383990371</v>
      </c>
      <c r="M77" s="458">
        <f t="shared" si="3"/>
        <v>-493343.09500000003</v>
      </c>
      <c r="N77" s="500">
        <f t="shared" si="4"/>
        <v>-107148.13116009632</v>
      </c>
      <c r="P77" s="503">
        <f>Taulukko3[[#This Row],[Vieraskieliset (2023)]]*$P$9</f>
        <v>14929.359999999999</v>
      </c>
      <c r="Q77" s="459"/>
      <c r="R77" s="530">
        <f t="shared" si="5"/>
        <v>894467.41883990366</v>
      </c>
    </row>
    <row r="78" spans="1:18">
      <c r="A78" s="474">
        <v>211</v>
      </c>
      <c r="B78" s="474" t="s">
        <v>76</v>
      </c>
      <c r="C78" s="459">
        <v>19045</v>
      </c>
      <c r="D78" s="459">
        <v>1486</v>
      </c>
      <c r="E78" s="459">
        <v>1132</v>
      </c>
      <c r="G78" s="523">
        <f>Taulukko3[[#This Row],[Väestö, 18-64-vuotiaat (2023)]]*Taulukko412[Perushinnat, €]</f>
        <v>1589876.6</v>
      </c>
      <c r="H78" s="491">
        <f>Taulukko3[[#This Row],[Työttömät ja palveluissa olevat (2023)]]*Taulukko412[[ ]]</f>
        <v>1091214.3800000001</v>
      </c>
      <c r="I78" s="491">
        <f>Taulukko3[[#This Row],[Vieraskieliset (2023)]]*Taulukko412[[  ]]</f>
        <v>94227.68</v>
      </c>
      <c r="J78" s="500">
        <f t="shared" si="2"/>
        <v>2775318.6600000006</v>
      </c>
      <c r="K78" s="491"/>
      <c r="L78" s="497">
        <f>'TE25 Palveluiden kustannusarvio'!U71</f>
        <v>1220942.6371403844</v>
      </c>
      <c r="M78" s="458">
        <f t="shared" si="3"/>
        <v>-1387659.3300000003</v>
      </c>
      <c r="N78" s="500">
        <f t="shared" si="4"/>
        <v>-166716.6928596159</v>
      </c>
      <c r="P78" s="503">
        <f>Taulukko3[[#This Row],[Vieraskieliset (2023)]]*$P$9</f>
        <v>35805.159999999996</v>
      </c>
      <c r="Q78" s="459"/>
      <c r="R78" s="530">
        <f t="shared" si="5"/>
        <v>2644407.1271403851</v>
      </c>
    </row>
    <row r="79" spans="1:18">
      <c r="A79" s="474">
        <v>213</v>
      </c>
      <c r="B79" s="474" t="s">
        <v>77</v>
      </c>
      <c r="C79" s="459">
        <v>2435</v>
      </c>
      <c r="D79" s="459">
        <v>312</v>
      </c>
      <c r="E79" s="459">
        <v>143</v>
      </c>
      <c r="G79" s="523">
        <f>Taulukko3[[#This Row],[Väestö, 18-64-vuotiaat (2023)]]*Taulukko412[Perushinnat, €]</f>
        <v>203273.80000000002</v>
      </c>
      <c r="H79" s="491">
        <f>Taulukko3[[#This Row],[Työttömät ja palveluissa olevat (2023)]]*Taulukko412[[ ]]</f>
        <v>229110.96000000002</v>
      </c>
      <c r="I79" s="491">
        <f>Taulukko3[[#This Row],[Vieraskieliset (2023)]]*Taulukko412[[  ]]</f>
        <v>11903.32</v>
      </c>
      <c r="J79" s="500">
        <f t="shared" ref="J79:J142" si="6">G79+H79+I79</f>
        <v>444288.08</v>
      </c>
      <c r="K79" s="491"/>
      <c r="L79" s="497">
        <f>'TE25 Palveluiden kustannusarvio'!U72</f>
        <v>321821.78595139866</v>
      </c>
      <c r="M79" s="458">
        <f t="shared" ref="M79:M142" si="7">J79*-0.5</f>
        <v>-222144.04</v>
      </c>
      <c r="N79" s="500">
        <f t="shared" ref="N79:N142" si="8">L79+M79</f>
        <v>99677.745951398654</v>
      </c>
      <c r="P79" s="503">
        <f>Taulukko3[[#This Row],[Vieraskieliset (2023)]]*$P$9</f>
        <v>4523.09</v>
      </c>
      <c r="Q79" s="459"/>
      <c r="R79" s="530">
        <f t="shared" ref="R79:R142" si="9">J79+N79+P79</f>
        <v>548488.91595139867</v>
      </c>
    </row>
    <row r="80" spans="1:18">
      <c r="A80" s="474">
        <v>214</v>
      </c>
      <c r="B80" s="474" t="s">
        <v>78</v>
      </c>
      <c r="C80" s="459">
        <v>6496</v>
      </c>
      <c r="D80" s="459">
        <v>841</v>
      </c>
      <c r="E80" s="459">
        <v>636</v>
      </c>
      <c r="G80" s="523">
        <f>Taulukko3[[#This Row],[Väestö, 18-64-vuotiaat (2023)]]*Taulukko412[Perushinnat, €]</f>
        <v>542286.08000000007</v>
      </c>
      <c r="H80" s="491">
        <f>Taulukko3[[#This Row],[Työttömät ja palveluissa olevat (2023)]]*Taulukko412[[ ]]</f>
        <v>617571.53</v>
      </c>
      <c r="I80" s="491">
        <f>Taulukko3[[#This Row],[Vieraskieliset (2023)]]*Taulukko412[[  ]]</f>
        <v>52940.639999999999</v>
      </c>
      <c r="J80" s="500">
        <f t="shared" si="6"/>
        <v>1212798.25</v>
      </c>
      <c r="K80" s="491"/>
      <c r="L80" s="497">
        <f>'TE25 Palveluiden kustannusarvio'!U73</f>
        <v>708683.9145763003</v>
      </c>
      <c r="M80" s="458">
        <f t="shared" si="7"/>
        <v>-606399.125</v>
      </c>
      <c r="N80" s="500">
        <f t="shared" si="8"/>
        <v>102284.7895763003</v>
      </c>
      <c r="P80" s="503">
        <f>Taulukko3[[#This Row],[Vieraskieliset (2023)]]*$P$9</f>
        <v>20116.68</v>
      </c>
      <c r="Q80" s="459"/>
      <c r="R80" s="530">
        <f t="shared" si="9"/>
        <v>1335199.7195763004</v>
      </c>
    </row>
    <row r="81" spans="1:18">
      <c r="A81" s="474">
        <v>216</v>
      </c>
      <c r="B81" s="474" t="s">
        <v>79</v>
      </c>
      <c r="C81" s="459">
        <v>569</v>
      </c>
      <c r="D81" s="459">
        <v>84</v>
      </c>
      <c r="E81" s="459">
        <v>19</v>
      </c>
      <c r="G81" s="523">
        <f>Taulukko3[[#This Row],[Väestö, 18-64-vuotiaat (2023)]]*Taulukko412[Perushinnat, €]</f>
        <v>47500.12</v>
      </c>
      <c r="H81" s="491">
        <f>Taulukko3[[#This Row],[Työttömät ja palveluissa olevat (2023)]]*Taulukko412[[ ]]</f>
        <v>61683.72</v>
      </c>
      <c r="I81" s="491">
        <f>Taulukko3[[#This Row],[Vieraskieliset (2023)]]*Taulukko412[[  ]]</f>
        <v>1581.56</v>
      </c>
      <c r="J81" s="500">
        <f t="shared" si="6"/>
        <v>110765.4</v>
      </c>
      <c r="K81" s="491"/>
      <c r="L81" s="497">
        <f>'TE25 Palveluiden kustannusarvio'!U74</f>
        <v>71673.541766442679</v>
      </c>
      <c r="M81" s="458">
        <f t="shared" si="7"/>
        <v>-55382.7</v>
      </c>
      <c r="N81" s="500">
        <f t="shared" si="8"/>
        <v>16290.841766442682</v>
      </c>
      <c r="P81" s="503">
        <f>Taulukko3[[#This Row],[Vieraskieliset (2023)]]*$P$9</f>
        <v>600.97</v>
      </c>
      <c r="Q81" s="459"/>
      <c r="R81" s="530">
        <f t="shared" si="9"/>
        <v>127657.21176644268</v>
      </c>
    </row>
    <row r="82" spans="1:18">
      <c r="A82" s="474">
        <v>217</v>
      </c>
      <c r="B82" s="474" t="s">
        <v>80</v>
      </c>
      <c r="C82" s="459">
        <v>2719</v>
      </c>
      <c r="D82" s="459">
        <v>280</v>
      </c>
      <c r="E82" s="459">
        <v>146</v>
      </c>
      <c r="G82" s="523">
        <f>Taulukko3[[#This Row],[Väestö, 18-64-vuotiaat (2023)]]*Taulukko412[Perushinnat, €]</f>
        <v>226982.12000000002</v>
      </c>
      <c r="H82" s="491">
        <f>Taulukko3[[#This Row],[Työttömät ja palveluissa olevat (2023)]]*Taulukko412[[ ]]</f>
        <v>205612.40000000002</v>
      </c>
      <c r="I82" s="491">
        <f>Taulukko3[[#This Row],[Vieraskieliset (2023)]]*Taulukko412[[  ]]</f>
        <v>12153.039999999999</v>
      </c>
      <c r="J82" s="500">
        <f t="shared" si="6"/>
        <v>444747.56</v>
      </c>
      <c r="K82" s="491"/>
      <c r="L82" s="497">
        <f>'TE25 Palveluiden kustannusarvio'!U75</f>
        <v>209511.8443510904</v>
      </c>
      <c r="M82" s="458">
        <f t="shared" si="7"/>
        <v>-222373.78</v>
      </c>
      <c r="N82" s="500">
        <f t="shared" si="8"/>
        <v>-12861.935648909595</v>
      </c>
      <c r="P82" s="503">
        <f>Taulukko3[[#This Row],[Vieraskieliset (2023)]]*$P$9</f>
        <v>4617.9799999999996</v>
      </c>
      <c r="Q82" s="459"/>
      <c r="R82" s="530">
        <f t="shared" si="9"/>
        <v>436503.60435109038</v>
      </c>
    </row>
    <row r="83" spans="1:18">
      <c r="A83" s="474">
        <v>218</v>
      </c>
      <c r="B83" s="474" t="s">
        <v>81</v>
      </c>
      <c r="C83" s="459">
        <v>571</v>
      </c>
      <c r="D83" s="459">
        <v>48</v>
      </c>
      <c r="E83" s="459">
        <v>27</v>
      </c>
      <c r="G83" s="523">
        <f>Taulukko3[[#This Row],[Väestö, 18-64-vuotiaat (2023)]]*Taulukko412[Perushinnat, €]</f>
        <v>47667.08</v>
      </c>
      <c r="H83" s="491">
        <f>Taulukko3[[#This Row],[Työttömät ja palveluissa olevat (2023)]]*Taulukko412[[ ]]</f>
        <v>35247.840000000004</v>
      </c>
      <c r="I83" s="491">
        <f>Taulukko3[[#This Row],[Vieraskieliset (2023)]]*Taulukko412[[  ]]</f>
        <v>2247.48</v>
      </c>
      <c r="J83" s="500">
        <f t="shared" si="6"/>
        <v>85162.400000000009</v>
      </c>
      <c r="K83" s="491"/>
      <c r="L83" s="497">
        <f>'TE25 Palveluiden kustannusarvio'!U76</f>
        <v>34869.544579776448</v>
      </c>
      <c r="M83" s="458">
        <f t="shared" si="7"/>
        <v>-42581.200000000004</v>
      </c>
      <c r="N83" s="500">
        <f t="shared" si="8"/>
        <v>-7711.6554202235566</v>
      </c>
      <c r="P83" s="503">
        <f>Taulukko3[[#This Row],[Vieraskieliset (2023)]]*$P$9</f>
        <v>854.01</v>
      </c>
      <c r="Q83" s="459"/>
      <c r="R83" s="530">
        <f t="shared" si="9"/>
        <v>78304.754579776447</v>
      </c>
    </row>
    <row r="84" spans="1:18">
      <c r="A84" s="474">
        <v>224</v>
      </c>
      <c r="B84" s="474" t="s">
        <v>82</v>
      </c>
      <c r="C84" s="459">
        <v>4632</v>
      </c>
      <c r="D84" s="459">
        <v>631</v>
      </c>
      <c r="E84" s="459">
        <v>766</v>
      </c>
      <c r="G84" s="523">
        <f>Taulukko3[[#This Row],[Väestö, 18-64-vuotiaat (2023)]]*Taulukko412[Perushinnat, €]</f>
        <v>386679.36000000004</v>
      </c>
      <c r="H84" s="491">
        <f>Taulukko3[[#This Row],[Työttömät ja palveluissa olevat (2023)]]*Taulukko412[[ ]]</f>
        <v>463362.23000000004</v>
      </c>
      <c r="I84" s="491">
        <f>Taulukko3[[#This Row],[Vieraskieliset (2023)]]*Taulukko412[[  ]]</f>
        <v>63761.84</v>
      </c>
      <c r="J84" s="500">
        <f t="shared" si="6"/>
        <v>913803.43</v>
      </c>
      <c r="K84" s="491"/>
      <c r="L84" s="497">
        <f>'TE25 Palveluiden kustannusarvio'!U77</f>
        <v>542815.79142886901</v>
      </c>
      <c r="M84" s="458">
        <f t="shared" si="7"/>
        <v>-456901.71500000003</v>
      </c>
      <c r="N84" s="500">
        <f t="shared" si="8"/>
        <v>85914.076428868982</v>
      </c>
      <c r="P84" s="503">
        <f>Taulukko3[[#This Row],[Vieraskieliset (2023)]]*$P$9</f>
        <v>24228.579999999998</v>
      </c>
      <c r="Q84" s="459"/>
      <c r="R84" s="530">
        <f t="shared" si="9"/>
        <v>1023946.0864288689</v>
      </c>
    </row>
    <row r="85" spans="1:18">
      <c r="A85" s="474">
        <v>226</v>
      </c>
      <c r="B85" s="474" t="s">
        <v>83</v>
      </c>
      <c r="C85" s="459">
        <v>1718</v>
      </c>
      <c r="D85" s="459">
        <v>237</v>
      </c>
      <c r="E85" s="459">
        <v>84</v>
      </c>
      <c r="G85" s="523">
        <f>Taulukko3[[#This Row],[Väestö, 18-64-vuotiaat (2023)]]*Taulukko412[Perushinnat, €]</f>
        <v>143418.64000000001</v>
      </c>
      <c r="H85" s="491">
        <f>Taulukko3[[#This Row],[Työttömät ja palveluissa olevat (2023)]]*Taulukko412[[ ]]</f>
        <v>174036.21000000002</v>
      </c>
      <c r="I85" s="491">
        <f>Taulukko3[[#This Row],[Vieraskieliset (2023)]]*Taulukko412[[  ]]</f>
        <v>6992.16</v>
      </c>
      <c r="J85" s="500">
        <f t="shared" si="6"/>
        <v>324447.01</v>
      </c>
      <c r="K85" s="491"/>
      <c r="L85" s="497">
        <f>'TE25 Palveluiden kustannusarvio'!U78</f>
        <v>192867.15697177433</v>
      </c>
      <c r="M85" s="458">
        <f t="shared" si="7"/>
        <v>-162223.505</v>
      </c>
      <c r="N85" s="500">
        <f t="shared" si="8"/>
        <v>30643.651971774321</v>
      </c>
      <c r="P85" s="503">
        <f>Taulukko3[[#This Row],[Vieraskieliset (2023)]]*$P$9</f>
        <v>2656.92</v>
      </c>
      <c r="Q85" s="459"/>
      <c r="R85" s="530">
        <f t="shared" si="9"/>
        <v>357747.58197177429</v>
      </c>
    </row>
    <row r="86" spans="1:18">
      <c r="A86" s="474">
        <v>230</v>
      </c>
      <c r="B86" s="474" t="s">
        <v>84</v>
      </c>
      <c r="C86" s="459">
        <v>1096</v>
      </c>
      <c r="D86" s="459">
        <v>134</v>
      </c>
      <c r="E86" s="459">
        <v>109</v>
      </c>
      <c r="G86" s="523">
        <f>Taulukko3[[#This Row],[Väestö, 18-64-vuotiaat (2023)]]*Taulukko412[Perushinnat, €]</f>
        <v>91494.080000000002</v>
      </c>
      <c r="H86" s="491">
        <f>Taulukko3[[#This Row],[Työttömät ja palveluissa olevat (2023)]]*Taulukko412[[ ]]</f>
        <v>98400.22</v>
      </c>
      <c r="I86" s="491">
        <f>Taulukko3[[#This Row],[Vieraskieliset (2023)]]*Taulukko412[[  ]]</f>
        <v>9073.16</v>
      </c>
      <c r="J86" s="500">
        <f t="shared" si="6"/>
        <v>198967.46</v>
      </c>
      <c r="K86" s="491"/>
      <c r="L86" s="497">
        <f>'TE25 Palveluiden kustannusarvio'!U79</f>
        <v>111005.13621072238</v>
      </c>
      <c r="M86" s="458">
        <f t="shared" si="7"/>
        <v>-99483.73</v>
      </c>
      <c r="N86" s="500">
        <f t="shared" si="8"/>
        <v>11521.406210722387</v>
      </c>
      <c r="P86" s="503">
        <f>Taulukko3[[#This Row],[Vieraskieliset (2023)]]*$P$9</f>
        <v>3447.67</v>
      </c>
      <c r="Q86" s="459"/>
      <c r="R86" s="530">
        <f t="shared" si="9"/>
        <v>213936.53621072238</v>
      </c>
    </row>
    <row r="87" spans="1:18">
      <c r="A87" s="474">
        <v>231</v>
      </c>
      <c r="B87" s="474" t="s">
        <v>85</v>
      </c>
      <c r="C87" s="459">
        <v>520</v>
      </c>
      <c r="D87" s="459">
        <v>62</v>
      </c>
      <c r="E87" s="459">
        <v>166</v>
      </c>
      <c r="G87" s="523">
        <f>Taulukko3[[#This Row],[Väestö, 18-64-vuotiaat (2023)]]*Taulukko412[Perushinnat, €]</f>
        <v>43409.599999999999</v>
      </c>
      <c r="H87" s="491">
        <f>Taulukko3[[#This Row],[Työttömät ja palveluissa olevat (2023)]]*Taulukko412[[ ]]</f>
        <v>45528.46</v>
      </c>
      <c r="I87" s="491">
        <f>Taulukko3[[#This Row],[Vieraskieliset (2023)]]*Taulukko412[[  ]]</f>
        <v>13817.839999999998</v>
      </c>
      <c r="J87" s="500">
        <f t="shared" si="6"/>
        <v>102755.9</v>
      </c>
      <c r="K87" s="491"/>
      <c r="L87" s="497">
        <f>'TE25 Palveluiden kustannusarvio'!U80</f>
        <v>54850.423218956676</v>
      </c>
      <c r="M87" s="458">
        <f t="shared" si="7"/>
        <v>-51377.95</v>
      </c>
      <c r="N87" s="500">
        <f t="shared" si="8"/>
        <v>3472.4732189566785</v>
      </c>
      <c r="P87" s="503">
        <f>Taulukko3[[#This Row],[Vieraskieliset (2023)]]*$P$9</f>
        <v>5250.58</v>
      </c>
      <c r="Q87" s="459"/>
      <c r="R87" s="530">
        <f t="shared" si="9"/>
        <v>111478.95321895667</v>
      </c>
    </row>
    <row r="88" spans="1:18">
      <c r="A88" s="474">
        <v>232</v>
      </c>
      <c r="B88" s="474" t="s">
        <v>86</v>
      </c>
      <c r="C88" s="459">
        <v>6580</v>
      </c>
      <c r="D88" s="459">
        <v>694</v>
      </c>
      <c r="E88" s="459">
        <v>443</v>
      </c>
      <c r="G88" s="523">
        <f>Taulukko3[[#This Row],[Väestö, 18-64-vuotiaat (2023)]]*Taulukko412[Perushinnat, €]</f>
        <v>549298.4</v>
      </c>
      <c r="H88" s="491">
        <f>Taulukko3[[#This Row],[Työttömät ja palveluissa olevat (2023)]]*Taulukko412[[ ]]</f>
        <v>509625.02</v>
      </c>
      <c r="I88" s="491">
        <f>Taulukko3[[#This Row],[Vieraskieliset (2023)]]*Taulukko412[[  ]]</f>
        <v>36875.32</v>
      </c>
      <c r="J88" s="500">
        <f t="shared" si="6"/>
        <v>1095798.74</v>
      </c>
      <c r="K88" s="491"/>
      <c r="L88" s="497">
        <f>'TE25 Palveluiden kustannusarvio'!U81</f>
        <v>590882.26753904275</v>
      </c>
      <c r="M88" s="458">
        <f t="shared" si="7"/>
        <v>-547899.37</v>
      </c>
      <c r="N88" s="500">
        <f t="shared" si="8"/>
        <v>42982.897539042751</v>
      </c>
      <c r="P88" s="503">
        <f>Taulukko3[[#This Row],[Vieraskieliset (2023)]]*$P$9</f>
        <v>14012.09</v>
      </c>
      <c r="Q88" s="459"/>
      <c r="R88" s="530">
        <f t="shared" si="9"/>
        <v>1152793.7275390427</v>
      </c>
    </row>
    <row r="89" spans="1:18">
      <c r="A89" s="474">
        <v>233</v>
      </c>
      <c r="B89" s="474" t="s">
        <v>87</v>
      </c>
      <c r="C89" s="459">
        <v>7756</v>
      </c>
      <c r="D89" s="459">
        <v>584</v>
      </c>
      <c r="E89" s="459">
        <v>812</v>
      </c>
      <c r="G89" s="523">
        <f>Taulukko3[[#This Row],[Väestö, 18-64-vuotiaat (2023)]]*Taulukko412[Perushinnat, €]</f>
        <v>647470.88</v>
      </c>
      <c r="H89" s="491">
        <f>Taulukko3[[#This Row],[Työttömät ja palveluissa olevat (2023)]]*Taulukko412[[ ]]</f>
        <v>428848.72000000003</v>
      </c>
      <c r="I89" s="491">
        <f>Taulukko3[[#This Row],[Vieraskieliset (2023)]]*Taulukko412[[  ]]</f>
        <v>67590.87999999999</v>
      </c>
      <c r="J89" s="500">
        <f t="shared" si="6"/>
        <v>1143910.48</v>
      </c>
      <c r="K89" s="491"/>
      <c r="L89" s="497">
        <f>'TE25 Palveluiden kustannusarvio'!U82</f>
        <v>570874.42533823091</v>
      </c>
      <c r="M89" s="458">
        <f t="shared" si="7"/>
        <v>-571955.24</v>
      </c>
      <c r="N89" s="500">
        <f t="shared" si="8"/>
        <v>-1080.81466176908</v>
      </c>
      <c r="P89" s="503">
        <f>Taulukko3[[#This Row],[Vieraskieliset (2023)]]*$P$9</f>
        <v>25683.559999999998</v>
      </c>
      <c r="Q89" s="459"/>
      <c r="R89" s="530">
        <f t="shared" si="9"/>
        <v>1168513.2253382308</v>
      </c>
    </row>
    <row r="90" spans="1:18">
      <c r="A90" s="474">
        <v>235</v>
      </c>
      <c r="B90" s="474" t="s">
        <v>88</v>
      </c>
      <c r="C90" s="459">
        <v>5608</v>
      </c>
      <c r="D90" s="459">
        <v>365</v>
      </c>
      <c r="E90" s="459">
        <v>1113</v>
      </c>
      <c r="G90" s="523">
        <f>Taulukko3[[#This Row],[Väestö, 18-64-vuotiaat (2023)]]*Taulukko412[Perushinnat, €]</f>
        <v>468155.84</v>
      </c>
      <c r="H90" s="491">
        <f>Taulukko3[[#This Row],[Työttömät ja palveluissa olevat (2023)]]*Taulukko412[[ ]]</f>
        <v>268030.45</v>
      </c>
      <c r="I90" s="491">
        <f>Taulukko3[[#This Row],[Vieraskieliset (2023)]]*Taulukko412[[  ]]</f>
        <v>92646.12</v>
      </c>
      <c r="J90" s="500">
        <f t="shared" si="6"/>
        <v>828832.41</v>
      </c>
      <c r="K90" s="491"/>
      <c r="L90" s="497">
        <f>'TE25 Palveluiden kustannusarvio'!U83</f>
        <v>318197.43431448378</v>
      </c>
      <c r="M90" s="458">
        <f t="shared" si="7"/>
        <v>-414416.20500000002</v>
      </c>
      <c r="N90" s="500">
        <f t="shared" si="8"/>
        <v>-96218.77068551624</v>
      </c>
      <c r="P90" s="503">
        <f>Taulukko3[[#This Row],[Vieraskieliset (2023)]]*$P$9</f>
        <v>35204.19</v>
      </c>
      <c r="Q90" s="459"/>
      <c r="R90" s="530">
        <f t="shared" si="9"/>
        <v>767817.8293144838</v>
      </c>
    </row>
    <row r="91" spans="1:18">
      <c r="A91" s="474">
        <v>236</v>
      </c>
      <c r="B91" s="474" t="s">
        <v>89</v>
      </c>
      <c r="C91" s="459">
        <v>2175</v>
      </c>
      <c r="D91" s="459">
        <v>199</v>
      </c>
      <c r="E91" s="459">
        <v>122</v>
      </c>
      <c r="G91" s="523">
        <f>Taulukko3[[#This Row],[Väestö, 18-64-vuotiaat (2023)]]*Taulukko412[Perushinnat, €]</f>
        <v>181569</v>
      </c>
      <c r="H91" s="491">
        <f>Taulukko3[[#This Row],[Työttömät ja palveluissa olevat (2023)]]*Taulukko412[[ ]]</f>
        <v>146131.67000000001</v>
      </c>
      <c r="I91" s="491">
        <f>Taulukko3[[#This Row],[Vieraskieliset (2023)]]*Taulukko412[[  ]]</f>
        <v>10155.279999999999</v>
      </c>
      <c r="J91" s="500">
        <f t="shared" si="6"/>
        <v>337855.95000000007</v>
      </c>
      <c r="K91" s="491"/>
      <c r="L91" s="497">
        <f>'TE25 Palveluiden kustannusarvio'!U84</f>
        <v>175718.38992841748</v>
      </c>
      <c r="M91" s="458">
        <f t="shared" si="7"/>
        <v>-168927.97500000003</v>
      </c>
      <c r="N91" s="500">
        <f t="shared" si="8"/>
        <v>6790.4149284174491</v>
      </c>
      <c r="P91" s="503">
        <f>Taulukko3[[#This Row],[Vieraskieliset (2023)]]*$P$9</f>
        <v>3858.8599999999997</v>
      </c>
      <c r="Q91" s="459"/>
      <c r="R91" s="530">
        <f t="shared" si="9"/>
        <v>348505.22492841748</v>
      </c>
    </row>
    <row r="92" spans="1:18">
      <c r="A92" s="474">
        <v>239</v>
      </c>
      <c r="B92" s="474" t="s">
        <v>90</v>
      </c>
      <c r="C92" s="459">
        <v>916</v>
      </c>
      <c r="D92" s="459">
        <v>92</v>
      </c>
      <c r="E92" s="459">
        <v>73</v>
      </c>
      <c r="G92" s="523">
        <f>Taulukko3[[#This Row],[Väestö, 18-64-vuotiaat (2023)]]*Taulukko412[Perushinnat, €]</f>
        <v>76467.680000000008</v>
      </c>
      <c r="H92" s="491">
        <f>Taulukko3[[#This Row],[Työttömät ja palveluissa olevat (2023)]]*Taulukko412[[ ]]</f>
        <v>67558.36</v>
      </c>
      <c r="I92" s="491">
        <f>Taulukko3[[#This Row],[Vieraskieliset (2023)]]*Taulukko412[[  ]]</f>
        <v>6076.5199999999995</v>
      </c>
      <c r="J92" s="500">
        <f t="shared" si="6"/>
        <v>150102.56</v>
      </c>
      <c r="K92" s="491"/>
      <c r="L92" s="497">
        <f>'TE25 Palveluiden kustannusarvio'!U85</f>
        <v>60371.330187846026</v>
      </c>
      <c r="M92" s="458">
        <f t="shared" si="7"/>
        <v>-75051.28</v>
      </c>
      <c r="N92" s="500">
        <f t="shared" si="8"/>
        <v>-14679.949812153973</v>
      </c>
      <c r="P92" s="503">
        <f>Taulukko3[[#This Row],[Vieraskieliset (2023)]]*$P$9</f>
        <v>2308.9899999999998</v>
      </c>
      <c r="Q92" s="459"/>
      <c r="R92" s="530">
        <f t="shared" si="9"/>
        <v>137731.60018784602</v>
      </c>
    </row>
    <row r="93" spans="1:18">
      <c r="A93" s="474">
        <v>240</v>
      </c>
      <c r="B93" s="474" t="s">
        <v>91</v>
      </c>
      <c r="C93" s="459">
        <v>10154</v>
      </c>
      <c r="D93" s="459">
        <v>1787</v>
      </c>
      <c r="E93" s="459">
        <v>1165</v>
      </c>
      <c r="G93" s="523">
        <f>Taulukko3[[#This Row],[Väestö, 18-64-vuotiaat (2023)]]*Taulukko412[Perushinnat, €]</f>
        <v>847655.92</v>
      </c>
      <c r="H93" s="491">
        <f>Taulukko3[[#This Row],[Työttömät ja palveluissa olevat (2023)]]*Taulukko412[[ ]]</f>
        <v>1312247.71</v>
      </c>
      <c r="I93" s="491">
        <f>Taulukko3[[#This Row],[Vieraskieliset (2023)]]*Taulukko412[[  ]]</f>
        <v>96974.599999999991</v>
      </c>
      <c r="J93" s="500">
        <f t="shared" si="6"/>
        <v>2256878.23</v>
      </c>
      <c r="K93" s="491"/>
      <c r="L93" s="497">
        <f>'TE25 Palveluiden kustannusarvio'!U86</f>
        <v>1549419.2409455364</v>
      </c>
      <c r="M93" s="458">
        <f t="shared" si="7"/>
        <v>-1128439.115</v>
      </c>
      <c r="N93" s="500">
        <f t="shared" si="8"/>
        <v>420980.12594553642</v>
      </c>
      <c r="P93" s="503">
        <f>Taulukko3[[#This Row],[Vieraskieliset (2023)]]*$P$9</f>
        <v>36848.949999999997</v>
      </c>
      <c r="Q93" s="459"/>
      <c r="R93" s="530">
        <f t="shared" si="9"/>
        <v>2714707.3059455366</v>
      </c>
    </row>
    <row r="94" spans="1:18">
      <c r="A94" s="474">
        <v>241</v>
      </c>
      <c r="B94" s="474" t="s">
        <v>92</v>
      </c>
      <c r="C94" s="459">
        <v>4056</v>
      </c>
      <c r="D94" s="459">
        <v>411</v>
      </c>
      <c r="E94" s="459">
        <v>91</v>
      </c>
      <c r="G94" s="523">
        <f>Taulukko3[[#This Row],[Väestö, 18-64-vuotiaat (2023)]]*Taulukko412[Perushinnat, €]</f>
        <v>338594.88</v>
      </c>
      <c r="H94" s="491">
        <f>Taulukko3[[#This Row],[Työttömät ja palveluissa olevat (2023)]]*Taulukko412[[ ]]</f>
        <v>301809.63</v>
      </c>
      <c r="I94" s="491">
        <f>Taulukko3[[#This Row],[Vieraskieliset (2023)]]*Taulukko412[[  ]]</f>
        <v>7574.8399999999992</v>
      </c>
      <c r="J94" s="500">
        <f t="shared" si="6"/>
        <v>647979.35</v>
      </c>
      <c r="K94" s="491"/>
      <c r="L94" s="497">
        <f>'TE25 Palveluiden kustannusarvio'!U87</f>
        <v>342212.0742013111</v>
      </c>
      <c r="M94" s="458">
        <f t="shared" si="7"/>
        <v>-323989.67499999999</v>
      </c>
      <c r="N94" s="500">
        <f t="shared" si="8"/>
        <v>18222.399201311113</v>
      </c>
      <c r="P94" s="503">
        <f>Taulukko3[[#This Row],[Vieraskieliset (2023)]]*$P$9</f>
        <v>2878.33</v>
      </c>
      <c r="Q94" s="459"/>
      <c r="R94" s="530">
        <f t="shared" si="9"/>
        <v>669080.07920131099</v>
      </c>
    </row>
    <row r="95" spans="1:18">
      <c r="A95" s="474">
        <v>244</v>
      </c>
      <c r="B95" s="474" t="s">
        <v>93</v>
      </c>
      <c r="C95" s="459">
        <v>10860</v>
      </c>
      <c r="D95" s="459">
        <v>936</v>
      </c>
      <c r="E95" s="459">
        <v>271</v>
      </c>
      <c r="G95" s="523">
        <f>Taulukko3[[#This Row],[Väestö, 18-64-vuotiaat (2023)]]*Taulukko412[Perushinnat, €]</f>
        <v>906592.8</v>
      </c>
      <c r="H95" s="491">
        <f>Taulukko3[[#This Row],[Työttömät ja palveluissa olevat (2023)]]*Taulukko412[[ ]]</f>
        <v>687332.88</v>
      </c>
      <c r="I95" s="491">
        <f>Taulukko3[[#This Row],[Vieraskieliset (2023)]]*Taulukko412[[  ]]</f>
        <v>22558.039999999997</v>
      </c>
      <c r="J95" s="500">
        <f t="shared" si="6"/>
        <v>1616483.7200000002</v>
      </c>
      <c r="K95" s="491"/>
      <c r="L95" s="497">
        <f>'TE25 Palveluiden kustannusarvio'!U88</f>
        <v>625996.37425626535</v>
      </c>
      <c r="M95" s="458">
        <f t="shared" si="7"/>
        <v>-808241.8600000001</v>
      </c>
      <c r="N95" s="500">
        <f t="shared" si="8"/>
        <v>-182245.48574373475</v>
      </c>
      <c r="P95" s="503">
        <f>Taulukko3[[#This Row],[Vieraskieliset (2023)]]*$P$9</f>
        <v>8571.73</v>
      </c>
      <c r="Q95" s="459"/>
      <c r="R95" s="530">
        <f t="shared" si="9"/>
        <v>1442809.9642562654</v>
      </c>
    </row>
    <row r="96" spans="1:18">
      <c r="A96" s="474">
        <v>245</v>
      </c>
      <c r="B96" s="474" t="s">
        <v>94</v>
      </c>
      <c r="C96" s="459">
        <v>22972</v>
      </c>
      <c r="D96" s="459">
        <v>2753</v>
      </c>
      <c r="E96" s="459">
        <v>6191</v>
      </c>
      <c r="G96" s="523">
        <f>Taulukko3[[#This Row],[Väestö, 18-64-vuotiaat (2023)]]*Taulukko412[Perushinnat, €]</f>
        <v>1917702.56</v>
      </c>
      <c r="H96" s="491">
        <f>Taulukko3[[#This Row],[Työttömät ja palveluissa olevat (2023)]]*Taulukko412[[ ]]</f>
        <v>2021610.4900000002</v>
      </c>
      <c r="I96" s="491">
        <f>Taulukko3[[#This Row],[Vieraskieliset (2023)]]*Taulukko412[[  ]]</f>
        <v>515338.83999999997</v>
      </c>
      <c r="J96" s="500">
        <f t="shared" si="6"/>
        <v>4454651.8900000006</v>
      </c>
      <c r="K96" s="491"/>
      <c r="L96" s="497">
        <f>'TE25 Palveluiden kustannusarvio'!U89</f>
        <v>2116866.6453870563</v>
      </c>
      <c r="M96" s="458">
        <f t="shared" si="7"/>
        <v>-2227325.9450000003</v>
      </c>
      <c r="N96" s="500">
        <f t="shared" si="8"/>
        <v>-110459.29961294401</v>
      </c>
      <c r="P96" s="503">
        <f>Taulukko3[[#This Row],[Vieraskieliset (2023)]]*$P$9</f>
        <v>195821.33</v>
      </c>
      <c r="Q96" s="459"/>
      <c r="R96" s="530">
        <f t="shared" si="9"/>
        <v>4540013.9203870567</v>
      </c>
    </row>
    <row r="97" spans="1:18">
      <c r="A97" s="474">
        <v>249</v>
      </c>
      <c r="B97" s="474" t="s">
        <v>95</v>
      </c>
      <c r="C97" s="459">
        <v>4412</v>
      </c>
      <c r="D97" s="459">
        <v>664</v>
      </c>
      <c r="E97" s="459">
        <v>351</v>
      </c>
      <c r="G97" s="523">
        <f>Taulukko3[[#This Row],[Väestö, 18-64-vuotiaat (2023)]]*Taulukko412[Perushinnat, €]</f>
        <v>368313.76</v>
      </c>
      <c r="H97" s="491">
        <f>Taulukko3[[#This Row],[Työttömät ja palveluissa olevat (2023)]]*Taulukko412[[ ]]</f>
        <v>487595.12000000005</v>
      </c>
      <c r="I97" s="491">
        <f>Taulukko3[[#This Row],[Vieraskieliset (2023)]]*Taulukko412[[  ]]</f>
        <v>29217.239999999998</v>
      </c>
      <c r="J97" s="500">
        <f t="shared" si="6"/>
        <v>885126.12000000011</v>
      </c>
      <c r="K97" s="491"/>
      <c r="L97" s="497">
        <f>'TE25 Palveluiden kustannusarvio'!U90</f>
        <v>500442.89616063458</v>
      </c>
      <c r="M97" s="458">
        <f t="shared" si="7"/>
        <v>-442563.06000000006</v>
      </c>
      <c r="N97" s="500">
        <f t="shared" si="8"/>
        <v>57879.836160634528</v>
      </c>
      <c r="P97" s="503">
        <f>Taulukko3[[#This Row],[Vieraskieliset (2023)]]*$P$9</f>
        <v>11102.13</v>
      </c>
      <c r="Q97" s="459"/>
      <c r="R97" s="530">
        <f t="shared" si="9"/>
        <v>954108.08616063464</v>
      </c>
    </row>
    <row r="98" spans="1:18">
      <c r="A98" s="474">
        <v>250</v>
      </c>
      <c r="B98" s="474" t="s">
        <v>96</v>
      </c>
      <c r="C98" s="459">
        <v>844</v>
      </c>
      <c r="D98" s="459">
        <v>86</v>
      </c>
      <c r="E98" s="459">
        <v>29</v>
      </c>
      <c r="G98" s="523">
        <f>Taulukko3[[#This Row],[Väestö, 18-64-vuotiaat (2023)]]*Taulukko412[Perushinnat, €]</f>
        <v>70457.12000000001</v>
      </c>
      <c r="H98" s="491">
        <f>Taulukko3[[#This Row],[Työttömät ja palveluissa olevat (2023)]]*Taulukko412[[ ]]</f>
        <v>63152.380000000005</v>
      </c>
      <c r="I98" s="491">
        <f>Taulukko3[[#This Row],[Vieraskieliset (2023)]]*Taulukko412[[  ]]</f>
        <v>2413.96</v>
      </c>
      <c r="J98" s="500">
        <f t="shared" si="6"/>
        <v>136023.46</v>
      </c>
      <c r="K98" s="491"/>
      <c r="L98" s="497">
        <f>'TE25 Palveluiden kustannusarvio'!U91</f>
        <v>72585.759276241035</v>
      </c>
      <c r="M98" s="458">
        <f t="shared" si="7"/>
        <v>-68011.73</v>
      </c>
      <c r="N98" s="500">
        <f t="shared" si="8"/>
        <v>4574.029276241039</v>
      </c>
      <c r="P98" s="503">
        <f>Taulukko3[[#This Row],[Vieraskieliset (2023)]]*$P$9</f>
        <v>917.27</v>
      </c>
      <c r="Q98" s="459"/>
      <c r="R98" s="530">
        <f t="shared" si="9"/>
        <v>141514.75927624103</v>
      </c>
    </row>
    <row r="99" spans="1:18">
      <c r="A99" s="474">
        <v>256</v>
      </c>
      <c r="B99" s="474" t="s">
        <v>97</v>
      </c>
      <c r="C99" s="459">
        <v>665</v>
      </c>
      <c r="D99" s="459">
        <v>97</v>
      </c>
      <c r="E99" s="459">
        <v>15</v>
      </c>
      <c r="G99" s="523">
        <f>Taulukko3[[#This Row],[Väestö, 18-64-vuotiaat (2023)]]*Taulukko412[Perushinnat, €]</f>
        <v>55514.200000000004</v>
      </c>
      <c r="H99" s="491">
        <f>Taulukko3[[#This Row],[Työttömät ja palveluissa olevat (2023)]]*Taulukko412[[ ]]</f>
        <v>71230.010000000009</v>
      </c>
      <c r="I99" s="491">
        <f>Taulukko3[[#This Row],[Vieraskieliset (2023)]]*Taulukko412[[  ]]</f>
        <v>1248.5999999999999</v>
      </c>
      <c r="J99" s="500">
        <f t="shared" si="6"/>
        <v>127992.81000000003</v>
      </c>
      <c r="K99" s="491"/>
      <c r="L99" s="497">
        <f>'TE25 Palveluiden kustannusarvio'!U92</f>
        <v>116074.12496225591</v>
      </c>
      <c r="M99" s="458">
        <f t="shared" si="7"/>
        <v>-63996.405000000013</v>
      </c>
      <c r="N99" s="500">
        <f t="shared" si="8"/>
        <v>52077.719962255898</v>
      </c>
      <c r="P99" s="503">
        <f>Taulukko3[[#This Row],[Vieraskieliset (2023)]]*$P$9</f>
        <v>474.45</v>
      </c>
      <c r="Q99" s="459"/>
      <c r="R99" s="530">
        <f t="shared" si="9"/>
        <v>180544.97996225592</v>
      </c>
    </row>
    <row r="100" spans="1:18">
      <c r="A100" s="474">
        <v>257</v>
      </c>
      <c r="B100" s="474" t="s">
        <v>98</v>
      </c>
      <c r="C100" s="459">
        <v>24763</v>
      </c>
      <c r="D100" s="459">
        <v>2127</v>
      </c>
      <c r="E100" s="459">
        <v>4911</v>
      </c>
      <c r="G100" s="523">
        <f>Taulukko3[[#This Row],[Väestö, 18-64-vuotiaat (2023)]]*Taulukko412[Perushinnat, €]</f>
        <v>2067215.24</v>
      </c>
      <c r="H100" s="491">
        <f>Taulukko3[[#This Row],[Työttömät ja palveluissa olevat (2023)]]*Taulukko412[[ ]]</f>
        <v>1561919.9100000001</v>
      </c>
      <c r="I100" s="491">
        <f>Taulukko3[[#This Row],[Vieraskieliset (2023)]]*Taulukko412[[  ]]</f>
        <v>408791.63999999996</v>
      </c>
      <c r="J100" s="500">
        <f t="shared" si="6"/>
        <v>4037926.7900000005</v>
      </c>
      <c r="K100" s="491"/>
      <c r="L100" s="497">
        <f>'TE25 Palveluiden kustannusarvio'!U93</f>
        <v>1754550.5070757507</v>
      </c>
      <c r="M100" s="458">
        <f t="shared" si="7"/>
        <v>-2018963.3950000003</v>
      </c>
      <c r="N100" s="500">
        <f t="shared" si="8"/>
        <v>-264412.88792424952</v>
      </c>
      <c r="P100" s="503">
        <f>Taulukko3[[#This Row],[Vieraskieliset (2023)]]*$P$9</f>
        <v>155334.93</v>
      </c>
      <c r="Q100" s="459"/>
      <c r="R100" s="530">
        <f t="shared" si="9"/>
        <v>3928848.8320757509</v>
      </c>
    </row>
    <row r="101" spans="1:18">
      <c r="A101" s="474">
        <v>260</v>
      </c>
      <c r="B101" s="474" t="s">
        <v>99</v>
      </c>
      <c r="C101" s="459">
        <v>4509</v>
      </c>
      <c r="D101" s="459">
        <v>786</v>
      </c>
      <c r="E101" s="459">
        <v>757</v>
      </c>
      <c r="G101" s="523">
        <f>Taulukko3[[#This Row],[Väestö, 18-64-vuotiaat (2023)]]*Taulukko412[Perushinnat, €]</f>
        <v>376411.32</v>
      </c>
      <c r="H101" s="491">
        <f>Taulukko3[[#This Row],[Työttömät ja palveluissa olevat (2023)]]*Taulukko412[[ ]]</f>
        <v>577183.38</v>
      </c>
      <c r="I101" s="491">
        <f>Taulukko3[[#This Row],[Vieraskieliset (2023)]]*Taulukko412[[  ]]</f>
        <v>63012.679999999993</v>
      </c>
      <c r="J101" s="500">
        <f t="shared" si="6"/>
        <v>1016607.3799999999</v>
      </c>
      <c r="K101" s="491"/>
      <c r="L101" s="497">
        <f>'TE25 Palveluiden kustannusarvio'!U94</f>
        <v>796498.53151859436</v>
      </c>
      <c r="M101" s="458">
        <f t="shared" si="7"/>
        <v>-508303.68999999994</v>
      </c>
      <c r="N101" s="500">
        <f t="shared" si="8"/>
        <v>288194.84151859442</v>
      </c>
      <c r="P101" s="503">
        <f>Taulukko3[[#This Row],[Vieraskieliset (2023)]]*$P$9</f>
        <v>23943.91</v>
      </c>
      <c r="Q101" s="459"/>
      <c r="R101" s="530">
        <f t="shared" si="9"/>
        <v>1328746.1315185942</v>
      </c>
    </row>
    <row r="102" spans="1:18">
      <c r="A102" s="474">
        <v>261</v>
      </c>
      <c r="B102" s="474" t="s">
        <v>100</v>
      </c>
      <c r="C102" s="459">
        <v>4137</v>
      </c>
      <c r="D102" s="459">
        <v>409</v>
      </c>
      <c r="E102" s="459">
        <v>324</v>
      </c>
      <c r="G102" s="523">
        <f>Taulukko3[[#This Row],[Väestö, 18-64-vuotiaat (2023)]]*Taulukko412[Perushinnat, €]</f>
        <v>345356.76</v>
      </c>
      <c r="H102" s="491">
        <f>Taulukko3[[#This Row],[Työttömät ja palveluissa olevat (2023)]]*Taulukko412[[ ]]</f>
        <v>300340.97000000003</v>
      </c>
      <c r="I102" s="491">
        <f>Taulukko3[[#This Row],[Vieraskieliset (2023)]]*Taulukko412[[  ]]</f>
        <v>26969.759999999998</v>
      </c>
      <c r="J102" s="500">
        <f t="shared" si="6"/>
        <v>672667.49</v>
      </c>
      <c r="K102" s="491"/>
      <c r="L102" s="497">
        <f>'TE25 Palveluiden kustannusarvio'!U95</f>
        <v>397363.49759293627</v>
      </c>
      <c r="M102" s="458">
        <f t="shared" si="7"/>
        <v>-336333.745</v>
      </c>
      <c r="N102" s="500">
        <f t="shared" si="8"/>
        <v>61029.752592936275</v>
      </c>
      <c r="P102" s="503">
        <f>Taulukko3[[#This Row],[Vieraskieliset (2023)]]*$P$9</f>
        <v>10248.119999999999</v>
      </c>
      <c r="Q102" s="459"/>
      <c r="R102" s="530">
        <f t="shared" si="9"/>
        <v>743945.36259293626</v>
      </c>
    </row>
    <row r="103" spans="1:18">
      <c r="A103" s="474">
        <v>263</v>
      </c>
      <c r="B103" s="474" t="s">
        <v>101</v>
      </c>
      <c r="C103" s="459">
        <v>3690</v>
      </c>
      <c r="D103" s="459">
        <v>452</v>
      </c>
      <c r="E103" s="459">
        <v>139</v>
      </c>
      <c r="G103" s="523">
        <f>Taulukko3[[#This Row],[Väestö, 18-64-vuotiaat (2023)]]*Taulukko412[Perushinnat, €]</f>
        <v>308041.2</v>
      </c>
      <c r="H103" s="491">
        <f>Taulukko3[[#This Row],[Työttömät ja palveluissa olevat (2023)]]*Taulukko412[[ ]]</f>
        <v>331917.16000000003</v>
      </c>
      <c r="I103" s="491">
        <f>Taulukko3[[#This Row],[Vieraskieliset (2023)]]*Taulukko412[[  ]]</f>
        <v>11570.359999999999</v>
      </c>
      <c r="J103" s="500">
        <f t="shared" si="6"/>
        <v>651528.72000000009</v>
      </c>
      <c r="K103" s="491"/>
      <c r="L103" s="497">
        <f>'TE25 Palveluiden kustannusarvio'!U96</f>
        <v>357069.93255092297</v>
      </c>
      <c r="M103" s="458">
        <f t="shared" si="7"/>
        <v>-325764.36000000004</v>
      </c>
      <c r="N103" s="500">
        <f t="shared" si="8"/>
        <v>31305.572550922923</v>
      </c>
      <c r="P103" s="503">
        <f>Taulukko3[[#This Row],[Vieraskieliset (2023)]]*$P$9</f>
        <v>4396.57</v>
      </c>
      <c r="Q103" s="459"/>
      <c r="R103" s="530">
        <f t="shared" si="9"/>
        <v>687230.86255092302</v>
      </c>
    </row>
    <row r="104" spans="1:18">
      <c r="A104" s="474">
        <v>265</v>
      </c>
      <c r="B104" s="474" t="s">
        <v>102</v>
      </c>
      <c r="C104" s="459">
        <v>461</v>
      </c>
      <c r="D104" s="459">
        <v>72</v>
      </c>
      <c r="E104" s="459">
        <v>20</v>
      </c>
      <c r="G104" s="523">
        <f>Taulukko3[[#This Row],[Väestö, 18-64-vuotiaat (2023)]]*Taulukko412[Perushinnat, €]</f>
        <v>38484.28</v>
      </c>
      <c r="H104" s="491">
        <f>Taulukko3[[#This Row],[Työttömät ja palveluissa olevat (2023)]]*Taulukko412[[ ]]</f>
        <v>52871.76</v>
      </c>
      <c r="I104" s="491">
        <f>Taulukko3[[#This Row],[Vieraskieliset (2023)]]*Taulukko412[[  ]]</f>
        <v>1664.8</v>
      </c>
      <c r="J104" s="500">
        <f t="shared" si="6"/>
        <v>93020.840000000011</v>
      </c>
      <c r="K104" s="491"/>
      <c r="L104" s="497">
        <f>'TE25 Palveluiden kustannusarvio'!U97</f>
        <v>46014.226389412703</v>
      </c>
      <c r="M104" s="458">
        <f t="shared" si="7"/>
        <v>-46510.420000000006</v>
      </c>
      <c r="N104" s="500">
        <f t="shared" si="8"/>
        <v>-496.19361058730283</v>
      </c>
      <c r="P104" s="503">
        <f>Taulukko3[[#This Row],[Vieraskieliset (2023)]]*$P$9</f>
        <v>632.6</v>
      </c>
      <c r="Q104" s="459"/>
      <c r="R104" s="530">
        <f t="shared" si="9"/>
        <v>93157.246389412714</v>
      </c>
    </row>
    <row r="105" spans="1:18">
      <c r="A105" s="474">
        <v>271</v>
      </c>
      <c r="B105" s="474" t="s">
        <v>103</v>
      </c>
      <c r="C105" s="459">
        <v>3496</v>
      </c>
      <c r="D105" s="459">
        <v>387</v>
      </c>
      <c r="E105" s="459">
        <v>223</v>
      </c>
      <c r="G105" s="523">
        <f>Taulukko3[[#This Row],[Väestö, 18-64-vuotiaat (2023)]]*Taulukko412[Perushinnat, €]</f>
        <v>291846.08</v>
      </c>
      <c r="H105" s="491">
        <f>Taulukko3[[#This Row],[Työttömät ja palveluissa olevat (2023)]]*Taulukko412[[ ]]</f>
        <v>284185.71000000002</v>
      </c>
      <c r="I105" s="491">
        <f>Taulukko3[[#This Row],[Vieraskieliset (2023)]]*Taulukko412[[  ]]</f>
        <v>18562.52</v>
      </c>
      <c r="J105" s="500">
        <f t="shared" si="6"/>
        <v>594594.31000000006</v>
      </c>
      <c r="K105" s="491"/>
      <c r="L105" s="497">
        <f>'TE25 Palveluiden kustannusarvio'!U98</f>
        <v>260481.42572564626</v>
      </c>
      <c r="M105" s="458">
        <f t="shared" si="7"/>
        <v>-297297.15500000003</v>
      </c>
      <c r="N105" s="500">
        <f t="shared" si="8"/>
        <v>-36815.729274353769</v>
      </c>
      <c r="P105" s="503">
        <f>Taulukko3[[#This Row],[Vieraskieliset (2023)]]*$P$9</f>
        <v>7053.49</v>
      </c>
      <c r="Q105" s="459"/>
      <c r="R105" s="530">
        <f t="shared" si="9"/>
        <v>564832.07072564634</v>
      </c>
    </row>
    <row r="106" spans="1:18">
      <c r="A106" s="474">
        <v>272</v>
      </c>
      <c r="B106" s="474" t="s">
        <v>104</v>
      </c>
      <c r="C106" s="459">
        <v>26560</v>
      </c>
      <c r="D106" s="459">
        <v>2793</v>
      </c>
      <c r="E106" s="459">
        <v>2400</v>
      </c>
      <c r="G106" s="523">
        <f>Taulukko3[[#This Row],[Väestö, 18-64-vuotiaat (2023)]]*Taulukko412[Perushinnat, €]</f>
        <v>2217228.8000000003</v>
      </c>
      <c r="H106" s="491">
        <f>Taulukko3[[#This Row],[Työttömät ja palveluissa olevat (2023)]]*Taulukko412[[ ]]</f>
        <v>2050983.6900000002</v>
      </c>
      <c r="I106" s="491">
        <f>Taulukko3[[#This Row],[Vieraskieliset (2023)]]*Taulukko412[[  ]]</f>
        <v>199776</v>
      </c>
      <c r="J106" s="500">
        <f t="shared" si="6"/>
        <v>4467988.49</v>
      </c>
      <c r="K106" s="491"/>
      <c r="L106" s="497">
        <f>'TE25 Palveluiden kustannusarvio'!U99</f>
        <v>2229206.630665001</v>
      </c>
      <c r="M106" s="458">
        <f t="shared" si="7"/>
        <v>-2233994.2450000001</v>
      </c>
      <c r="N106" s="500">
        <f t="shared" si="8"/>
        <v>-4787.614334999118</v>
      </c>
      <c r="P106" s="503">
        <f>Taulukko3[[#This Row],[Vieraskieliset (2023)]]*$P$9</f>
        <v>75912</v>
      </c>
      <c r="Q106" s="459"/>
      <c r="R106" s="530">
        <f t="shared" si="9"/>
        <v>4539112.8756650016</v>
      </c>
    </row>
    <row r="107" spans="1:18">
      <c r="A107" s="474">
        <v>273</v>
      </c>
      <c r="B107" s="474" t="s">
        <v>105</v>
      </c>
      <c r="C107" s="459">
        <v>2167</v>
      </c>
      <c r="D107" s="459">
        <v>260</v>
      </c>
      <c r="E107" s="459">
        <v>94</v>
      </c>
      <c r="G107" s="523">
        <f>Taulukko3[[#This Row],[Väestö, 18-64-vuotiaat (2023)]]*Taulukko412[Perushinnat, €]</f>
        <v>180901.16</v>
      </c>
      <c r="H107" s="491">
        <f>Taulukko3[[#This Row],[Työttömät ja palveluissa olevat (2023)]]*Taulukko412[[ ]]</f>
        <v>190925.80000000002</v>
      </c>
      <c r="I107" s="491">
        <f>Taulukko3[[#This Row],[Vieraskieliset (2023)]]*Taulukko412[[  ]]</f>
        <v>7824.5599999999995</v>
      </c>
      <c r="J107" s="500">
        <f t="shared" si="6"/>
        <v>379651.52</v>
      </c>
      <c r="K107" s="491"/>
      <c r="L107" s="497">
        <f>'TE25 Palveluiden kustannusarvio'!U100</f>
        <v>254875.42060494714</v>
      </c>
      <c r="M107" s="458">
        <f t="shared" si="7"/>
        <v>-189825.76</v>
      </c>
      <c r="N107" s="500">
        <f t="shared" si="8"/>
        <v>65049.66060494713</v>
      </c>
      <c r="P107" s="503">
        <f>Taulukko3[[#This Row],[Vieraskieliset (2023)]]*$P$9</f>
        <v>2973.22</v>
      </c>
      <c r="Q107" s="459"/>
      <c r="R107" s="530">
        <f t="shared" si="9"/>
        <v>447674.40060494712</v>
      </c>
    </row>
    <row r="108" spans="1:18">
      <c r="A108" s="474">
        <v>275</v>
      </c>
      <c r="B108" s="474" t="s">
        <v>106</v>
      </c>
      <c r="C108" s="459">
        <v>1195</v>
      </c>
      <c r="D108" s="459">
        <v>160</v>
      </c>
      <c r="E108" s="459">
        <v>52</v>
      </c>
      <c r="G108" s="523">
        <f>Taulukko3[[#This Row],[Väestö, 18-64-vuotiaat (2023)]]*Taulukko412[Perushinnat, €]</f>
        <v>99758.6</v>
      </c>
      <c r="H108" s="491">
        <f>Taulukko3[[#This Row],[Työttömät ja palveluissa olevat (2023)]]*Taulukko412[[ ]]</f>
        <v>117492.8</v>
      </c>
      <c r="I108" s="491">
        <f>Taulukko3[[#This Row],[Vieraskieliset (2023)]]*Taulukko412[[  ]]</f>
        <v>4328.4799999999996</v>
      </c>
      <c r="J108" s="500">
        <f t="shared" si="6"/>
        <v>221579.88000000003</v>
      </c>
      <c r="K108" s="491"/>
      <c r="L108" s="497">
        <f>'TE25 Palveluiden kustannusarvio'!U101</f>
        <v>124011.22951077607</v>
      </c>
      <c r="M108" s="458">
        <f t="shared" si="7"/>
        <v>-110789.94000000002</v>
      </c>
      <c r="N108" s="500">
        <f t="shared" si="8"/>
        <v>13221.289510776056</v>
      </c>
      <c r="P108" s="503">
        <f>Taulukko3[[#This Row],[Vieraskieliset (2023)]]*$P$9</f>
        <v>1644.76</v>
      </c>
      <c r="Q108" s="459"/>
      <c r="R108" s="530">
        <f t="shared" si="9"/>
        <v>236445.9295107761</v>
      </c>
    </row>
    <row r="109" spans="1:18">
      <c r="A109" s="474">
        <v>276</v>
      </c>
      <c r="B109" s="474" t="s">
        <v>107</v>
      </c>
      <c r="C109" s="459">
        <v>8538</v>
      </c>
      <c r="D109" s="459">
        <v>911</v>
      </c>
      <c r="E109" s="459">
        <v>347</v>
      </c>
      <c r="G109" s="523">
        <f>Taulukko3[[#This Row],[Väestö, 18-64-vuotiaat (2023)]]*Taulukko412[Perushinnat, €]</f>
        <v>712752.24</v>
      </c>
      <c r="H109" s="491">
        <f>Taulukko3[[#This Row],[Työttömät ja palveluissa olevat (2023)]]*Taulukko412[[ ]]</f>
        <v>668974.63</v>
      </c>
      <c r="I109" s="491">
        <f>Taulukko3[[#This Row],[Vieraskieliset (2023)]]*Taulukko412[[  ]]</f>
        <v>28884.28</v>
      </c>
      <c r="J109" s="500">
        <f t="shared" si="6"/>
        <v>1410611.1500000001</v>
      </c>
      <c r="K109" s="491"/>
      <c r="L109" s="497">
        <f>'TE25 Palveluiden kustannusarvio'!U102</f>
        <v>837131.41473579162</v>
      </c>
      <c r="M109" s="458">
        <f t="shared" si="7"/>
        <v>-705305.57500000007</v>
      </c>
      <c r="N109" s="500">
        <f t="shared" si="8"/>
        <v>131825.83973579155</v>
      </c>
      <c r="P109" s="503">
        <f>Taulukko3[[#This Row],[Vieraskieliset (2023)]]*$P$9</f>
        <v>10975.609999999999</v>
      </c>
      <c r="Q109" s="459"/>
      <c r="R109" s="530">
        <f t="shared" si="9"/>
        <v>1553412.5997357918</v>
      </c>
    </row>
    <row r="110" spans="1:18">
      <c r="A110" s="474">
        <v>280</v>
      </c>
      <c r="B110" s="474" t="s">
        <v>108</v>
      </c>
      <c r="C110" s="459">
        <v>1051</v>
      </c>
      <c r="D110" s="459">
        <v>76</v>
      </c>
      <c r="E110" s="459">
        <v>255</v>
      </c>
      <c r="G110" s="523">
        <f>Taulukko3[[#This Row],[Väestö, 18-64-vuotiaat (2023)]]*Taulukko412[Perushinnat, €]</f>
        <v>87737.48000000001</v>
      </c>
      <c r="H110" s="491">
        <f>Taulukko3[[#This Row],[Työttömät ja palveluissa olevat (2023)]]*Taulukko412[[ ]]</f>
        <v>55809.08</v>
      </c>
      <c r="I110" s="491">
        <f>Taulukko3[[#This Row],[Vieraskieliset (2023)]]*Taulukko412[[  ]]</f>
        <v>21226.199999999997</v>
      </c>
      <c r="J110" s="500">
        <f t="shared" si="6"/>
        <v>164772.76</v>
      </c>
      <c r="K110" s="491"/>
      <c r="L110" s="497">
        <f>'TE25 Palveluiden kustannusarvio'!U103</f>
        <v>65545.682932981479</v>
      </c>
      <c r="M110" s="458">
        <f t="shared" si="7"/>
        <v>-82386.38</v>
      </c>
      <c r="N110" s="500">
        <f t="shared" si="8"/>
        <v>-16840.697067018526</v>
      </c>
      <c r="P110" s="503">
        <f>Taulukko3[[#This Row],[Vieraskieliset (2023)]]*$P$9</f>
        <v>8065.65</v>
      </c>
      <c r="Q110" s="459"/>
      <c r="R110" s="530">
        <f t="shared" si="9"/>
        <v>155997.71293298146</v>
      </c>
    </row>
    <row r="111" spans="1:18">
      <c r="A111" s="474">
        <v>284</v>
      </c>
      <c r="B111" s="474" t="s">
        <v>109</v>
      </c>
      <c r="C111" s="459">
        <v>1113</v>
      </c>
      <c r="D111" s="459">
        <v>98</v>
      </c>
      <c r="E111" s="459">
        <v>110</v>
      </c>
      <c r="G111" s="523">
        <f>Taulukko3[[#This Row],[Väestö, 18-64-vuotiaat (2023)]]*Taulukko412[Perushinnat, €]</f>
        <v>92913.24</v>
      </c>
      <c r="H111" s="491">
        <f>Taulukko3[[#This Row],[Työttömät ja palveluissa olevat (2023)]]*Taulukko412[[ ]]</f>
        <v>71964.340000000011</v>
      </c>
      <c r="I111" s="491">
        <f>Taulukko3[[#This Row],[Vieraskieliset (2023)]]*Taulukko412[[  ]]</f>
        <v>9156.4</v>
      </c>
      <c r="J111" s="500">
        <f t="shared" si="6"/>
        <v>174033.98</v>
      </c>
      <c r="K111" s="491"/>
      <c r="L111" s="497">
        <f>'TE25 Palveluiden kustannusarvio'!U104</f>
        <v>76465.256699345337</v>
      </c>
      <c r="M111" s="458">
        <f t="shared" si="7"/>
        <v>-87016.99</v>
      </c>
      <c r="N111" s="500">
        <f t="shared" si="8"/>
        <v>-10551.733300654669</v>
      </c>
      <c r="P111" s="503">
        <f>Taulukko3[[#This Row],[Vieraskieliset (2023)]]*$P$9</f>
        <v>3479.2999999999997</v>
      </c>
      <c r="Q111" s="459"/>
      <c r="R111" s="530">
        <f t="shared" si="9"/>
        <v>166961.54669934534</v>
      </c>
    </row>
    <row r="112" spans="1:18">
      <c r="A112" s="474">
        <v>285</v>
      </c>
      <c r="B112" s="474" t="s">
        <v>110</v>
      </c>
      <c r="C112" s="459">
        <v>28188</v>
      </c>
      <c r="D112" s="459">
        <v>4155</v>
      </c>
      <c r="E112" s="459">
        <v>5330</v>
      </c>
      <c r="G112" s="523">
        <f>Taulukko3[[#This Row],[Väestö, 18-64-vuotiaat (2023)]]*Taulukko412[Perushinnat, €]</f>
        <v>2353134.2400000002</v>
      </c>
      <c r="H112" s="491">
        <f>Taulukko3[[#This Row],[Työttömät ja palveluissa olevat (2023)]]*Taulukko412[[ ]]</f>
        <v>3051141.1500000004</v>
      </c>
      <c r="I112" s="491">
        <f>Taulukko3[[#This Row],[Vieraskieliset (2023)]]*Taulukko412[[  ]]</f>
        <v>443669.19999999995</v>
      </c>
      <c r="J112" s="500">
        <f t="shared" si="6"/>
        <v>5847944.5900000008</v>
      </c>
      <c r="K112" s="491"/>
      <c r="L112" s="497">
        <f>'TE25 Palveluiden kustannusarvio'!U105</f>
        <v>3250240.674198756</v>
      </c>
      <c r="M112" s="458">
        <f t="shared" si="7"/>
        <v>-2923972.2950000004</v>
      </c>
      <c r="N112" s="500">
        <f t="shared" si="8"/>
        <v>326268.3791987556</v>
      </c>
      <c r="P112" s="503">
        <f>Taulukko3[[#This Row],[Vieraskieliset (2023)]]*$P$9</f>
        <v>168587.9</v>
      </c>
      <c r="Q112" s="459"/>
      <c r="R112" s="530">
        <f t="shared" si="9"/>
        <v>6342800.8691987563</v>
      </c>
    </row>
    <row r="113" spans="1:18">
      <c r="A113" s="474">
        <v>286</v>
      </c>
      <c r="B113" s="474" t="s">
        <v>111</v>
      </c>
      <c r="C113" s="459">
        <v>42941</v>
      </c>
      <c r="D113" s="459">
        <v>5254</v>
      </c>
      <c r="E113" s="459">
        <v>4125</v>
      </c>
      <c r="G113" s="523">
        <f>Taulukko3[[#This Row],[Väestö, 18-64-vuotiaat (2023)]]*Taulukko412[Perushinnat, €]</f>
        <v>3584714.68</v>
      </c>
      <c r="H113" s="491">
        <f>Taulukko3[[#This Row],[Työttömät ja palveluissa olevat (2023)]]*Taulukko412[[ ]]</f>
        <v>3858169.8200000003</v>
      </c>
      <c r="I113" s="491">
        <f>Taulukko3[[#This Row],[Vieraskieliset (2023)]]*Taulukko412[[  ]]</f>
        <v>343365</v>
      </c>
      <c r="J113" s="500">
        <f t="shared" si="6"/>
        <v>7786249.5</v>
      </c>
      <c r="K113" s="491"/>
      <c r="L113" s="497">
        <f>'TE25 Palveluiden kustannusarvio'!U106</f>
        <v>4309854.917447458</v>
      </c>
      <c r="M113" s="458">
        <f t="shared" si="7"/>
        <v>-3893124.75</v>
      </c>
      <c r="N113" s="500">
        <f t="shared" si="8"/>
        <v>416730.16744745802</v>
      </c>
      <c r="P113" s="503">
        <f>Taulukko3[[#This Row],[Vieraskieliset (2023)]]*$P$9</f>
        <v>130473.75</v>
      </c>
      <c r="Q113" s="459"/>
      <c r="R113" s="530">
        <f t="shared" si="9"/>
        <v>8333453.417447458</v>
      </c>
    </row>
    <row r="114" spans="1:18">
      <c r="A114" s="474">
        <v>287</v>
      </c>
      <c r="B114" s="474" t="s">
        <v>112</v>
      </c>
      <c r="C114" s="459">
        <v>2949</v>
      </c>
      <c r="D114" s="459">
        <v>252</v>
      </c>
      <c r="E114" s="459">
        <v>407</v>
      </c>
      <c r="G114" s="523">
        <f>Taulukko3[[#This Row],[Väestö, 18-64-vuotiaat (2023)]]*Taulukko412[Perushinnat, €]</f>
        <v>246182.52000000002</v>
      </c>
      <c r="H114" s="491">
        <f>Taulukko3[[#This Row],[Työttömät ja palveluissa olevat (2023)]]*Taulukko412[[ ]]</f>
        <v>185051.16</v>
      </c>
      <c r="I114" s="491">
        <f>Taulukko3[[#This Row],[Vieraskieliset (2023)]]*Taulukko412[[  ]]</f>
        <v>33878.68</v>
      </c>
      <c r="J114" s="500">
        <f t="shared" si="6"/>
        <v>465112.36000000004</v>
      </c>
      <c r="K114" s="491"/>
      <c r="L114" s="497">
        <f>'TE25 Palveluiden kustannusarvio'!U107</f>
        <v>221920.01540315137</v>
      </c>
      <c r="M114" s="458">
        <f t="shared" si="7"/>
        <v>-232556.18000000002</v>
      </c>
      <c r="N114" s="500">
        <f t="shared" si="8"/>
        <v>-10636.164596848655</v>
      </c>
      <c r="P114" s="503">
        <f>Taulukko3[[#This Row],[Vieraskieliset (2023)]]*$P$9</f>
        <v>12873.41</v>
      </c>
      <c r="Q114" s="459"/>
      <c r="R114" s="530">
        <f t="shared" si="9"/>
        <v>467349.60540315136</v>
      </c>
    </row>
    <row r="115" spans="1:18">
      <c r="A115" s="474">
        <v>288</v>
      </c>
      <c r="B115" s="474" t="s">
        <v>113</v>
      </c>
      <c r="C115" s="459">
        <v>3371</v>
      </c>
      <c r="D115" s="459">
        <v>203</v>
      </c>
      <c r="E115" s="459">
        <v>311</v>
      </c>
      <c r="G115" s="523">
        <f>Taulukko3[[#This Row],[Väestö, 18-64-vuotiaat (2023)]]*Taulukko412[Perushinnat, €]</f>
        <v>281411.08</v>
      </c>
      <c r="H115" s="491">
        <f>Taulukko3[[#This Row],[Työttömät ja palveluissa olevat (2023)]]*Taulukko412[[ ]]</f>
        <v>149068.99000000002</v>
      </c>
      <c r="I115" s="491">
        <f>Taulukko3[[#This Row],[Vieraskieliset (2023)]]*Taulukko412[[  ]]</f>
        <v>25887.64</v>
      </c>
      <c r="J115" s="500">
        <f t="shared" si="6"/>
        <v>456367.71000000008</v>
      </c>
      <c r="K115" s="491"/>
      <c r="L115" s="497">
        <f>'TE25 Palveluiden kustannusarvio'!U108</f>
        <v>159702.24632971158</v>
      </c>
      <c r="M115" s="458">
        <f t="shared" si="7"/>
        <v>-228183.85500000004</v>
      </c>
      <c r="N115" s="500">
        <f t="shared" si="8"/>
        <v>-68481.608670288464</v>
      </c>
      <c r="P115" s="503">
        <f>Taulukko3[[#This Row],[Vieraskieliset (2023)]]*$P$9</f>
        <v>9836.93</v>
      </c>
      <c r="Q115" s="459"/>
      <c r="R115" s="530">
        <f t="shared" si="9"/>
        <v>397723.03132971161</v>
      </c>
    </row>
    <row r="116" spans="1:18">
      <c r="A116" s="474">
        <v>290</v>
      </c>
      <c r="B116" s="474" t="s">
        <v>114</v>
      </c>
      <c r="C116" s="459">
        <v>3592</v>
      </c>
      <c r="D116" s="459">
        <v>450</v>
      </c>
      <c r="E116" s="459">
        <v>214</v>
      </c>
      <c r="G116" s="523">
        <f>Taulukko3[[#This Row],[Väestö, 18-64-vuotiaat (2023)]]*Taulukko412[Perushinnat, €]</f>
        <v>299860.16000000003</v>
      </c>
      <c r="H116" s="491">
        <f>Taulukko3[[#This Row],[Työttömät ja palveluissa olevat (2023)]]*Taulukko412[[ ]]</f>
        <v>330448.5</v>
      </c>
      <c r="I116" s="491">
        <f>Taulukko3[[#This Row],[Vieraskieliset (2023)]]*Taulukko412[[  ]]</f>
        <v>17813.36</v>
      </c>
      <c r="J116" s="500">
        <f t="shared" si="6"/>
        <v>648122.02</v>
      </c>
      <c r="K116" s="491"/>
      <c r="L116" s="497">
        <f>'TE25 Palveluiden kustannusarvio'!U109</f>
        <v>450707.13419663347</v>
      </c>
      <c r="M116" s="458">
        <f t="shared" si="7"/>
        <v>-324061.01</v>
      </c>
      <c r="N116" s="500">
        <f t="shared" si="8"/>
        <v>126646.12419663346</v>
      </c>
      <c r="P116" s="503">
        <f>Taulukko3[[#This Row],[Vieraskieliset (2023)]]*$P$9</f>
        <v>6768.82</v>
      </c>
      <c r="Q116" s="459"/>
      <c r="R116" s="530">
        <f t="shared" si="9"/>
        <v>781536.96419663343</v>
      </c>
    </row>
    <row r="117" spans="1:18">
      <c r="A117" s="474">
        <v>291</v>
      </c>
      <c r="B117" s="474" t="s">
        <v>115</v>
      </c>
      <c r="C117" s="459">
        <v>909</v>
      </c>
      <c r="D117" s="459">
        <v>104</v>
      </c>
      <c r="E117" s="459">
        <v>50</v>
      </c>
      <c r="G117" s="523">
        <f>Taulukko3[[#This Row],[Väestö, 18-64-vuotiaat (2023)]]*Taulukko412[Perushinnat, €]</f>
        <v>75883.320000000007</v>
      </c>
      <c r="H117" s="491">
        <f>Taulukko3[[#This Row],[Työttömät ja palveluissa olevat (2023)]]*Taulukko412[[ ]]</f>
        <v>76370.320000000007</v>
      </c>
      <c r="I117" s="491">
        <f>Taulukko3[[#This Row],[Vieraskieliset (2023)]]*Taulukko412[[  ]]</f>
        <v>4162</v>
      </c>
      <c r="J117" s="500">
        <f t="shared" si="6"/>
        <v>156415.64000000001</v>
      </c>
      <c r="K117" s="491"/>
      <c r="L117" s="497">
        <f>'TE25 Palveluiden kustannusarvio'!U110</f>
        <v>62971.557696248943</v>
      </c>
      <c r="M117" s="458">
        <f t="shared" si="7"/>
        <v>-78207.820000000007</v>
      </c>
      <c r="N117" s="500">
        <f t="shared" si="8"/>
        <v>-15236.262303751064</v>
      </c>
      <c r="P117" s="503">
        <f>Taulukko3[[#This Row],[Vieraskieliset (2023)]]*$P$9</f>
        <v>1581.5</v>
      </c>
      <c r="Q117" s="459"/>
      <c r="R117" s="530">
        <f t="shared" si="9"/>
        <v>142760.87769624894</v>
      </c>
    </row>
    <row r="118" spans="1:18">
      <c r="A118" s="474">
        <v>297</v>
      </c>
      <c r="B118" s="474" t="s">
        <v>116</v>
      </c>
      <c r="C118" s="459">
        <v>75100</v>
      </c>
      <c r="D118" s="459">
        <v>7905</v>
      </c>
      <c r="E118" s="459">
        <v>7029</v>
      </c>
      <c r="G118" s="523">
        <f>Taulukko3[[#This Row],[Väestö, 18-64-vuotiaat (2023)]]*Taulukko412[Perushinnat, €]</f>
        <v>6269348</v>
      </c>
      <c r="H118" s="491">
        <f>Taulukko3[[#This Row],[Työttömät ja palveluissa olevat (2023)]]*Taulukko412[[ ]]</f>
        <v>5804878.6500000004</v>
      </c>
      <c r="I118" s="491">
        <f>Taulukko3[[#This Row],[Vieraskieliset (2023)]]*Taulukko412[[  ]]</f>
        <v>585093.96</v>
      </c>
      <c r="J118" s="500">
        <f t="shared" si="6"/>
        <v>12659320.609999999</v>
      </c>
      <c r="K118" s="491"/>
      <c r="L118" s="497">
        <f>'TE25 Palveluiden kustannusarvio'!U111</f>
        <v>5769786.851199815</v>
      </c>
      <c r="M118" s="458">
        <f t="shared" si="7"/>
        <v>-6329660.3049999997</v>
      </c>
      <c r="N118" s="500">
        <f t="shared" si="8"/>
        <v>-559873.45380018465</v>
      </c>
      <c r="P118" s="503">
        <f>Taulukko3[[#This Row],[Vieraskieliset (2023)]]*$P$9</f>
        <v>222327.27</v>
      </c>
      <c r="Q118" s="459"/>
      <c r="R118" s="530">
        <f t="shared" si="9"/>
        <v>12321774.426199814</v>
      </c>
    </row>
    <row r="119" spans="1:18">
      <c r="A119" s="474">
        <v>300</v>
      </c>
      <c r="B119" s="474" t="s">
        <v>117</v>
      </c>
      <c r="C119" s="459">
        <v>1654</v>
      </c>
      <c r="D119" s="459">
        <v>93</v>
      </c>
      <c r="E119" s="459">
        <v>75</v>
      </c>
      <c r="G119" s="523">
        <f>Taulukko3[[#This Row],[Väestö, 18-64-vuotiaat (2023)]]*Taulukko412[Perushinnat, €]</f>
        <v>138075.92000000001</v>
      </c>
      <c r="H119" s="491">
        <f>Taulukko3[[#This Row],[Työttömät ja palveluissa olevat (2023)]]*Taulukko412[[ ]]</f>
        <v>68292.69</v>
      </c>
      <c r="I119" s="491">
        <f>Taulukko3[[#This Row],[Vieraskieliset (2023)]]*Taulukko412[[  ]]</f>
        <v>6243</v>
      </c>
      <c r="J119" s="500">
        <f t="shared" si="6"/>
        <v>212611.61000000002</v>
      </c>
      <c r="K119" s="491"/>
      <c r="L119" s="497">
        <f>'TE25 Palveluiden kustannusarvio'!U112</f>
        <v>94246.765330547962</v>
      </c>
      <c r="M119" s="458">
        <f t="shared" si="7"/>
        <v>-106305.80500000001</v>
      </c>
      <c r="N119" s="500">
        <f t="shared" si="8"/>
        <v>-12059.039669452046</v>
      </c>
      <c r="P119" s="503">
        <f>Taulukko3[[#This Row],[Vieraskieliset (2023)]]*$P$9</f>
        <v>2372.25</v>
      </c>
      <c r="Q119" s="459"/>
      <c r="R119" s="530">
        <f t="shared" si="9"/>
        <v>202924.82033054798</v>
      </c>
    </row>
    <row r="120" spans="1:18">
      <c r="A120" s="474">
        <v>301</v>
      </c>
      <c r="B120" s="474" t="s">
        <v>118</v>
      </c>
      <c r="C120" s="459">
        <v>9970</v>
      </c>
      <c r="D120" s="459">
        <v>901</v>
      </c>
      <c r="E120" s="459">
        <v>580</v>
      </c>
      <c r="G120" s="523">
        <f>Taulukko3[[#This Row],[Väestö, 18-64-vuotiaat (2023)]]*Taulukko412[Perushinnat, €]</f>
        <v>832295.60000000009</v>
      </c>
      <c r="H120" s="491">
        <f>Taulukko3[[#This Row],[Työttömät ja palveluissa olevat (2023)]]*Taulukko412[[ ]]</f>
        <v>661631.33000000007</v>
      </c>
      <c r="I120" s="491">
        <f>Taulukko3[[#This Row],[Vieraskieliset (2023)]]*Taulukko412[[  ]]</f>
        <v>48279.199999999997</v>
      </c>
      <c r="J120" s="500">
        <f t="shared" si="6"/>
        <v>1542206.1300000001</v>
      </c>
      <c r="K120" s="491"/>
      <c r="L120" s="497">
        <f>'TE25 Palveluiden kustannusarvio'!U113</f>
        <v>907125.05266039004</v>
      </c>
      <c r="M120" s="458">
        <f t="shared" si="7"/>
        <v>-771103.06500000006</v>
      </c>
      <c r="N120" s="500">
        <f t="shared" si="8"/>
        <v>136021.98766038998</v>
      </c>
      <c r="P120" s="503">
        <f>Taulukko3[[#This Row],[Vieraskieliset (2023)]]*$P$9</f>
        <v>18345.399999999998</v>
      </c>
      <c r="Q120" s="459"/>
      <c r="R120" s="530">
        <f t="shared" si="9"/>
        <v>1696573.5176603901</v>
      </c>
    </row>
    <row r="121" spans="1:18">
      <c r="A121" s="474">
        <v>304</v>
      </c>
      <c r="B121" s="474" t="s">
        <v>119</v>
      </c>
      <c r="C121" s="459">
        <v>459</v>
      </c>
      <c r="D121" s="459">
        <v>44</v>
      </c>
      <c r="E121" s="459">
        <v>47</v>
      </c>
      <c r="G121" s="523">
        <f>Taulukko3[[#This Row],[Väestö, 18-64-vuotiaat (2023)]]*Taulukko412[Perushinnat, €]</f>
        <v>38317.32</v>
      </c>
      <c r="H121" s="491">
        <f>Taulukko3[[#This Row],[Työttömät ja palveluissa olevat (2023)]]*Taulukko412[[ ]]</f>
        <v>32310.52</v>
      </c>
      <c r="I121" s="491">
        <f>Taulukko3[[#This Row],[Vieraskieliset (2023)]]*Taulukko412[[  ]]</f>
        <v>3912.2799999999997</v>
      </c>
      <c r="J121" s="500">
        <f t="shared" si="6"/>
        <v>74540.12</v>
      </c>
      <c r="K121" s="491"/>
      <c r="L121" s="497">
        <f>'TE25 Palveluiden kustannusarvio'!U114</f>
        <v>56658.54043608121</v>
      </c>
      <c r="M121" s="458">
        <f t="shared" si="7"/>
        <v>-37270.06</v>
      </c>
      <c r="N121" s="500">
        <f t="shared" si="8"/>
        <v>19388.480436081212</v>
      </c>
      <c r="P121" s="503">
        <f>Taulukko3[[#This Row],[Vieraskieliset (2023)]]*$P$9</f>
        <v>1486.61</v>
      </c>
      <c r="Q121" s="459"/>
      <c r="R121" s="530">
        <f t="shared" si="9"/>
        <v>95415.210436081208</v>
      </c>
    </row>
    <row r="122" spans="1:18">
      <c r="A122" s="474">
        <v>305</v>
      </c>
      <c r="B122" s="474" t="s">
        <v>120</v>
      </c>
      <c r="C122" s="459">
        <v>7791</v>
      </c>
      <c r="D122" s="459">
        <v>973</v>
      </c>
      <c r="E122" s="459">
        <v>595</v>
      </c>
      <c r="G122" s="523">
        <f>Taulukko3[[#This Row],[Väestö, 18-64-vuotiaat (2023)]]*Taulukko412[Perushinnat, €]</f>
        <v>650392.68000000005</v>
      </c>
      <c r="H122" s="491">
        <f>Taulukko3[[#This Row],[Työttömät ja palveluissa olevat (2023)]]*Taulukko412[[ ]]</f>
        <v>714503.09000000008</v>
      </c>
      <c r="I122" s="491">
        <f>Taulukko3[[#This Row],[Vieraskieliset (2023)]]*Taulukko412[[  ]]</f>
        <v>49527.799999999996</v>
      </c>
      <c r="J122" s="500">
        <f t="shared" si="6"/>
        <v>1414423.57</v>
      </c>
      <c r="K122" s="491"/>
      <c r="L122" s="497">
        <f>'TE25 Palveluiden kustannusarvio'!U115</f>
        <v>811018.71500169137</v>
      </c>
      <c r="M122" s="458">
        <f t="shared" si="7"/>
        <v>-707211.78500000003</v>
      </c>
      <c r="N122" s="500">
        <f t="shared" si="8"/>
        <v>103806.93000169133</v>
      </c>
      <c r="P122" s="503">
        <f>Taulukko3[[#This Row],[Vieraskieliset (2023)]]*$P$9</f>
        <v>18819.849999999999</v>
      </c>
      <c r="Q122" s="459"/>
      <c r="R122" s="530">
        <f t="shared" si="9"/>
        <v>1537050.3500016914</v>
      </c>
    </row>
    <row r="123" spans="1:18">
      <c r="A123" s="474">
        <v>309</v>
      </c>
      <c r="B123" s="474" t="s">
        <v>121</v>
      </c>
      <c r="C123" s="459">
        <v>3175</v>
      </c>
      <c r="D123" s="459">
        <v>633</v>
      </c>
      <c r="E123" s="459">
        <v>414</v>
      </c>
      <c r="G123" s="523">
        <f>Taulukko3[[#This Row],[Väestö, 18-64-vuotiaat (2023)]]*Taulukko412[Perushinnat, €]</f>
        <v>265049</v>
      </c>
      <c r="H123" s="491">
        <f>Taulukko3[[#This Row],[Työttömät ja palveluissa olevat (2023)]]*Taulukko412[[ ]]</f>
        <v>464830.89</v>
      </c>
      <c r="I123" s="491">
        <f>Taulukko3[[#This Row],[Vieraskieliset (2023)]]*Taulukko412[[  ]]</f>
        <v>34461.360000000001</v>
      </c>
      <c r="J123" s="500">
        <f t="shared" si="6"/>
        <v>764341.25</v>
      </c>
      <c r="K123" s="491"/>
      <c r="L123" s="497">
        <f>'TE25 Palveluiden kustannusarvio'!U116</f>
        <v>575869.51710974216</v>
      </c>
      <c r="M123" s="458">
        <f t="shared" si="7"/>
        <v>-382170.625</v>
      </c>
      <c r="N123" s="500">
        <f t="shared" si="8"/>
        <v>193698.89210974216</v>
      </c>
      <c r="P123" s="503">
        <f>Taulukko3[[#This Row],[Vieraskieliset (2023)]]*$P$9</f>
        <v>13094.82</v>
      </c>
      <c r="Q123" s="459"/>
      <c r="R123" s="530">
        <f t="shared" si="9"/>
        <v>971134.9621097421</v>
      </c>
    </row>
    <row r="124" spans="1:18">
      <c r="A124" s="474">
        <v>312</v>
      </c>
      <c r="B124" s="474" t="s">
        <v>122</v>
      </c>
      <c r="C124" s="459">
        <v>503</v>
      </c>
      <c r="D124" s="459">
        <v>54</v>
      </c>
      <c r="E124" s="459">
        <v>31</v>
      </c>
      <c r="G124" s="523">
        <f>Taulukko3[[#This Row],[Väestö, 18-64-vuotiaat (2023)]]*Taulukko412[Perushinnat, €]</f>
        <v>41990.44</v>
      </c>
      <c r="H124" s="491">
        <f>Taulukko3[[#This Row],[Työttömät ja palveluissa olevat (2023)]]*Taulukko412[[ ]]</f>
        <v>39653.82</v>
      </c>
      <c r="I124" s="491">
        <f>Taulukko3[[#This Row],[Vieraskieliset (2023)]]*Taulukko412[[  ]]</f>
        <v>2580.44</v>
      </c>
      <c r="J124" s="500">
        <f t="shared" si="6"/>
        <v>84224.700000000012</v>
      </c>
      <c r="K124" s="491"/>
      <c r="L124" s="497">
        <f>'TE25 Palveluiden kustannusarvio'!U117</f>
        <v>35561.583317379693</v>
      </c>
      <c r="M124" s="458">
        <f t="shared" si="7"/>
        <v>-42112.350000000006</v>
      </c>
      <c r="N124" s="500">
        <f t="shared" si="8"/>
        <v>-6550.7666826203131</v>
      </c>
      <c r="P124" s="503">
        <f>Taulukko3[[#This Row],[Vieraskieliset (2023)]]*$P$9</f>
        <v>980.53</v>
      </c>
      <c r="Q124" s="459"/>
      <c r="R124" s="530">
        <f t="shared" si="9"/>
        <v>78654.463317379705</v>
      </c>
    </row>
    <row r="125" spans="1:18">
      <c r="A125" s="474">
        <v>316</v>
      </c>
      <c r="B125" s="474" t="s">
        <v>123</v>
      </c>
      <c r="C125" s="459">
        <v>2262</v>
      </c>
      <c r="D125" s="459">
        <v>280</v>
      </c>
      <c r="E125" s="459">
        <v>192</v>
      </c>
      <c r="G125" s="523">
        <f>Taulukko3[[#This Row],[Väestö, 18-64-vuotiaat (2023)]]*Taulukko412[Perushinnat, €]</f>
        <v>188831.76</v>
      </c>
      <c r="H125" s="491">
        <f>Taulukko3[[#This Row],[Työttömät ja palveluissa olevat (2023)]]*Taulukko412[[ ]]</f>
        <v>205612.40000000002</v>
      </c>
      <c r="I125" s="491">
        <f>Taulukko3[[#This Row],[Vieraskieliset (2023)]]*Taulukko412[[  ]]</f>
        <v>15982.079999999998</v>
      </c>
      <c r="J125" s="500">
        <f t="shared" si="6"/>
        <v>410426.24000000005</v>
      </c>
      <c r="K125" s="491"/>
      <c r="L125" s="497">
        <f>'TE25 Palveluiden kustannusarvio'!U118</f>
        <v>295325.26354987564</v>
      </c>
      <c r="M125" s="458">
        <f t="shared" si="7"/>
        <v>-205213.12000000002</v>
      </c>
      <c r="N125" s="500">
        <f t="shared" si="8"/>
        <v>90112.143549875618</v>
      </c>
      <c r="P125" s="503">
        <f>Taulukko3[[#This Row],[Vieraskieliset (2023)]]*$P$9</f>
        <v>6072.96</v>
      </c>
      <c r="Q125" s="459"/>
      <c r="R125" s="530">
        <f t="shared" si="9"/>
        <v>506611.34354987572</v>
      </c>
    </row>
    <row r="126" spans="1:18">
      <c r="A126" s="474">
        <v>317</v>
      </c>
      <c r="B126" s="474" t="s">
        <v>124</v>
      </c>
      <c r="C126" s="459">
        <v>1174</v>
      </c>
      <c r="D126" s="459">
        <v>132</v>
      </c>
      <c r="E126" s="459">
        <v>39</v>
      </c>
      <c r="G126" s="523">
        <f>Taulukko3[[#This Row],[Väestö, 18-64-vuotiaat (2023)]]*Taulukko412[Perushinnat, €]</f>
        <v>98005.52</v>
      </c>
      <c r="H126" s="491">
        <f>Taulukko3[[#This Row],[Työttömät ja palveluissa olevat (2023)]]*Taulukko412[[ ]]</f>
        <v>96931.560000000012</v>
      </c>
      <c r="I126" s="491">
        <f>Taulukko3[[#This Row],[Vieraskieliset (2023)]]*Taulukko412[[  ]]</f>
        <v>3246.3599999999997</v>
      </c>
      <c r="J126" s="500">
        <f t="shared" si="6"/>
        <v>198183.44</v>
      </c>
      <c r="K126" s="491"/>
      <c r="L126" s="497">
        <f>'TE25 Palveluiden kustannusarvio'!U119</f>
        <v>110524.51087016556</v>
      </c>
      <c r="M126" s="458">
        <f t="shared" si="7"/>
        <v>-99091.72</v>
      </c>
      <c r="N126" s="500">
        <f t="shared" si="8"/>
        <v>11432.790870165554</v>
      </c>
      <c r="P126" s="503">
        <f>Taulukko3[[#This Row],[Vieraskieliset (2023)]]*$P$9</f>
        <v>1233.57</v>
      </c>
      <c r="Q126" s="459"/>
      <c r="R126" s="530">
        <f t="shared" si="9"/>
        <v>210849.80087016558</v>
      </c>
    </row>
    <row r="127" spans="1:18">
      <c r="A127" s="474">
        <v>320</v>
      </c>
      <c r="B127" s="474" t="s">
        <v>125</v>
      </c>
      <c r="C127" s="459">
        <v>3265</v>
      </c>
      <c r="D127" s="459">
        <v>570</v>
      </c>
      <c r="E127" s="459">
        <v>280</v>
      </c>
      <c r="G127" s="523">
        <f>Taulukko3[[#This Row],[Väestö, 18-64-vuotiaat (2023)]]*Taulukko412[Perushinnat, €]</f>
        <v>272562.2</v>
      </c>
      <c r="H127" s="491">
        <f>Taulukko3[[#This Row],[Työttömät ja palveluissa olevat (2023)]]*Taulukko412[[ ]]</f>
        <v>418568.10000000003</v>
      </c>
      <c r="I127" s="491">
        <f>Taulukko3[[#This Row],[Vieraskieliset (2023)]]*Taulukko412[[  ]]</f>
        <v>23307.199999999997</v>
      </c>
      <c r="J127" s="500">
        <f t="shared" si="6"/>
        <v>714437.5</v>
      </c>
      <c r="K127" s="491"/>
      <c r="L127" s="497">
        <f>'TE25 Palveluiden kustannusarvio'!U120</f>
        <v>467729.30808518734</v>
      </c>
      <c r="M127" s="458">
        <f t="shared" si="7"/>
        <v>-357218.75</v>
      </c>
      <c r="N127" s="500">
        <f t="shared" si="8"/>
        <v>110510.55808518734</v>
      </c>
      <c r="P127" s="503">
        <f>Taulukko3[[#This Row],[Vieraskieliset (2023)]]*$P$9</f>
        <v>8856.4</v>
      </c>
      <c r="Q127" s="459"/>
      <c r="R127" s="530">
        <f t="shared" si="9"/>
        <v>833804.45808518736</v>
      </c>
    </row>
    <row r="128" spans="1:18">
      <c r="A128" s="474">
        <v>322</v>
      </c>
      <c r="B128" s="474" t="s">
        <v>126</v>
      </c>
      <c r="C128" s="459">
        <v>3191</v>
      </c>
      <c r="D128" s="459">
        <v>273</v>
      </c>
      <c r="E128" s="459">
        <v>240</v>
      </c>
      <c r="G128" s="523">
        <f>Taulukko3[[#This Row],[Väestö, 18-64-vuotiaat (2023)]]*Taulukko412[Perushinnat, €]</f>
        <v>266384.68</v>
      </c>
      <c r="H128" s="491">
        <f>Taulukko3[[#This Row],[Työttömät ja palveluissa olevat (2023)]]*Taulukko412[[ ]]</f>
        <v>200472.09000000003</v>
      </c>
      <c r="I128" s="491">
        <f>Taulukko3[[#This Row],[Vieraskieliset (2023)]]*Taulukko412[[  ]]</f>
        <v>19977.599999999999</v>
      </c>
      <c r="J128" s="500">
        <f t="shared" si="6"/>
        <v>486834.37</v>
      </c>
      <c r="K128" s="491"/>
      <c r="L128" s="497">
        <f>'TE25 Palveluiden kustannusarvio'!U121</f>
        <v>259399.40554844018</v>
      </c>
      <c r="M128" s="458">
        <f t="shared" si="7"/>
        <v>-243417.185</v>
      </c>
      <c r="N128" s="500">
        <f t="shared" si="8"/>
        <v>15982.220548440178</v>
      </c>
      <c r="P128" s="503">
        <f>Taulukko3[[#This Row],[Vieraskieliset (2023)]]*$P$9</f>
        <v>7591.2</v>
      </c>
      <c r="Q128" s="459"/>
      <c r="R128" s="530">
        <f t="shared" si="9"/>
        <v>510407.79054844019</v>
      </c>
    </row>
    <row r="129" spans="1:18">
      <c r="A129" s="474">
        <v>398</v>
      </c>
      <c r="B129" s="474" t="s">
        <v>127</v>
      </c>
      <c r="C129" s="459">
        <v>69442</v>
      </c>
      <c r="D129" s="459">
        <v>10240</v>
      </c>
      <c r="E129" s="459">
        <v>11259</v>
      </c>
      <c r="G129" s="523">
        <f>Taulukko3[[#This Row],[Väestö, 18-64-vuotiaat (2023)]]*Taulukko412[Perushinnat, €]</f>
        <v>5797018.1600000001</v>
      </c>
      <c r="H129" s="491">
        <f>Taulukko3[[#This Row],[Työttömät ja palveluissa olevat (2023)]]*Taulukko412[[ ]]</f>
        <v>7519539.2000000002</v>
      </c>
      <c r="I129" s="491">
        <f>Taulukko3[[#This Row],[Vieraskieliset (2023)]]*Taulukko412[[  ]]</f>
        <v>937199.15999999992</v>
      </c>
      <c r="J129" s="500">
        <f t="shared" si="6"/>
        <v>14253756.52</v>
      </c>
      <c r="K129" s="491"/>
      <c r="L129" s="497">
        <f>'TE25 Palveluiden kustannusarvio'!U122</f>
        <v>8194044.0977809792</v>
      </c>
      <c r="M129" s="458">
        <f t="shared" si="7"/>
        <v>-7126878.2599999998</v>
      </c>
      <c r="N129" s="500">
        <f t="shared" si="8"/>
        <v>1067165.8377809795</v>
      </c>
      <c r="P129" s="503">
        <f>Taulukko3[[#This Row],[Vieraskieliset (2023)]]*$P$9</f>
        <v>356122.17</v>
      </c>
      <c r="Q129" s="459"/>
      <c r="R129" s="530">
        <f t="shared" si="9"/>
        <v>15677044.527780978</v>
      </c>
    </row>
    <row r="130" spans="1:18">
      <c r="A130" s="474">
        <v>399</v>
      </c>
      <c r="B130" s="474" t="s">
        <v>128</v>
      </c>
      <c r="C130" s="459">
        <v>4032</v>
      </c>
      <c r="D130" s="459">
        <v>263</v>
      </c>
      <c r="E130" s="459">
        <v>142</v>
      </c>
      <c r="G130" s="523">
        <f>Taulukko3[[#This Row],[Väestö, 18-64-vuotiaat (2023)]]*Taulukko412[Perushinnat, €]</f>
        <v>336591.36000000004</v>
      </c>
      <c r="H130" s="491">
        <f>Taulukko3[[#This Row],[Työttömät ja palveluissa olevat (2023)]]*Taulukko412[[ ]]</f>
        <v>193128.79</v>
      </c>
      <c r="I130" s="491">
        <f>Taulukko3[[#This Row],[Vieraskieliset (2023)]]*Taulukko412[[  ]]</f>
        <v>11820.08</v>
      </c>
      <c r="J130" s="500">
        <f t="shared" si="6"/>
        <v>541540.23</v>
      </c>
      <c r="K130" s="491"/>
      <c r="L130" s="497">
        <f>'TE25 Palveluiden kustannusarvio'!U123</f>
        <v>253992.74660529773</v>
      </c>
      <c r="M130" s="458">
        <f t="shared" si="7"/>
        <v>-270770.11499999999</v>
      </c>
      <c r="N130" s="500">
        <f t="shared" si="8"/>
        <v>-16777.368394702266</v>
      </c>
      <c r="P130" s="503">
        <f>Taulukko3[[#This Row],[Vieraskieliset (2023)]]*$P$9</f>
        <v>4491.46</v>
      </c>
      <c r="Q130" s="459"/>
      <c r="R130" s="530">
        <f t="shared" si="9"/>
        <v>529254.32160529774</v>
      </c>
    </row>
    <row r="131" spans="1:18">
      <c r="A131" s="474">
        <v>400</v>
      </c>
      <c r="B131" s="474" t="s">
        <v>129</v>
      </c>
      <c r="C131" s="459">
        <v>4609</v>
      </c>
      <c r="D131" s="459">
        <v>449</v>
      </c>
      <c r="E131" s="459">
        <v>1005</v>
      </c>
      <c r="G131" s="523">
        <f>Taulukko3[[#This Row],[Väestö, 18-64-vuotiaat (2023)]]*Taulukko412[Perushinnat, €]</f>
        <v>384759.32</v>
      </c>
      <c r="H131" s="491">
        <f>Taulukko3[[#This Row],[Työttömät ja palveluissa olevat (2023)]]*Taulukko412[[ ]]</f>
        <v>329714.17000000004</v>
      </c>
      <c r="I131" s="491">
        <f>Taulukko3[[#This Row],[Vieraskieliset (2023)]]*Taulukko412[[  ]]</f>
        <v>83656.2</v>
      </c>
      <c r="J131" s="500">
        <f t="shared" si="6"/>
        <v>798129.69</v>
      </c>
      <c r="K131" s="491"/>
      <c r="L131" s="497">
        <f>'TE25 Palveluiden kustannusarvio'!U124</f>
        <v>436346.8424511734</v>
      </c>
      <c r="M131" s="458">
        <f t="shared" si="7"/>
        <v>-399064.84499999997</v>
      </c>
      <c r="N131" s="500">
        <f t="shared" si="8"/>
        <v>37281.997451173433</v>
      </c>
      <c r="P131" s="503">
        <f>Taulukko3[[#This Row],[Vieraskieliset (2023)]]*$P$9</f>
        <v>31788.149999999998</v>
      </c>
      <c r="Q131" s="459"/>
      <c r="R131" s="530">
        <f t="shared" si="9"/>
        <v>867199.83745117334</v>
      </c>
    </row>
    <row r="132" spans="1:18">
      <c r="A132" s="474">
        <v>402</v>
      </c>
      <c r="B132" s="474" t="s">
        <v>130</v>
      </c>
      <c r="C132" s="459">
        <v>4699</v>
      </c>
      <c r="D132" s="459">
        <v>583</v>
      </c>
      <c r="E132" s="459">
        <v>257</v>
      </c>
      <c r="G132" s="523">
        <f>Taulukko3[[#This Row],[Väestö, 18-64-vuotiaat (2023)]]*Taulukko412[Perushinnat, €]</f>
        <v>392272.52</v>
      </c>
      <c r="H132" s="491">
        <f>Taulukko3[[#This Row],[Työttömät ja palveluissa olevat (2023)]]*Taulukko412[[ ]]</f>
        <v>428114.39</v>
      </c>
      <c r="I132" s="491">
        <f>Taulukko3[[#This Row],[Vieraskieliset (2023)]]*Taulukko412[[  ]]</f>
        <v>21392.68</v>
      </c>
      <c r="J132" s="500">
        <f t="shared" si="6"/>
        <v>841779.59000000008</v>
      </c>
      <c r="K132" s="491"/>
      <c r="L132" s="497">
        <f>'TE25 Palveluiden kustannusarvio'!U125</f>
        <v>469312.27994657465</v>
      </c>
      <c r="M132" s="458">
        <f t="shared" si="7"/>
        <v>-420889.79500000004</v>
      </c>
      <c r="N132" s="500">
        <f t="shared" si="8"/>
        <v>48422.484946574608</v>
      </c>
      <c r="P132" s="503">
        <f>Taulukko3[[#This Row],[Vieraskieliset (2023)]]*$P$9</f>
        <v>8128.91</v>
      </c>
      <c r="Q132" s="459"/>
      <c r="R132" s="530">
        <f t="shared" si="9"/>
        <v>898330.98494657467</v>
      </c>
    </row>
    <row r="133" spans="1:18">
      <c r="A133" s="474">
        <v>403</v>
      </c>
      <c r="B133" s="474" t="s">
        <v>131</v>
      </c>
      <c r="C133" s="459">
        <v>1256</v>
      </c>
      <c r="D133" s="459">
        <v>99</v>
      </c>
      <c r="E133" s="459">
        <v>166</v>
      </c>
      <c r="G133" s="523">
        <f>Taulukko3[[#This Row],[Väestö, 18-64-vuotiaat (2023)]]*Taulukko412[Perushinnat, €]</f>
        <v>104850.88</v>
      </c>
      <c r="H133" s="491">
        <f>Taulukko3[[#This Row],[Työttömät ja palveluissa olevat (2023)]]*Taulukko412[[ ]]</f>
        <v>72698.67</v>
      </c>
      <c r="I133" s="491">
        <f>Taulukko3[[#This Row],[Vieraskieliset (2023)]]*Taulukko412[[  ]]</f>
        <v>13817.839999999998</v>
      </c>
      <c r="J133" s="500">
        <f t="shared" si="6"/>
        <v>191367.38999999998</v>
      </c>
      <c r="K133" s="491"/>
      <c r="L133" s="497">
        <f>'TE25 Palveluiden kustannusarvio'!U126</f>
        <v>94930.791254424126</v>
      </c>
      <c r="M133" s="458">
        <f t="shared" si="7"/>
        <v>-95683.694999999992</v>
      </c>
      <c r="N133" s="500">
        <f t="shared" si="8"/>
        <v>-752.9037455758662</v>
      </c>
      <c r="P133" s="503">
        <f>Taulukko3[[#This Row],[Vieraskieliset (2023)]]*$P$9</f>
        <v>5250.58</v>
      </c>
      <c r="Q133" s="459"/>
      <c r="R133" s="530">
        <f t="shared" si="9"/>
        <v>195865.06625442411</v>
      </c>
    </row>
    <row r="134" spans="1:18">
      <c r="A134" s="474">
        <v>405</v>
      </c>
      <c r="B134" s="474" t="s">
        <v>132</v>
      </c>
      <c r="C134" s="459">
        <v>42925</v>
      </c>
      <c r="D134" s="459">
        <v>5078</v>
      </c>
      <c r="E134" s="459">
        <v>7228</v>
      </c>
      <c r="G134" s="523">
        <f>Taulukko3[[#This Row],[Väestö, 18-64-vuotiaat (2023)]]*Taulukko412[Perushinnat, €]</f>
        <v>3583379</v>
      </c>
      <c r="H134" s="491">
        <f>Taulukko3[[#This Row],[Työttömät ja palveluissa olevat (2023)]]*Taulukko412[[ ]]</f>
        <v>3728927.74</v>
      </c>
      <c r="I134" s="491">
        <f>Taulukko3[[#This Row],[Vieraskieliset (2023)]]*Taulukko412[[  ]]</f>
        <v>601658.72</v>
      </c>
      <c r="J134" s="500">
        <f t="shared" si="6"/>
        <v>7913965.46</v>
      </c>
      <c r="K134" s="491"/>
      <c r="L134" s="497">
        <f>'TE25 Palveluiden kustannusarvio'!U127</f>
        <v>4300658.389887712</v>
      </c>
      <c r="M134" s="458">
        <f t="shared" si="7"/>
        <v>-3956982.73</v>
      </c>
      <c r="N134" s="500">
        <f t="shared" si="8"/>
        <v>343675.65988771198</v>
      </c>
      <c r="P134" s="503">
        <f>Taulukko3[[#This Row],[Vieraskieliset (2023)]]*$P$9</f>
        <v>228621.63999999998</v>
      </c>
      <c r="Q134" s="459"/>
      <c r="R134" s="530">
        <f t="shared" si="9"/>
        <v>8486262.7598877121</v>
      </c>
    </row>
    <row r="135" spans="1:18">
      <c r="A135" s="474">
        <v>407</v>
      </c>
      <c r="B135" s="474" t="s">
        <v>133</v>
      </c>
      <c r="C135" s="459">
        <v>1284</v>
      </c>
      <c r="D135" s="459">
        <v>134</v>
      </c>
      <c r="E135" s="459">
        <v>172</v>
      </c>
      <c r="G135" s="523">
        <f>Taulukko3[[#This Row],[Väestö, 18-64-vuotiaat (2023)]]*Taulukko412[Perushinnat, €]</f>
        <v>107188.32</v>
      </c>
      <c r="H135" s="491">
        <f>Taulukko3[[#This Row],[Työttömät ja palveluissa olevat (2023)]]*Taulukko412[[ ]]</f>
        <v>98400.22</v>
      </c>
      <c r="I135" s="491">
        <f>Taulukko3[[#This Row],[Vieraskieliset (2023)]]*Taulukko412[[  ]]</f>
        <v>14317.279999999999</v>
      </c>
      <c r="J135" s="500">
        <f t="shared" si="6"/>
        <v>219905.82</v>
      </c>
      <c r="K135" s="491"/>
      <c r="L135" s="497">
        <f>'TE25 Palveluiden kustannusarvio'!U128</f>
        <v>117697.52142941527</v>
      </c>
      <c r="M135" s="458">
        <f t="shared" si="7"/>
        <v>-109952.91</v>
      </c>
      <c r="N135" s="500">
        <f t="shared" si="8"/>
        <v>7744.6114294152649</v>
      </c>
      <c r="P135" s="503">
        <f>Taulukko3[[#This Row],[Vieraskieliset (2023)]]*$P$9</f>
        <v>5440.36</v>
      </c>
      <c r="Q135" s="459"/>
      <c r="R135" s="530">
        <f t="shared" si="9"/>
        <v>233090.79142941526</v>
      </c>
    </row>
    <row r="136" spans="1:18">
      <c r="A136" s="474">
        <v>408</v>
      </c>
      <c r="B136" s="474" t="s">
        <v>134</v>
      </c>
      <c r="C136" s="459">
        <v>7544</v>
      </c>
      <c r="D136" s="459">
        <v>605</v>
      </c>
      <c r="E136" s="459">
        <v>545</v>
      </c>
      <c r="G136" s="523">
        <f>Taulukko3[[#This Row],[Väestö, 18-64-vuotiaat (2023)]]*Taulukko412[Perushinnat, €]</f>
        <v>629773.12</v>
      </c>
      <c r="H136" s="491">
        <f>Taulukko3[[#This Row],[Työttömät ja palveluissa olevat (2023)]]*Taulukko412[[ ]]</f>
        <v>444269.65</v>
      </c>
      <c r="I136" s="491">
        <f>Taulukko3[[#This Row],[Vieraskieliset (2023)]]*Taulukko412[[  ]]</f>
        <v>45365.799999999996</v>
      </c>
      <c r="J136" s="500">
        <f t="shared" si="6"/>
        <v>1119408.57</v>
      </c>
      <c r="K136" s="491"/>
      <c r="L136" s="497">
        <f>'TE25 Palveluiden kustannusarvio'!U129</f>
        <v>567757.39060920698</v>
      </c>
      <c r="M136" s="458">
        <f t="shared" si="7"/>
        <v>-559704.28500000003</v>
      </c>
      <c r="N136" s="500">
        <f t="shared" si="8"/>
        <v>8053.1056092069484</v>
      </c>
      <c r="P136" s="503">
        <f>Taulukko3[[#This Row],[Vieraskieliset (2023)]]*$P$9</f>
        <v>17238.349999999999</v>
      </c>
      <c r="Q136" s="459"/>
      <c r="R136" s="530">
        <f t="shared" si="9"/>
        <v>1144700.0256092071</v>
      </c>
    </row>
    <row r="137" spans="1:18">
      <c r="A137" s="474">
        <v>410</v>
      </c>
      <c r="B137" s="474" t="s">
        <v>135</v>
      </c>
      <c r="C137" s="459">
        <v>9847</v>
      </c>
      <c r="D137" s="459">
        <v>1205</v>
      </c>
      <c r="E137" s="459">
        <v>371</v>
      </c>
      <c r="G137" s="523">
        <f>Taulukko3[[#This Row],[Väestö, 18-64-vuotiaat (2023)]]*Taulukko412[Perushinnat, €]</f>
        <v>822027.56</v>
      </c>
      <c r="H137" s="491">
        <f>Taulukko3[[#This Row],[Työttömät ja palveluissa olevat (2023)]]*Taulukko412[[ ]]</f>
        <v>884867.65</v>
      </c>
      <c r="I137" s="491">
        <f>Taulukko3[[#This Row],[Vieraskieliset (2023)]]*Taulukko412[[  ]]</f>
        <v>30882.039999999997</v>
      </c>
      <c r="J137" s="500">
        <f t="shared" si="6"/>
        <v>1737777.25</v>
      </c>
      <c r="K137" s="491"/>
      <c r="L137" s="497">
        <f>'TE25 Palveluiden kustannusarvio'!U130</f>
        <v>1000908.5171204387</v>
      </c>
      <c r="M137" s="458">
        <f t="shared" si="7"/>
        <v>-868888.625</v>
      </c>
      <c r="N137" s="500">
        <f t="shared" si="8"/>
        <v>132019.89212043874</v>
      </c>
      <c r="P137" s="503">
        <f>Taulukko3[[#This Row],[Vieraskieliset (2023)]]*$P$9</f>
        <v>11734.73</v>
      </c>
      <c r="Q137" s="459"/>
      <c r="R137" s="530">
        <f t="shared" si="9"/>
        <v>1881531.8721204386</v>
      </c>
    </row>
    <row r="138" spans="1:18">
      <c r="A138" s="474">
        <v>416</v>
      </c>
      <c r="B138" s="474" t="s">
        <v>136</v>
      </c>
      <c r="C138" s="459">
        <v>1519</v>
      </c>
      <c r="D138" s="459">
        <v>135</v>
      </c>
      <c r="E138" s="459">
        <v>70</v>
      </c>
      <c r="G138" s="523">
        <f>Taulukko3[[#This Row],[Väestö, 18-64-vuotiaat (2023)]]*Taulukko412[Perushinnat, €]</f>
        <v>126806.12000000001</v>
      </c>
      <c r="H138" s="491">
        <f>Taulukko3[[#This Row],[Työttömät ja palveluissa olevat (2023)]]*Taulukko412[[ ]]</f>
        <v>99134.55</v>
      </c>
      <c r="I138" s="491">
        <f>Taulukko3[[#This Row],[Vieraskieliset (2023)]]*Taulukko412[[  ]]</f>
        <v>5826.7999999999993</v>
      </c>
      <c r="J138" s="500">
        <f t="shared" si="6"/>
        <v>231767.47</v>
      </c>
      <c r="K138" s="491"/>
      <c r="L138" s="497">
        <f>'TE25 Palveluiden kustannusarvio'!U131</f>
        <v>92702.397813294694</v>
      </c>
      <c r="M138" s="458">
        <f t="shared" si="7"/>
        <v>-115883.735</v>
      </c>
      <c r="N138" s="500">
        <f t="shared" si="8"/>
        <v>-23181.337186705307</v>
      </c>
      <c r="P138" s="503">
        <f>Taulukko3[[#This Row],[Vieraskieliset (2023)]]*$P$9</f>
        <v>2214.1</v>
      </c>
      <c r="Q138" s="459"/>
      <c r="R138" s="530">
        <f t="shared" si="9"/>
        <v>210800.23281329472</v>
      </c>
    </row>
    <row r="139" spans="1:18">
      <c r="A139" s="474">
        <v>418</v>
      </c>
      <c r="B139" s="474" t="s">
        <v>137</v>
      </c>
      <c r="C139" s="459">
        <v>14121</v>
      </c>
      <c r="D139" s="459">
        <v>1145</v>
      </c>
      <c r="E139" s="459">
        <v>782</v>
      </c>
      <c r="G139" s="523">
        <f>Taulukko3[[#This Row],[Väestö, 18-64-vuotiaat (2023)]]*Taulukko412[Perushinnat, €]</f>
        <v>1178821.08</v>
      </c>
      <c r="H139" s="491">
        <f>Taulukko3[[#This Row],[Työttömät ja palveluissa olevat (2023)]]*Taulukko412[[ ]]</f>
        <v>840807.85000000009</v>
      </c>
      <c r="I139" s="491">
        <f>Taulukko3[[#This Row],[Vieraskieliset (2023)]]*Taulukko412[[  ]]</f>
        <v>65093.679999999993</v>
      </c>
      <c r="J139" s="500">
        <f t="shared" si="6"/>
        <v>2084722.61</v>
      </c>
      <c r="K139" s="491"/>
      <c r="L139" s="497">
        <f>'TE25 Palveluiden kustannusarvio'!U132</f>
        <v>888494.65526414593</v>
      </c>
      <c r="M139" s="458">
        <f t="shared" si="7"/>
        <v>-1042361.3050000001</v>
      </c>
      <c r="N139" s="500">
        <f t="shared" si="8"/>
        <v>-153866.64973585412</v>
      </c>
      <c r="P139" s="503">
        <f>Taulukko3[[#This Row],[Vieraskieliset (2023)]]*$P$9</f>
        <v>24734.66</v>
      </c>
      <c r="Q139" s="459"/>
      <c r="R139" s="530">
        <f t="shared" si="9"/>
        <v>1955590.6202641458</v>
      </c>
    </row>
    <row r="140" spans="1:18">
      <c r="A140" s="474">
        <v>420</v>
      </c>
      <c r="B140" s="474" t="s">
        <v>138</v>
      </c>
      <c r="C140" s="459">
        <v>4576</v>
      </c>
      <c r="D140" s="459">
        <v>439</v>
      </c>
      <c r="E140" s="459">
        <v>243</v>
      </c>
      <c r="G140" s="523">
        <f>Taulukko3[[#This Row],[Väestö, 18-64-vuotiaat (2023)]]*Taulukko412[Perushinnat, €]</f>
        <v>382004.48000000004</v>
      </c>
      <c r="H140" s="491">
        <f>Taulukko3[[#This Row],[Työttömät ja palveluissa olevat (2023)]]*Taulukko412[[ ]]</f>
        <v>322370.87</v>
      </c>
      <c r="I140" s="491">
        <f>Taulukko3[[#This Row],[Vieraskieliset (2023)]]*Taulukko412[[  ]]</f>
        <v>20227.32</v>
      </c>
      <c r="J140" s="500">
        <f t="shared" si="6"/>
        <v>724602.67</v>
      </c>
      <c r="K140" s="491"/>
      <c r="L140" s="497">
        <f>'TE25 Palveluiden kustannusarvio'!U133</f>
        <v>430709.88750678528</v>
      </c>
      <c r="M140" s="458">
        <f t="shared" si="7"/>
        <v>-362301.33500000002</v>
      </c>
      <c r="N140" s="500">
        <f t="shared" si="8"/>
        <v>68408.552506785258</v>
      </c>
      <c r="P140" s="503">
        <f>Taulukko3[[#This Row],[Vieraskieliset (2023)]]*$P$9</f>
        <v>7686.09</v>
      </c>
      <c r="Q140" s="459"/>
      <c r="R140" s="530">
        <f t="shared" si="9"/>
        <v>800697.31250678527</v>
      </c>
    </row>
    <row r="141" spans="1:18">
      <c r="A141" s="474">
        <v>421</v>
      </c>
      <c r="B141" s="474" t="s">
        <v>139</v>
      </c>
      <c r="C141" s="459">
        <v>325</v>
      </c>
      <c r="D141" s="459">
        <v>25</v>
      </c>
      <c r="E141" s="459">
        <v>10</v>
      </c>
      <c r="G141" s="523">
        <f>Taulukko3[[#This Row],[Väestö, 18-64-vuotiaat (2023)]]*Taulukko412[Perushinnat, €]</f>
        <v>27131</v>
      </c>
      <c r="H141" s="491">
        <f>Taulukko3[[#This Row],[Työttömät ja palveluissa olevat (2023)]]*Taulukko412[[ ]]</f>
        <v>18358.25</v>
      </c>
      <c r="I141" s="491">
        <f>Taulukko3[[#This Row],[Vieraskieliset (2023)]]*Taulukko412[[  ]]</f>
        <v>832.4</v>
      </c>
      <c r="J141" s="500">
        <f t="shared" si="6"/>
        <v>46321.65</v>
      </c>
      <c r="K141" s="491"/>
      <c r="L141" s="497">
        <f>'TE25 Palveluiden kustannusarvio'!U134</f>
        <v>25243.736014532642</v>
      </c>
      <c r="M141" s="458">
        <f t="shared" si="7"/>
        <v>-23160.825000000001</v>
      </c>
      <c r="N141" s="500">
        <f t="shared" si="8"/>
        <v>2082.9110145326413</v>
      </c>
      <c r="P141" s="503">
        <f>Taulukko3[[#This Row],[Vieraskieliset (2023)]]*$P$9</f>
        <v>316.3</v>
      </c>
      <c r="Q141" s="459"/>
      <c r="R141" s="530">
        <f t="shared" si="9"/>
        <v>48720.861014532646</v>
      </c>
    </row>
    <row r="142" spans="1:18">
      <c r="A142" s="474">
        <v>422</v>
      </c>
      <c r="B142" s="474" t="s">
        <v>140</v>
      </c>
      <c r="C142" s="459">
        <v>4804</v>
      </c>
      <c r="D142" s="459">
        <v>911</v>
      </c>
      <c r="E142" s="459">
        <v>587</v>
      </c>
      <c r="G142" s="523">
        <f>Taulukko3[[#This Row],[Väestö, 18-64-vuotiaat (2023)]]*Taulukko412[Perushinnat, €]</f>
        <v>401037.92000000004</v>
      </c>
      <c r="H142" s="491">
        <f>Taulukko3[[#This Row],[Työttömät ja palveluissa olevat (2023)]]*Taulukko412[[ ]]</f>
        <v>668974.63</v>
      </c>
      <c r="I142" s="491">
        <f>Taulukko3[[#This Row],[Vieraskieliset (2023)]]*Taulukko412[[  ]]</f>
        <v>48861.88</v>
      </c>
      <c r="J142" s="500">
        <f t="shared" si="6"/>
        <v>1118874.43</v>
      </c>
      <c r="K142" s="491"/>
      <c r="L142" s="497">
        <f>'TE25 Palveluiden kustannusarvio'!U135</f>
        <v>844116.40845047403</v>
      </c>
      <c r="M142" s="458">
        <f t="shared" si="7"/>
        <v>-559437.21499999997</v>
      </c>
      <c r="N142" s="500">
        <f t="shared" si="8"/>
        <v>284679.19345047406</v>
      </c>
      <c r="P142" s="503">
        <f>Taulukko3[[#This Row],[Vieraskieliset (2023)]]*$P$9</f>
        <v>18566.809999999998</v>
      </c>
      <c r="Q142" s="459"/>
      <c r="R142" s="530">
        <f t="shared" si="9"/>
        <v>1422120.4334504739</v>
      </c>
    </row>
    <row r="143" spans="1:18">
      <c r="A143" s="474">
        <v>423</v>
      </c>
      <c r="B143" s="474" t="s">
        <v>141</v>
      </c>
      <c r="C143" s="459">
        <v>11696</v>
      </c>
      <c r="D143" s="459">
        <v>756</v>
      </c>
      <c r="E143" s="459">
        <v>936</v>
      </c>
      <c r="G143" s="523">
        <f>Taulukko3[[#This Row],[Väestö, 18-64-vuotiaat (2023)]]*Taulukko412[Perushinnat, €]</f>
        <v>976382.08000000007</v>
      </c>
      <c r="H143" s="491">
        <f>Taulukko3[[#This Row],[Työttömät ja palveluissa olevat (2023)]]*Taulukko412[[ ]]</f>
        <v>555153.48</v>
      </c>
      <c r="I143" s="491">
        <f>Taulukko3[[#This Row],[Vieraskieliset (2023)]]*Taulukko412[[  ]]</f>
        <v>77912.639999999999</v>
      </c>
      <c r="J143" s="500">
        <f t="shared" ref="J143:J206" si="10">G143+H143+I143</f>
        <v>1609448.2</v>
      </c>
      <c r="K143" s="491"/>
      <c r="L143" s="497">
        <f>'TE25 Palveluiden kustannusarvio'!U136</f>
        <v>649808.82467276801</v>
      </c>
      <c r="M143" s="458">
        <f t="shared" ref="M143:M206" si="11">J143*-0.5</f>
        <v>-804724.1</v>
      </c>
      <c r="N143" s="500">
        <f t="shared" ref="N143:N206" si="12">L143+M143</f>
        <v>-154915.27532723197</v>
      </c>
      <c r="P143" s="503">
        <f>Taulukko3[[#This Row],[Vieraskieliset (2023)]]*$P$9</f>
        <v>29605.68</v>
      </c>
      <c r="Q143" s="459"/>
      <c r="R143" s="530">
        <f t="shared" ref="R143:R206" si="13">J143+N143+P143</f>
        <v>1484138.6046727679</v>
      </c>
    </row>
    <row r="144" spans="1:18">
      <c r="A144" s="474">
        <v>425</v>
      </c>
      <c r="B144" s="474" t="s">
        <v>142</v>
      </c>
      <c r="C144" s="459">
        <v>5376</v>
      </c>
      <c r="D144" s="459">
        <v>414</v>
      </c>
      <c r="E144" s="459">
        <v>107</v>
      </c>
      <c r="G144" s="523">
        <f>Taulukko3[[#This Row],[Väestö, 18-64-vuotiaat (2023)]]*Taulukko412[Perushinnat, €]</f>
        <v>448788.48000000004</v>
      </c>
      <c r="H144" s="491">
        <f>Taulukko3[[#This Row],[Työttömät ja palveluissa olevat (2023)]]*Taulukko412[[ ]]</f>
        <v>304012.62</v>
      </c>
      <c r="I144" s="491">
        <f>Taulukko3[[#This Row],[Vieraskieliset (2023)]]*Taulukko412[[  ]]</f>
        <v>8906.68</v>
      </c>
      <c r="J144" s="500">
        <f t="shared" si="10"/>
        <v>761707.78000000014</v>
      </c>
      <c r="K144" s="491"/>
      <c r="L144" s="497">
        <f>'TE25 Palveluiden kustannusarvio'!U137</f>
        <v>353006.52404754644</v>
      </c>
      <c r="M144" s="458">
        <f t="shared" si="11"/>
        <v>-380853.89000000007</v>
      </c>
      <c r="N144" s="500">
        <f t="shared" si="12"/>
        <v>-27847.365952453634</v>
      </c>
      <c r="P144" s="503">
        <f>Taulukko3[[#This Row],[Vieraskieliset (2023)]]*$P$9</f>
        <v>3384.41</v>
      </c>
      <c r="Q144" s="459"/>
      <c r="R144" s="530">
        <f t="shared" si="13"/>
        <v>737244.82404754648</v>
      </c>
    </row>
    <row r="145" spans="1:18">
      <c r="A145" s="474">
        <v>426</v>
      </c>
      <c r="B145" s="474" t="s">
        <v>143</v>
      </c>
      <c r="C145" s="459">
        <v>6557</v>
      </c>
      <c r="D145" s="459">
        <v>780</v>
      </c>
      <c r="E145" s="459">
        <v>290</v>
      </c>
      <c r="G145" s="523">
        <f>Taulukko3[[#This Row],[Väestö, 18-64-vuotiaat (2023)]]*Taulukko412[Perushinnat, €]</f>
        <v>547378.36</v>
      </c>
      <c r="H145" s="491">
        <f>Taulukko3[[#This Row],[Työttömät ja palveluissa olevat (2023)]]*Taulukko412[[ ]]</f>
        <v>572777.4</v>
      </c>
      <c r="I145" s="491">
        <f>Taulukko3[[#This Row],[Vieraskieliset (2023)]]*Taulukko412[[  ]]</f>
        <v>24139.599999999999</v>
      </c>
      <c r="J145" s="500">
        <f t="shared" si="10"/>
        <v>1144295.3600000001</v>
      </c>
      <c r="K145" s="491"/>
      <c r="L145" s="497">
        <f>'TE25 Palveluiden kustannusarvio'!U138</f>
        <v>749114.65062256006</v>
      </c>
      <c r="M145" s="458">
        <f t="shared" si="11"/>
        <v>-572147.68000000005</v>
      </c>
      <c r="N145" s="500">
        <f t="shared" si="12"/>
        <v>176966.97062256001</v>
      </c>
      <c r="P145" s="503">
        <f>Taulukko3[[#This Row],[Vieraskieliset (2023)]]*$P$9</f>
        <v>9172.6999999999989</v>
      </c>
      <c r="Q145" s="459"/>
      <c r="R145" s="530">
        <f t="shared" si="13"/>
        <v>1330435.0306225601</v>
      </c>
    </row>
    <row r="146" spans="1:18">
      <c r="A146" s="474">
        <v>430</v>
      </c>
      <c r="B146" s="474" t="s">
        <v>144</v>
      </c>
      <c r="C146" s="459">
        <v>7863</v>
      </c>
      <c r="D146" s="459">
        <v>932</v>
      </c>
      <c r="E146" s="459">
        <v>859</v>
      </c>
      <c r="G146" s="523">
        <f>Taulukko3[[#This Row],[Väestö, 18-64-vuotiaat (2023)]]*Taulukko412[Perushinnat, €]</f>
        <v>656403.24</v>
      </c>
      <c r="H146" s="491">
        <f>Taulukko3[[#This Row],[Työttömät ja palveluissa olevat (2023)]]*Taulukko412[[ ]]</f>
        <v>684395.56</v>
      </c>
      <c r="I146" s="491">
        <f>Taulukko3[[#This Row],[Vieraskieliset (2023)]]*Taulukko412[[  ]]</f>
        <v>71503.159999999989</v>
      </c>
      <c r="J146" s="500">
        <f t="shared" si="10"/>
        <v>1412301.96</v>
      </c>
      <c r="K146" s="491"/>
      <c r="L146" s="497">
        <f>'TE25 Palveluiden kustannusarvio'!U139</f>
        <v>787384.29685335443</v>
      </c>
      <c r="M146" s="458">
        <f t="shared" si="11"/>
        <v>-706150.98</v>
      </c>
      <c r="N146" s="500">
        <f t="shared" si="12"/>
        <v>81233.316853354452</v>
      </c>
      <c r="P146" s="503">
        <f>Taulukko3[[#This Row],[Vieraskieliset (2023)]]*$P$9</f>
        <v>27170.17</v>
      </c>
      <c r="Q146" s="459"/>
      <c r="R146" s="530">
        <f t="shared" si="13"/>
        <v>1520705.4468533543</v>
      </c>
    </row>
    <row r="147" spans="1:18">
      <c r="A147" s="474">
        <v>433</v>
      </c>
      <c r="B147" s="474" t="s">
        <v>145</v>
      </c>
      <c r="C147" s="459">
        <v>4142</v>
      </c>
      <c r="D147" s="459">
        <v>304</v>
      </c>
      <c r="E147" s="459">
        <v>258</v>
      </c>
      <c r="G147" s="523">
        <f>Taulukko3[[#This Row],[Väestö, 18-64-vuotiaat (2023)]]*Taulukko412[Perushinnat, €]</f>
        <v>345774.16000000003</v>
      </c>
      <c r="H147" s="491">
        <f>Taulukko3[[#This Row],[Työttömät ja palveluissa olevat (2023)]]*Taulukko412[[ ]]</f>
        <v>223236.32</v>
      </c>
      <c r="I147" s="491">
        <f>Taulukko3[[#This Row],[Vieraskieliset (2023)]]*Taulukko412[[  ]]</f>
        <v>21475.919999999998</v>
      </c>
      <c r="J147" s="500">
        <f t="shared" si="10"/>
        <v>590486.4</v>
      </c>
      <c r="K147" s="491"/>
      <c r="L147" s="497">
        <f>'TE25 Palveluiden kustannusarvio'!U140</f>
        <v>260982.4197540507</v>
      </c>
      <c r="M147" s="458">
        <f t="shared" si="11"/>
        <v>-295243.2</v>
      </c>
      <c r="N147" s="500">
        <f t="shared" si="12"/>
        <v>-34260.78024594931</v>
      </c>
      <c r="P147" s="503">
        <f>Taulukko3[[#This Row],[Vieraskieliset (2023)]]*$P$9</f>
        <v>8160.54</v>
      </c>
      <c r="Q147" s="459"/>
      <c r="R147" s="530">
        <f t="shared" si="13"/>
        <v>564386.15975405078</v>
      </c>
    </row>
    <row r="148" spans="1:18">
      <c r="A148" s="474">
        <v>434</v>
      </c>
      <c r="B148" s="474" t="s">
        <v>146</v>
      </c>
      <c r="C148" s="459">
        <v>7668</v>
      </c>
      <c r="D148" s="459">
        <v>893</v>
      </c>
      <c r="E148" s="459">
        <v>829</v>
      </c>
      <c r="G148" s="523">
        <f>Taulukko3[[#This Row],[Väestö, 18-64-vuotiaat (2023)]]*Taulukko412[Perushinnat, €]</f>
        <v>640124.64</v>
      </c>
      <c r="H148" s="491">
        <f>Taulukko3[[#This Row],[Työttömät ja palveluissa olevat (2023)]]*Taulukko412[[ ]]</f>
        <v>655756.69000000006</v>
      </c>
      <c r="I148" s="491">
        <f>Taulukko3[[#This Row],[Vieraskieliset (2023)]]*Taulukko412[[  ]]</f>
        <v>69005.959999999992</v>
      </c>
      <c r="J148" s="500">
        <f t="shared" si="10"/>
        <v>1364887.29</v>
      </c>
      <c r="K148" s="491"/>
      <c r="L148" s="497">
        <f>'TE25 Palveluiden kustannusarvio'!U141</f>
        <v>726678.35663265618</v>
      </c>
      <c r="M148" s="458">
        <f t="shared" si="11"/>
        <v>-682443.64500000002</v>
      </c>
      <c r="N148" s="500">
        <f t="shared" si="12"/>
        <v>44234.711632656166</v>
      </c>
      <c r="P148" s="503">
        <f>Taulukko3[[#This Row],[Vieraskieliset (2023)]]*$P$9</f>
        <v>26221.27</v>
      </c>
      <c r="Q148" s="459"/>
      <c r="R148" s="530">
        <f t="shared" si="13"/>
        <v>1435343.2716326562</v>
      </c>
    </row>
    <row r="149" spans="1:18">
      <c r="A149" s="474">
        <v>435</v>
      </c>
      <c r="B149" s="474" t="s">
        <v>147</v>
      </c>
      <c r="C149" s="459">
        <v>327</v>
      </c>
      <c r="D149" s="459">
        <v>38</v>
      </c>
      <c r="E149" s="459">
        <v>6</v>
      </c>
      <c r="G149" s="523">
        <f>Taulukko3[[#This Row],[Väestö, 18-64-vuotiaat (2023)]]*Taulukko412[Perushinnat, €]</f>
        <v>27297.960000000003</v>
      </c>
      <c r="H149" s="491">
        <f>Taulukko3[[#This Row],[Työttömät ja palveluissa olevat (2023)]]*Taulukko412[[ ]]</f>
        <v>27904.54</v>
      </c>
      <c r="I149" s="491">
        <f>Taulukko3[[#This Row],[Vieraskieliset (2023)]]*Taulukko412[[  ]]</f>
        <v>499.43999999999994</v>
      </c>
      <c r="J149" s="500">
        <f t="shared" si="10"/>
        <v>55701.94</v>
      </c>
      <c r="K149" s="491"/>
      <c r="L149" s="497">
        <f>'TE25 Palveluiden kustannusarvio'!U142</f>
        <v>14769.62915948917</v>
      </c>
      <c r="M149" s="458">
        <f t="shared" si="11"/>
        <v>-27850.97</v>
      </c>
      <c r="N149" s="500">
        <f t="shared" si="12"/>
        <v>-13081.340840510831</v>
      </c>
      <c r="P149" s="503">
        <f>Taulukko3[[#This Row],[Vieraskieliset (2023)]]*$P$9</f>
        <v>189.78</v>
      </c>
      <c r="Q149" s="459"/>
      <c r="R149" s="530">
        <f t="shared" si="13"/>
        <v>42810.379159489166</v>
      </c>
    </row>
    <row r="150" spans="1:18">
      <c r="A150" s="474">
        <v>436</v>
      </c>
      <c r="B150" s="474" t="s">
        <v>148</v>
      </c>
      <c r="C150" s="459">
        <v>1023</v>
      </c>
      <c r="D150" s="459">
        <v>94</v>
      </c>
      <c r="E150" s="459">
        <v>91</v>
      </c>
      <c r="G150" s="523">
        <f>Taulukko3[[#This Row],[Väestö, 18-64-vuotiaat (2023)]]*Taulukko412[Perushinnat, €]</f>
        <v>85400.040000000008</v>
      </c>
      <c r="H150" s="491">
        <f>Taulukko3[[#This Row],[Työttömät ja palveluissa olevat (2023)]]*Taulukko412[[ ]]</f>
        <v>69027.02</v>
      </c>
      <c r="I150" s="491">
        <f>Taulukko3[[#This Row],[Vieraskieliset (2023)]]*Taulukko412[[  ]]</f>
        <v>7574.8399999999992</v>
      </c>
      <c r="J150" s="500">
        <f t="shared" si="10"/>
        <v>162001.9</v>
      </c>
      <c r="K150" s="491"/>
      <c r="L150" s="497">
        <f>'TE25 Palveluiden kustannusarvio'!U143</f>
        <v>64638.64081509164</v>
      </c>
      <c r="M150" s="458">
        <f t="shared" si="11"/>
        <v>-81000.95</v>
      </c>
      <c r="N150" s="500">
        <f t="shared" si="12"/>
        <v>-16362.309184908358</v>
      </c>
      <c r="P150" s="503">
        <f>Taulukko3[[#This Row],[Vieraskieliset (2023)]]*$P$9</f>
        <v>2878.33</v>
      </c>
      <c r="Q150" s="459"/>
      <c r="R150" s="530">
        <f t="shared" si="13"/>
        <v>148517.92081509161</v>
      </c>
    </row>
    <row r="151" spans="1:18">
      <c r="A151" s="474">
        <v>440</v>
      </c>
      <c r="B151" s="474" t="s">
        <v>149</v>
      </c>
      <c r="C151" s="459">
        <v>2978</v>
      </c>
      <c r="D151" s="459">
        <v>93</v>
      </c>
      <c r="E151" s="459">
        <v>192</v>
      </c>
      <c r="G151" s="523">
        <f>Taulukko3[[#This Row],[Väestö, 18-64-vuotiaat (2023)]]*Taulukko412[Perushinnat, €]</f>
        <v>248603.44</v>
      </c>
      <c r="H151" s="491">
        <f>Taulukko3[[#This Row],[Työttömät ja palveluissa olevat (2023)]]*Taulukko412[[ ]]</f>
        <v>68292.69</v>
      </c>
      <c r="I151" s="491">
        <f>Taulukko3[[#This Row],[Vieraskieliset (2023)]]*Taulukko412[[  ]]</f>
        <v>15982.079999999998</v>
      </c>
      <c r="J151" s="500">
        <f t="shared" si="10"/>
        <v>332878.21000000002</v>
      </c>
      <c r="K151" s="491"/>
      <c r="L151" s="497">
        <f>'TE25 Palveluiden kustannusarvio'!U144</f>
        <v>81582.563476089519</v>
      </c>
      <c r="M151" s="458">
        <f t="shared" si="11"/>
        <v>-166439.10500000001</v>
      </c>
      <c r="N151" s="500">
        <f t="shared" si="12"/>
        <v>-84856.541523910491</v>
      </c>
      <c r="P151" s="503">
        <f>Taulukko3[[#This Row],[Vieraskieliset (2023)]]*$P$9</f>
        <v>6072.96</v>
      </c>
      <c r="Q151" s="459"/>
      <c r="R151" s="530">
        <f t="shared" si="13"/>
        <v>254094.62847608954</v>
      </c>
    </row>
    <row r="152" spans="1:18">
      <c r="A152" s="474">
        <v>441</v>
      </c>
      <c r="B152" s="474" t="s">
        <v>150</v>
      </c>
      <c r="C152" s="459">
        <v>2173</v>
      </c>
      <c r="D152" s="459">
        <v>263</v>
      </c>
      <c r="E152" s="459">
        <v>223</v>
      </c>
      <c r="G152" s="523">
        <f>Taulukko3[[#This Row],[Väestö, 18-64-vuotiaat (2023)]]*Taulukko412[Perushinnat, €]</f>
        <v>181402.04</v>
      </c>
      <c r="H152" s="491">
        <f>Taulukko3[[#This Row],[Työttömät ja palveluissa olevat (2023)]]*Taulukko412[[ ]]</f>
        <v>193128.79</v>
      </c>
      <c r="I152" s="491">
        <f>Taulukko3[[#This Row],[Vieraskieliset (2023)]]*Taulukko412[[  ]]</f>
        <v>18562.52</v>
      </c>
      <c r="J152" s="500">
        <f t="shared" si="10"/>
        <v>393093.35000000003</v>
      </c>
      <c r="K152" s="491"/>
      <c r="L152" s="497">
        <f>'TE25 Palveluiden kustannusarvio'!U145</f>
        <v>223563.50086459864</v>
      </c>
      <c r="M152" s="458">
        <f t="shared" si="11"/>
        <v>-196546.67500000002</v>
      </c>
      <c r="N152" s="500">
        <f t="shared" si="12"/>
        <v>27016.825864598621</v>
      </c>
      <c r="P152" s="503">
        <f>Taulukko3[[#This Row],[Vieraskieliset (2023)]]*$P$9</f>
        <v>7053.49</v>
      </c>
      <c r="Q152" s="459"/>
      <c r="R152" s="530">
        <f t="shared" si="13"/>
        <v>427163.66586459865</v>
      </c>
    </row>
    <row r="153" spans="1:18">
      <c r="A153" s="474">
        <v>444</v>
      </c>
      <c r="B153" s="474" t="s">
        <v>151</v>
      </c>
      <c r="C153" s="459">
        <v>25260</v>
      </c>
      <c r="D153" s="459">
        <v>2791</v>
      </c>
      <c r="E153" s="459">
        <v>2929</v>
      </c>
      <c r="G153" s="523">
        <f>Taulukko3[[#This Row],[Väestö, 18-64-vuotiaat (2023)]]*Taulukko412[Perushinnat, €]</f>
        <v>2108704.8000000003</v>
      </c>
      <c r="H153" s="491">
        <f>Taulukko3[[#This Row],[Työttömät ja palveluissa olevat (2023)]]*Taulukko412[[ ]]</f>
        <v>2049515.03</v>
      </c>
      <c r="I153" s="491">
        <f>Taulukko3[[#This Row],[Vieraskieliset (2023)]]*Taulukko412[[  ]]</f>
        <v>243809.96</v>
      </c>
      <c r="J153" s="500">
        <f t="shared" si="10"/>
        <v>4402029.79</v>
      </c>
      <c r="K153" s="491"/>
      <c r="L153" s="497">
        <f>'TE25 Palveluiden kustannusarvio'!U146</f>
        <v>2008416.4226048384</v>
      </c>
      <c r="M153" s="458">
        <f t="shared" si="11"/>
        <v>-2201014.895</v>
      </c>
      <c r="N153" s="500">
        <f t="shared" si="12"/>
        <v>-192598.47239516163</v>
      </c>
      <c r="P153" s="503">
        <f>Taulukko3[[#This Row],[Vieraskieliset (2023)]]*$P$9</f>
        <v>92644.27</v>
      </c>
      <c r="Q153" s="459"/>
      <c r="R153" s="530">
        <f t="shared" si="13"/>
        <v>4302075.5876048375</v>
      </c>
    </row>
    <row r="154" spans="1:18">
      <c r="A154" s="474">
        <v>445</v>
      </c>
      <c r="B154" s="474" t="s">
        <v>152</v>
      </c>
      <c r="C154" s="459">
        <v>7877</v>
      </c>
      <c r="D154" s="459">
        <v>562</v>
      </c>
      <c r="E154" s="459">
        <v>685</v>
      </c>
      <c r="G154" s="523">
        <f>Taulukko3[[#This Row],[Väestö, 18-64-vuotiaat (2023)]]*Taulukko412[Perushinnat, €]</f>
        <v>657571.96000000008</v>
      </c>
      <c r="H154" s="491">
        <f>Taulukko3[[#This Row],[Työttömät ja palveluissa olevat (2023)]]*Taulukko412[[ ]]</f>
        <v>412693.46</v>
      </c>
      <c r="I154" s="491">
        <f>Taulukko3[[#This Row],[Vieraskieliset (2023)]]*Taulukko412[[  ]]</f>
        <v>57019.399999999994</v>
      </c>
      <c r="J154" s="500">
        <f t="shared" si="10"/>
        <v>1127284.82</v>
      </c>
      <c r="K154" s="491"/>
      <c r="L154" s="497">
        <f>'TE25 Palveluiden kustannusarvio'!U147</f>
        <v>502408.99664468569</v>
      </c>
      <c r="M154" s="458">
        <f t="shared" si="11"/>
        <v>-563642.41</v>
      </c>
      <c r="N154" s="500">
        <f t="shared" si="12"/>
        <v>-61233.413355314347</v>
      </c>
      <c r="P154" s="503">
        <f>Taulukko3[[#This Row],[Vieraskieliset (2023)]]*$P$9</f>
        <v>21666.55</v>
      </c>
      <c r="Q154" s="459"/>
      <c r="R154" s="530">
        <f t="shared" si="13"/>
        <v>1087717.9566446857</v>
      </c>
    </row>
    <row r="155" spans="1:18">
      <c r="A155" s="474">
        <v>475</v>
      </c>
      <c r="B155" s="474" t="s">
        <v>153</v>
      </c>
      <c r="C155" s="459">
        <v>2823</v>
      </c>
      <c r="D155" s="459">
        <v>152</v>
      </c>
      <c r="E155" s="459">
        <v>320</v>
      </c>
      <c r="G155" s="523">
        <f>Taulukko3[[#This Row],[Väestö, 18-64-vuotiaat (2023)]]*Taulukko412[Perushinnat, €]</f>
        <v>235664.04</v>
      </c>
      <c r="H155" s="491">
        <f>Taulukko3[[#This Row],[Työttömät ja palveluissa olevat (2023)]]*Taulukko412[[ ]]</f>
        <v>111618.16</v>
      </c>
      <c r="I155" s="491">
        <f>Taulukko3[[#This Row],[Vieraskieliset (2023)]]*Taulukko412[[  ]]</f>
        <v>26636.799999999999</v>
      </c>
      <c r="J155" s="500">
        <f t="shared" si="10"/>
        <v>373919</v>
      </c>
      <c r="K155" s="491"/>
      <c r="L155" s="497">
        <f>'TE25 Palveluiden kustannusarvio'!U148</f>
        <v>150254.59517330388</v>
      </c>
      <c r="M155" s="458">
        <f t="shared" si="11"/>
        <v>-186959.5</v>
      </c>
      <c r="N155" s="500">
        <f t="shared" si="12"/>
        <v>-36704.904826696118</v>
      </c>
      <c r="P155" s="503">
        <f>Taulukko3[[#This Row],[Vieraskieliset (2023)]]*$P$9</f>
        <v>10121.6</v>
      </c>
      <c r="Q155" s="459"/>
      <c r="R155" s="530">
        <f t="shared" si="13"/>
        <v>347335.69517330383</v>
      </c>
    </row>
    <row r="156" spans="1:18">
      <c r="A156" s="474">
        <v>480</v>
      </c>
      <c r="B156" s="474" t="s">
        <v>154</v>
      </c>
      <c r="C156" s="459">
        <v>1010</v>
      </c>
      <c r="D156" s="459">
        <v>97</v>
      </c>
      <c r="E156" s="459">
        <v>66</v>
      </c>
      <c r="G156" s="523">
        <f>Taulukko3[[#This Row],[Väestö, 18-64-vuotiaat (2023)]]*Taulukko412[Perushinnat, €]</f>
        <v>84314.8</v>
      </c>
      <c r="H156" s="491">
        <f>Taulukko3[[#This Row],[Työttömät ja palveluissa olevat (2023)]]*Taulukko412[[ ]]</f>
        <v>71230.010000000009</v>
      </c>
      <c r="I156" s="491">
        <f>Taulukko3[[#This Row],[Vieraskieliset (2023)]]*Taulukko412[[  ]]</f>
        <v>5493.8399999999992</v>
      </c>
      <c r="J156" s="500">
        <f t="shared" si="10"/>
        <v>161038.65</v>
      </c>
      <c r="K156" s="491"/>
      <c r="L156" s="497">
        <f>'TE25 Palveluiden kustannusarvio'!U149</f>
        <v>73004.61605588402</v>
      </c>
      <c r="M156" s="458">
        <f t="shared" si="11"/>
        <v>-80519.324999999997</v>
      </c>
      <c r="N156" s="500">
        <f t="shared" si="12"/>
        <v>-7514.7089441159769</v>
      </c>
      <c r="P156" s="503">
        <f>Taulukko3[[#This Row],[Vieraskieliset (2023)]]*$P$9</f>
        <v>2087.58</v>
      </c>
      <c r="Q156" s="459"/>
      <c r="R156" s="530">
        <f t="shared" si="13"/>
        <v>155611.52105588399</v>
      </c>
    </row>
    <row r="157" spans="1:18">
      <c r="A157" s="474">
        <v>481</v>
      </c>
      <c r="B157" s="474" t="s">
        <v>155</v>
      </c>
      <c r="C157" s="459">
        <v>5527</v>
      </c>
      <c r="D157" s="459">
        <v>314</v>
      </c>
      <c r="E157" s="459">
        <v>261</v>
      </c>
      <c r="G157" s="523">
        <f>Taulukko3[[#This Row],[Väestö, 18-64-vuotiaat (2023)]]*Taulukko412[Perushinnat, €]</f>
        <v>461393.96</v>
      </c>
      <c r="H157" s="491">
        <f>Taulukko3[[#This Row],[Työttömät ja palveluissa olevat (2023)]]*Taulukko412[[ ]]</f>
        <v>230579.62000000002</v>
      </c>
      <c r="I157" s="491">
        <f>Taulukko3[[#This Row],[Vieraskieliset (2023)]]*Taulukko412[[  ]]</f>
        <v>21725.64</v>
      </c>
      <c r="J157" s="500">
        <f t="shared" si="10"/>
        <v>713699.22000000009</v>
      </c>
      <c r="K157" s="491"/>
      <c r="L157" s="497">
        <f>'TE25 Palveluiden kustannusarvio'!U150</f>
        <v>277644.83630944102</v>
      </c>
      <c r="M157" s="458">
        <f t="shared" si="11"/>
        <v>-356849.61000000004</v>
      </c>
      <c r="N157" s="500">
        <f t="shared" si="12"/>
        <v>-79204.773690559028</v>
      </c>
      <c r="P157" s="503">
        <f>Taulukko3[[#This Row],[Vieraskieliset (2023)]]*$P$9</f>
        <v>8255.43</v>
      </c>
      <c r="Q157" s="459"/>
      <c r="R157" s="530">
        <f t="shared" si="13"/>
        <v>642749.87630944105</v>
      </c>
    </row>
    <row r="158" spans="1:18">
      <c r="A158" s="474">
        <v>483</v>
      </c>
      <c r="B158" s="474" t="s">
        <v>156</v>
      </c>
      <c r="C158" s="459">
        <v>476</v>
      </c>
      <c r="D158" s="459">
        <v>61</v>
      </c>
      <c r="E158" s="459">
        <v>3</v>
      </c>
      <c r="G158" s="523">
        <f>Taulukko3[[#This Row],[Väestö, 18-64-vuotiaat (2023)]]*Taulukko412[Perushinnat, €]</f>
        <v>39736.480000000003</v>
      </c>
      <c r="H158" s="491">
        <f>Taulukko3[[#This Row],[Työttömät ja palveluissa olevat (2023)]]*Taulukko412[[ ]]</f>
        <v>44794.130000000005</v>
      </c>
      <c r="I158" s="491">
        <f>Taulukko3[[#This Row],[Vieraskieliset (2023)]]*Taulukko412[[  ]]</f>
        <v>249.71999999999997</v>
      </c>
      <c r="J158" s="500">
        <f t="shared" si="10"/>
        <v>84780.330000000016</v>
      </c>
      <c r="K158" s="491"/>
      <c r="L158" s="497">
        <f>'TE25 Palveluiden kustannusarvio'!U151</f>
        <v>58854.406660212604</v>
      </c>
      <c r="M158" s="458">
        <f t="shared" si="11"/>
        <v>-42390.165000000008</v>
      </c>
      <c r="N158" s="500">
        <f t="shared" si="12"/>
        <v>16464.241660212596</v>
      </c>
      <c r="P158" s="503">
        <f>Taulukko3[[#This Row],[Vieraskieliset (2023)]]*$P$9</f>
        <v>94.89</v>
      </c>
      <c r="Q158" s="459"/>
      <c r="R158" s="530">
        <f t="shared" si="13"/>
        <v>101339.46166021262</v>
      </c>
    </row>
    <row r="159" spans="1:18">
      <c r="A159" s="474">
        <v>484</v>
      </c>
      <c r="B159" s="474" t="s">
        <v>157</v>
      </c>
      <c r="C159" s="459">
        <v>1364</v>
      </c>
      <c r="D159" s="459">
        <v>139</v>
      </c>
      <c r="E159" s="459">
        <v>97</v>
      </c>
      <c r="G159" s="523">
        <f>Taulukko3[[#This Row],[Väestö, 18-64-vuotiaat (2023)]]*Taulukko412[Perushinnat, €]</f>
        <v>113866.72</v>
      </c>
      <c r="H159" s="491">
        <f>Taulukko3[[#This Row],[Työttömät ja palveluissa olevat (2023)]]*Taulukko412[[ ]]</f>
        <v>102071.87000000001</v>
      </c>
      <c r="I159" s="491">
        <f>Taulukko3[[#This Row],[Vieraskieliset (2023)]]*Taulukko412[[  ]]</f>
        <v>8074.28</v>
      </c>
      <c r="J159" s="500">
        <f t="shared" si="10"/>
        <v>224012.87000000002</v>
      </c>
      <c r="K159" s="491"/>
      <c r="L159" s="497">
        <f>'TE25 Palveluiden kustannusarvio'!U152</f>
        <v>92073.799089194261</v>
      </c>
      <c r="M159" s="458">
        <f t="shared" si="11"/>
        <v>-112006.43500000001</v>
      </c>
      <c r="N159" s="500">
        <f t="shared" si="12"/>
        <v>-19932.635910805751</v>
      </c>
      <c r="P159" s="503">
        <f>Taulukko3[[#This Row],[Vieraskieliset (2023)]]*$P$9</f>
        <v>3068.11</v>
      </c>
      <c r="Q159" s="459"/>
      <c r="R159" s="530">
        <f t="shared" si="13"/>
        <v>207148.34408919426</v>
      </c>
    </row>
    <row r="160" spans="1:18">
      <c r="A160" s="474">
        <v>489</v>
      </c>
      <c r="B160" s="474" t="s">
        <v>158</v>
      </c>
      <c r="C160" s="459">
        <v>862</v>
      </c>
      <c r="D160" s="459">
        <v>106</v>
      </c>
      <c r="E160" s="459">
        <v>112</v>
      </c>
      <c r="G160" s="523">
        <f>Taulukko3[[#This Row],[Väestö, 18-64-vuotiaat (2023)]]*Taulukko412[Perushinnat, €]</f>
        <v>71959.760000000009</v>
      </c>
      <c r="H160" s="491">
        <f>Taulukko3[[#This Row],[Työttömät ja palveluissa olevat (2023)]]*Taulukko412[[ ]]</f>
        <v>77838.98000000001</v>
      </c>
      <c r="I160" s="491">
        <f>Taulukko3[[#This Row],[Vieraskieliset (2023)]]*Taulukko412[[  ]]</f>
        <v>9322.8799999999992</v>
      </c>
      <c r="J160" s="500">
        <f t="shared" si="10"/>
        <v>159121.62000000002</v>
      </c>
      <c r="K160" s="491"/>
      <c r="L160" s="497">
        <f>'TE25 Palveluiden kustannusarvio'!U153</f>
        <v>99954.219626641483</v>
      </c>
      <c r="M160" s="458">
        <f t="shared" si="11"/>
        <v>-79560.810000000012</v>
      </c>
      <c r="N160" s="500">
        <f t="shared" si="12"/>
        <v>20393.409626641471</v>
      </c>
      <c r="P160" s="503">
        <f>Taulukko3[[#This Row],[Vieraskieliset (2023)]]*$P$9</f>
        <v>3542.56</v>
      </c>
      <c r="Q160" s="459"/>
      <c r="R160" s="530">
        <f t="shared" si="13"/>
        <v>183057.58962664148</v>
      </c>
    </row>
    <row r="161" spans="1:18">
      <c r="A161" s="474">
        <v>491</v>
      </c>
      <c r="B161" s="474" t="s">
        <v>159</v>
      </c>
      <c r="C161" s="459">
        <v>28541</v>
      </c>
      <c r="D161" s="459">
        <v>3658</v>
      </c>
      <c r="E161" s="459">
        <v>2810</v>
      </c>
      <c r="G161" s="523">
        <f>Taulukko3[[#This Row],[Väestö, 18-64-vuotiaat (2023)]]*Taulukko412[Perushinnat, €]</f>
        <v>2382602.6800000002</v>
      </c>
      <c r="H161" s="491">
        <f>Taulukko3[[#This Row],[Työttömät ja palveluissa olevat (2023)]]*Taulukko412[[ ]]</f>
        <v>2686179.14</v>
      </c>
      <c r="I161" s="491">
        <f>Taulukko3[[#This Row],[Vieraskieliset (2023)]]*Taulukko412[[  ]]</f>
        <v>233904.4</v>
      </c>
      <c r="J161" s="500">
        <f t="shared" si="10"/>
        <v>5302686.2200000007</v>
      </c>
      <c r="K161" s="491"/>
      <c r="L161" s="497">
        <f>'TE25 Palveluiden kustannusarvio'!U154</f>
        <v>3155521.4578010435</v>
      </c>
      <c r="M161" s="458">
        <f t="shared" si="11"/>
        <v>-2651343.1100000003</v>
      </c>
      <c r="N161" s="500">
        <f t="shared" si="12"/>
        <v>504178.34780104319</v>
      </c>
      <c r="P161" s="503">
        <f>Taulukko3[[#This Row],[Vieraskieliset (2023)]]*$P$9</f>
        <v>88880.3</v>
      </c>
      <c r="Q161" s="459"/>
      <c r="R161" s="530">
        <f t="shared" si="13"/>
        <v>5895744.8678010432</v>
      </c>
    </row>
    <row r="162" spans="1:18">
      <c r="A162" s="474">
        <v>494</v>
      </c>
      <c r="B162" s="474" t="s">
        <v>160</v>
      </c>
      <c r="C162" s="459">
        <v>4676</v>
      </c>
      <c r="D162" s="459">
        <v>482</v>
      </c>
      <c r="E162" s="459">
        <v>140</v>
      </c>
      <c r="G162" s="523">
        <f>Taulukko3[[#This Row],[Väestö, 18-64-vuotiaat (2023)]]*Taulukko412[Perushinnat, €]</f>
        <v>390352.48000000004</v>
      </c>
      <c r="H162" s="491">
        <f>Taulukko3[[#This Row],[Työttömät ja palveluissa olevat (2023)]]*Taulukko412[[ ]]</f>
        <v>353947.06</v>
      </c>
      <c r="I162" s="491">
        <f>Taulukko3[[#This Row],[Vieraskieliset (2023)]]*Taulukko412[[  ]]</f>
        <v>11653.599999999999</v>
      </c>
      <c r="J162" s="500">
        <f t="shared" si="10"/>
        <v>755953.14</v>
      </c>
      <c r="K162" s="491"/>
      <c r="L162" s="497">
        <f>'TE25 Palveluiden kustannusarvio'!U155</f>
        <v>347245.55872109212</v>
      </c>
      <c r="M162" s="458">
        <f t="shared" si="11"/>
        <v>-377976.57</v>
      </c>
      <c r="N162" s="500">
        <f t="shared" si="12"/>
        <v>-30731.011278907885</v>
      </c>
      <c r="P162" s="503">
        <f>Taulukko3[[#This Row],[Vieraskieliset (2023)]]*$P$9</f>
        <v>4428.2</v>
      </c>
      <c r="Q162" s="459"/>
      <c r="R162" s="530">
        <f t="shared" si="13"/>
        <v>729650.32872109208</v>
      </c>
    </row>
    <row r="163" spans="1:18">
      <c r="A163" s="474">
        <v>495</v>
      </c>
      <c r="B163" s="474" t="s">
        <v>161</v>
      </c>
      <c r="C163" s="459">
        <v>644</v>
      </c>
      <c r="D163" s="459">
        <v>85</v>
      </c>
      <c r="E163" s="459">
        <v>36</v>
      </c>
      <c r="G163" s="523">
        <f>Taulukko3[[#This Row],[Väestö, 18-64-vuotiaat (2023)]]*Taulukko412[Perushinnat, €]</f>
        <v>53761.120000000003</v>
      </c>
      <c r="H163" s="491">
        <f>Taulukko3[[#This Row],[Työttömät ja palveluissa olevat (2023)]]*Taulukko412[[ ]]</f>
        <v>62418.05</v>
      </c>
      <c r="I163" s="491">
        <f>Taulukko3[[#This Row],[Vieraskieliset (2023)]]*Taulukko412[[  ]]</f>
        <v>2996.64</v>
      </c>
      <c r="J163" s="500">
        <f t="shared" si="10"/>
        <v>119175.81000000001</v>
      </c>
      <c r="K163" s="491"/>
      <c r="L163" s="497">
        <f>'TE25 Palveluiden kustannusarvio'!U156</f>
        <v>74836.995117909988</v>
      </c>
      <c r="M163" s="458">
        <f t="shared" si="11"/>
        <v>-59587.905000000006</v>
      </c>
      <c r="N163" s="500">
        <f t="shared" si="12"/>
        <v>15249.090117909982</v>
      </c>
      <c r="P163" s="503">
        <f>Taulukko3[[#This Row],[Vieraskieliset (2023)]]*$P$9</f>
        <v>1138.68</v>
      </c>
      <c r="Q163" s="459"/>
      <c r="R163" s="530">
        <f t="shared" si="13"/>
        <v>135563.58011790999</v>
      </c>
    </row>
    <row r="164" spans="1:18">
      <c r="A164" s="474">
        <v>498</v>
      </c>
      <c r="B164" s="474" t="s">
        <v>162</v>
      </c>
      <c r="C164" s="459">
        <v>1261</v>
      </c>
      <c r="D164" s="459">
        <v>146</v>
      </c>
      <c r="E164" s="459">
        <v>108</v>
      </c>
      <c r="G164" s="523">
        <f>Taulukko3[[#This Row],[Väestö, 18-64-vuotiaat (2023)]]*Taulukko412[Perushinnat, €]</f>
        <v>105268.28</v>
      </c>
      <c r="H164" s="491">
        <f>Taulukko3[[#This Row],[Työttömät ja palveluissa olevat (2023)]]*Taulukko412[[ ]]</f>
        <v>107212.18000000001</v>
      </c>
      <c r="I164" s="491">
        <f>Taulukko3[[#This Row],[Vieraskieliset (2023)]]*Taulukko412[[  ]]</f>
        <v>8989.92</v>
      </c>
      <c r="J164" s="500">
        <f t="shared" si="10"/>
        <v>221470.38000000003</v>
      </c>
      <c r="K164" s="491"/>
      <c r="L164" s="497">
        <f>'TE25 Palveluiden kustannusarvio'!U157</f>
        <v>145770.9371038072</v>
      </c>
      <c r="M164" s="458">
        <f t="shared" si="11"/>
        <v>-110735.19000000002</v>
      </c>
      <c r="N164" s="500">
        <f t="shared" si="12"/>
        <v>35035.747103807182</v>
      </c>
      <c r="P164" s="503">
        <f>Taulukko3[[#This Row],[Vieraskieliset (2023)]]*$P$9</f>
        <v>3416.04</v>
      </c>
      <c r="Q164" s="459"/>
      <c r="R164" s="530">
        <f t="shared" si="13"/>
        <v>259922.16710380724</v>
      </c>
    </row>
    <row r="165" spans="1:18">
      <c r="A165" s="474">
        <v>499</v>
      </c>
      <c r="B165" s="474" t="s">
        <v>163</v>
      </c>
      <c r="C165" s="459">
        <v>10730</v>
      </c>
      <c r="D165" s="459">
        <v>519</v>
      </c>
      <c r="E165" s="459">
        <v>674</v>
      </c>
      <c r="G165" s="523">
        <f>Taulukko3[[#This Row],[Väestö, 18-64-vuotiaat (2023)]]*Taulukko412[Perushinnat, €]</f>
        <v>895740.4</v>
      </c>
      <c r="H165" s="491">
        <f>Taulukko3[[#This Row],[Työttömät ja palveluissa olevat (2023)]]*Taulukko412[[ ]]</f>
        <v>381117.27</v>
      </c>
      <c r="I165" s="491">
        <f>Taulukko3[[#This Row],[Vieraskieliset (2023)]]*Taulukko412[[  ]]</f>
        <v>56103.759999999995</v>
      </c>
      <c r="J165" s="500">
        <f t="shared" si="10"/>
        <v>1332961.43</v>
      </c>
      <c r="K165" s="491"/>
      <c r="L165" s="497">
        <f>'TE25 Palveluiden kustannusarvio'!U158</f>
        <v>472164.50951037509</v>
      </c>
      <c r="M165" s="458">
        <f t="shared" si="11"/>
        <v>-666480.71499999997</v>
      </c>
      <c r="N165" s="500">
        <f t="shared" si="12"/>
        <v>-194316.20548962487</v>
      </c>
      <c r="P165" s="503">
        <f>Taulukko3[[#This Row],[Vieraskieliset (2023)]]*$P$9</f>
        <v>21318.62</v>
      </c>
      <c r="Q165" s="459"/>
      <c r="R165" s="530">
        <f t="shared" si="13"/>
        <v>1159963.8445103751</v>
      </c>
    </row>
    <row r="166" spans="1:18">
      <c r="A166" s="474">
        <v>500</v>
      </c>
      <c r="B166" s="474" t="s">
        <v>164</v>
      </c>
      <c r="C166" s="459">
        <v>5800</v>
      </c>
      <c r="D166" s="459">
        <v>552</v>
      </c>
      <c r="E166" s="459">
        <v>207</v>
      </c>
      <c r="G166" s="523">
        <f>Taulukko3[[#This Row],[Väestö, 18-64-vuotiaat (2023)]]*Taulukko412[Perushinnat, €]</f>
        <v>484184</v>
      </c>
      <c r="H166" s="491">
        <f>Taulukko3[[#This Row],[Työttömät ja palveluissa olevat (2023)]]*Taulukko412[[ ]]</f>
        <v>405350.16000000003</v>
      </c>
      <c r="I166" s="491">
        <f>Taulukko3[[#This Row],[Vieraskieliset (2023)]]*Taulukko412[[  ]]</f>
        <v>17230.68</v>
      </c>
      <c r="J166" s="500">
        <f t="shared" si="10"/>
        <v>906764.84000000008</v>
      </c>
      <c r="K166" s="491"/>
      <c r="L166" s="497">
        <f>'TE25 Palveluiden kustannusarvio'!U159</f>
        <v>496572.48630862182</v>
      </c>
      <c r="M166" s="458">
        <f t="shared" si="11"/>
        <v>-453382.42000000004</v>
      </c>
      <c r="N166" s="500">
        <f t="shared" si="12"/>
        <v>43190.066308621783</v>
      </c>
      <c r="P166" s="503">
        <f>Taulukko3[[#This Row],[Vieraskieliset (2023)]]*$P$9</f>
        <v>6547.41</v>
      </c>
      <c r="Q166" s="459"/>
      <c r="R166" s="530">
        <f t="shared" si="13"/>
        <v>956502.3163086219</v>
      </c>
    </row>
    <row r="167" spans="1:18">
      <c r="A167" s="474">
        <v>503</v>
      </c>
      <c r="B167" s="474" t="s">
        <v>165</v>
      </c>
      <c r="C167" s="459">
        <v>4018</v>
      </c>
      <c r="D167" s="459">
        <v>336</v>
      </c>
      <c r="E167" s="459">
        <v>293</v>
      </c>
      <c r="G167" s="523">
        <f>Taulukko3[[#This Row],[Väestö, 18-64-vuotiaat (2023)]]*Taulukko412[Perushinnat, €]</f>
        <v>335422.64</v>
      </c>
      <c r="H167" s="491">
        <f>Taulukko3[[#This Row],[Työttömät ja palveluissa olevat (2023)]]*Taulukko412[[ ]]</f>
        <v>246734.88</v>
      </c>
      <c r="I167" s="491">
        <f>Taulukko3[[#This Row],[Vieraskieliset (2023)]]*Taulukko412[[  ]]</f>
        <v>24389.32</v>
      </c>
      <c r="J167" s="500">
        <f t="shared" si="10"/>
        <v>606546.84</v>
      </c>
      <c r="K167" s="491"/>
      <c r="L167" s="497">
        <f>'TE25 Palveluiden kustannusarvio'!U160</f>
        <v>288830.46010919497</v>
      </c>
      <c r="M167" s="458">
        <f t="shared" si="11"/>
        <v>-303273.42</v>
      </c>
      <c r="N167" s="500">
        <f t="shared" si="12"/>
        <v>-14442.95989080501</v>
      </c>
      <c r="P167" s="503">
        <f>Taulukko3[[#This Row],[Vieraskieliset (2023)]]*$P$9</f>
        <v>9267.59</v>
      </c>
      <c r="Q167" s="459"/>
      <c r="R167" s="530">
        <f t="shared" si="13"/>
        <v>601371.47010919487</v>
      </c>
    </row>
    <row r="168" spans="1:18">
      <c r="A168" s="474">
        <v>504</v>
      </c>
      <c r="B168" s="474" t="s">
        <v>166</v>
      </c>
      <c r="C168" s="459">
        <v>889</v>
      </c>
      <c r="D168" s="459">
        <v>99</v>
      </c>
      <c r="E168" s="459">
        <v>72</v>
      </c>
      <c r="G168" s="523">
        <f>Taulukko3[[#This Row],[Väestö, 18-64-vuotiaat (2023)]]*Taulukko412[Perushinnat, €]</f>
        <v>74213.72</v>
      </c>
      <c r="H168" s="491">
        <f>Taulukko3[[#This Row],[Työttömät ja palveluissa olevat (2023)]]*Taulukko412[[ ]]</f>
        <v>72698.67</v>
      </c>
      <c r="I168" s="491">
        <f>Taulukko3[[#This Row],[Vieraskieliset (2023)]]*Taulukko412[[  ]]</f>
        <v>5993.28</v>
      </c>
      <c r="J168" s="500">
        <f t="shared" si="10"/>
        <v>152905.67000000001</v>
      </c>
      <c r="K168" s="491"/>
      <c r="L168" s="497">
        <f>'TE25 Palveluiden kustannusarvio'!U161</f>
        <v>75774.270858319447</v>
      </c>
      <c r="M168" s="458">
        <f t="shared" si="11"/>
        <v>-76452.835000000006</v>
      </c>
      <c r="N168" s="500">
        <f t="shared" si="12"/>
        <v>-678.56414168055926</v>
      </c>
      <c r="P168" s="503">
        <f>Taulukko3[[#This Row],[Vieraskieliset (2023)]]*$P$9</f>
        <v>2277.36</v>
      </c>
      <c r="Q168" s="459"/>
      <c r="R168" s="530">
        <f t="shared" si="13"/>
        <v>154504.46585831943</v>
      </c>
    </row>
    <row r="169" spans="1:18">
      <c r="A169" s="474">
        <v>505</v>
      </c>
      <c r="B169" s="474" t="s">
        <v>167</v>
      </c>
      <c r="C169" s="459">
        <v>11920</v>
      </c>
      <c r="D169" s="459">
        <v>955</v>
      </c>
      <c r="E169" s="459">
        <v>1117</v>
      </c>
      <c r="G169" s="523">
        <f>Taulukko3[[#This Row],[Väestö, 18-64-vuotiaat (2023)]]*Taulukko412[Perushinnat, €]</f>
        <v>995081.60000000009</v>
      </c>
      <c r="H169" s="491">
        <f>Taulukko3[[#This Row],[Työttömät ja palveluissa olevat (2023)]]*Taulukko412[[ ]]</f>
        <v>701285.15</v>
      </c>
      <c r="I169" s="491">
        <f>Taulukko3[[#This Row],[Vieraskieliset (2023)]]*Taulukko412[[  ]]</f>
        <v>92979.079999999987</v>
      </c>
      <c r="J169" s="500">
        <f t="shared" si="10"/>
        <v>1789345.83</v>
      </c>
      <c r="K169" s="491"/>
      <c r="L169" s="497">
        <f>'TE25 Palveluiden kustannusarvio'!U162</f>
        <v>756631.29177263321</v>
      </c>
      <c r="M169" s="458">
        <f t="shared" si="11"/>
        <v>-894672.91500000004</v>
      </c>
      <c r="N169" s="500">
        <f t="shared" si="12"/>
        <v>-138041.62322736683</v>
      </c>
      <c r="P169" s="503">
        <f>Taulukko3[[#This Row],[Vieraskieliset (2023)]]*$P$9</f>
        <v>35330.71</v>
      </c>
      <c r="Q169" s="459"/>
      <c r="R169" s="530">
        <f t="shared" si="13"/>
        <v>1686634.9167726333</v>
      </c>
    </row>
    <row r="170" spans="1:18">
      <c r="A170" s="474">
        <v>507</v>
      </c>
      <c r="B170" s="474" t="s">
        <v>168</v>
      </c>
      <c r="C170" s="459">
        <v>2635</v>
      </c>
      <c r="D170" s="459">
        <v>304</v>
      </c>
      <c r="E170" s="459">
        <v>243</v>
      </c>
      <c r="G170" s="523">
        <f>Taulukko3[[#This Row],[Väestö, 18-64-vuotiaat (2023)]]*Taulukko412[Perushinnat, €]</f>
        <v>219969.80000000002</v>
      </c>
      <c r="H170" s="491">
        <f>Taulukko3[[#This Row],[Työttömät ja palveluissa olevat (2023)]]*Taulukko412[[ ]]</f>
        <v>223236.32</v>
      </c>
      <c r="I170" s="491">
        <f>Taulukko3[[#This Row],[Vieraskieliset (2023)]]*Taulukko412[[  ]]</f>
        <v>20227.32</v>
      </c>
      <c r="J170" s="500">
        <f t="shared" si="10"/>
        <v>463433.44</v>
      </c>
      <c r="K170" s="491"/>
      <c r="L170" s="497">
        <f>'TE25 Palveluiden kustannusarvio'!U163</f>
        <v>240895.04379927824</v>
      </c>
      <c r="M170" s="458">
        <f t="shared" si="11"/>
        <v>-231716.72</v>
      </c>
      <c r="N170" s="500">
        <f t="shared" si="12"/>
        <v>9178.3237992782379</v>
      </c>
      <c r="P170" s="503">
        <f>Taulukko3[[#This Row],[Vieraskieliset (2023)]]*$P$9</f>
        <v>7686.09</v>
      </c>
      <c r="Q170" s="459"/>
      <c r="R170" s="530">
        <f t="shared" si="13"/>
        <v>480297.85379927827</v>
      </c>
    </row>
    <row r="171" spans="1:18">
      <c r="A171" s="474">
        <v>508</v>
      </c>
      <c r="B171" s="474" t="s">
        <v>169</v>
      </c>
      <c r="C171" s="459">
        <v>4452</v>
      </c>
      <c r="D171" s="459">
        <v>583</v>
      </c>
      <c r="E171" s="459">
        <v>355</v>
      </c>
      <c r="G171" s="523">
        <f>Taulukko3[[#This Row],[Väestö, 18-64-vuotiaat (2023)]]*Taulukko412[Perushinnat, €]</f>
        <v>371652.96</v>
      </c>
      <c r="H171" s="491">
        <f>Taulukko3[[#This Row],[Työttömät ja palveluissa olevat (2023)]]*Taulukko412[[ ]]</f>
        <v>428114.39</v>
      </c>
      <c r="I171" s="491">
        <f>Taulukko3[[#This Row],[Vieraskieliset (2023)]]*Taulukko412[[  ]]</f>
        <v>29550.199999999997</v>
      </c>
      <c r="J171" s="500">
        <f t="shared" si="10"/>
        <v>829317.55</v>
      </c>
      <c r="K171" s="491"/>
      <c r="L171" s="497">
        <f>'TE25 Palveluiden kustannusarvio'!U164</f>
        <v>413136.43680043722</v>
      </c>
      <c r="M171" s="458">
        <f t="shared" si="11"/>
        <v>-414658.77500000002</v>
      </c>
      <c r="N171" s="500">
        <f t="shared" si="12"/>
        <v>-1522.3381995628006</v>
      </c>
      <c r="P171" s="503">
        <f>Taulukko3[[#This Row],[Vieraskieliset (2023)]]*$P$9</f>
        <v>11228.65</v>
      </c>
      <c r="Q171" s="459"/>
      <c r="R171" s="530">
        <f t="shared" si="13"/>
        <v>839023.86180043721</v>
      </c>
    </row>
    <row r="172" spans="1:18">
      <c r="A172" s="474">
        <v>529</v>
      </c>
      <c r="B172" s="474" t="s">
        <v>170</v>
      </c>
      <c r="C172" s="459">
        <v>10792</v>
      </c>
      <c r="D172" s="459">
        <v>897</v>
      </c>
      <c r="E172" s="459">
        <v>775</v>
      </c>
      <c r="G172" s="523">
        <f>Taulukko3[[#This Row],[Väestö, 18-64-vuotiaat (2023)]]*Taulukko412[Perushinnat, €]</f>
        <v>900916.16</v>
      </c>
      <c r="H172" s="491">
        <f>Taulukko3[[#This Row],[Työttömät ja palveluissa olevat (2023)]]*Taulukko412[[ ]]</f>
        <v>658694.01</v>
      </c>
      <c r="I172" s="491">
        <f>Taulukko3[[#This Row],[Vieraskieliset (2023)]]*Taulukko412[[  ]]</f>
        <v>64510.999999999993</v>
      </c>
      <c r="J172" s="500">
        <f t="shared" si="10"/>
        <v>1624121.17</v>
      </c>
      <c r="K172" s="491"/>
      <c r="L172" s="497">
        <f>'TE25 Palveluiden kustannusarvio'!U165</f>
        <v>785297.03426975093</v>
      </c>
      <c r="M172" s="458">
        <f t="shared" si="11"/>
        <v>-812060.58499999996</v>
      </c>
      <c r="N172" s="500">
        <f t="shared" si="12"/>
        <v>-26763.55073024903</v>
      </c>
      <c r="P172" s="503">
        <f>Taulukko3[[#This Row],[Vieraskieliset (2023)]]*$P$9</f>
        <v>24513.25</v>
      </c>
      <c r="Q172" s="459"/>
      <c r="R172" s="530">
        <f t="shared" si="13"/>
        <v>1621870.869269751</v>
      </c>
    </row>
    <row r="173" spans="1:18">
      <c r="A173" s="474">
        <v>531</v>
      </c>
      <c r="B173" s="474" t="s">
        <v>171</v>
      </c>
      <c r="C173" s="459">
        <v>2587</v>
      </c>
      <c r="D173" s="459">
        <v>306</v>
      </c>
      <c r="E173" s="459">
        <v>96</v>
      </c>
      <c r="G173" s="523">
        <f>Taulukko3[[#This Row],[Väestö, 18-64-vuotiaat (2023)]]*Taulukko412[Perushinnat, €]</f>
        <v>215962.76</v>
      </c>
      <c r="H173" s="491">
        <f>Taulukko3[[#This Row],[Työttömät ja palveluissa olevat (2023)]]*Taulukko412[[ ]]</f>
        <v>224704.98</v>
      </c>
      <c r="I173" s="491">
        <f>Taulukko3[[#This Row],[Vieraskieliset (2023)]]*Taulukko412[[  ]]</f>
        <v>7991.0399999999991</v>
      </c>
      <c r="J173" s="500">
        <f t="shared" si="10"/>
        <v>448658.77999999997</v>
      </c>
      <c r="K173" s="491"/>
      <c r="L173" s="497">
        <f>'TE25 Palveluiden kustannusarvio'!U166</f>
        <v>201198.33869577563</v>
      </c>
      <c r="M173" s="458">
        <f t="shared" si="11"/>
        <v>-224329.38999999998</v>
      </c>
      <c r="N173" s="500">
        <f t="shared" si="12"/>
        <v>-23131.051304224355</v>
      </c>
      <c r="P173" s="503">
        <f>Taulukko3[[#This Row],[Vieraskieliset (2023)]]*$P$9</f>
        <v>3036.48</v>
      </c>
      <c r="Q173" s="459"/>
      <c r="R173" s="530">
        <f t="shared" si="13"/>
        <v>428564.2086957756</v>
      </c>
    </row>
    <row r="174" spans="1:18">
      <c r="A174" s="474">
        <v>535</v>
      </c>
      <c r="B174" s="474" t="s">
        <v>172</v>
      </c>
      <c r="C174" s="459">
        <v>5214</v>
      </c>
      <c r="D174" s="459">
        <v>450</v>
      </c>
      <c r="E174" s="459">
        <v>163</v>
      </c>
      <c r="G174" s="523">
        <f>Taulukko3[[#This Row],[Väestö, 18-64-vuotiaat (2023)]]*Taulukko412[Perushinnat, €]</f>
        <v>435264.72000000003</v>
      </c>
      <c r="H174" s="491">
        <f>Taulukko3[[#This Row],[Työttömät ja palveluissa olevat (2023)]]*Taulukko412[[ ]]</f>
        <v>330448.5</v>
      </c>
      <c r="I174" s="491">
        <f>Taulukko3[[#This Row],[Vieraskieliset (2023)]]*Taulukko412[[  ]]</f>
        <v>13568.119999999999</v>
      </c>
      <c r="J174" s="500">
        <f t="shared" si="10"/>
        <v>779281.34</v>
      </c>
      <c r="K174" s="491"/>
      <c r="L174" s="497">
        <f>'TE25 Palveluiden kustannusarvio'!U167</f>
        <v>342867.85141129262</v>
      </c>
      <c r="M174" s="458">
        <f t="shared" si="11"/>
        <v>-389640.67</v>
      </c>
      <c r="N174" s="500">
        <f t="shared" si="12"/>
        <v>-46772.818588707363</v>
      </c>
      <c r="P174" s="503">
        <f>Taulukko3[[#This Row],[Vieraskieliset (2023)]]*$P$9</f>
        <v>5155.6899999999996</v>
      </c>
      <c r="Q174" s="459"/>
      <c r="R174" s="530">
        <f t="shared" si="13"/>
        <v>737664.21141129255</v>
      </c>
    </row>
    <row r="175" spans="1:18">
      <c r="A175" s="474">
        <v>536</v>
      </c>
      <c r="B175" s="474" t="s">
        <v>173</v>
      </c>
      <c r="C175" s="459">
        <v>20527</v>
      </c>
      <c r="D175" s="459">
        <v>1994</v>
      </c>
      <c r="E175" s="459">
        <v>1288</v>
      </c>
      <c r="G175" s="523">
        <f>Taulukko3[[#This Row],[Väestö, 18-64-vuotiaat (2023)]]*Taulukko412[Perushinnat, €]</f>
        <v>1713593.9600000002</v>
      </c>
      <c r="H175" s="491">
        <f>Taulukko3[[#This Row],[Työttömät ja palveluissa olevat (2023)]]*Taulukko412[[ ]]</f>
        <v>1464254.02</v>
      </c>
      <c r="I175" s="491">
        <f>Taulukko3[[#This Row],[Vieraskieliset (2023)]]*Taulukko412[[  ]]</f>
        <v>107213.12</v>
      </c>
      <c r="J175" s="500">
        <f t="shared" si="10"/>
        <v>3285061.1000000006</v>
      </c>
      <c r="K175" s="491"/>
      <c r="L175" s="497">
        <f>'TE25 Palveluiden kustannusarvio'!U168</f>
        <v>1609204.4981938684</v>
      </c>
      <c r="M175" s="458">
        <f t="shared" si="11"/>
        <v>-1642530.5500000003</v>
      </c>
      <c r="N175" s="500">
        <f t="shared" si="12"/>
        <v>-33326.051806131843</v>
      </c>
      <c r="P175" s="503">
        <f>Taulukko3[[#This Row],[Vieraskieliset (2023)]]*$P$9</f>
        <v>40739.440000000002</v>
      </c>
      <c r="Q175" s="459"/>
      <c r="R175" s="530">
        <f t="shared" si="13"/>
        <v>3292474.4881938687</v>
      </c>
    </row>
    <row r="176" spans="1:18">
      <c r="A176" s="474">
        <v>538</v>
      </c>
      <c r="B176" s="474" t="s">
        <v>174</v>
      </c>
      <c r="C176" s="459">
        <v>2631</v>
      </c>
      <c r="D176" s="459">
        <v>167</v>
      </c>
      <c r="E176" s="459">
        <v>158</v>
      </c>
      <c r="G176" s="523">
        <f>Taulukko3[[#This Row],[Väestö, 18-64-vuotiaat (2023)]]*Taulukko412[Perushinnat, €]</f>
        <v>219635.88</v>
      </c>
      <c r="H176" s="491">
        <f>Taulukko3[[#This Row],[Työttömät ja palveluissa olevat (2023)]]*Taulukko412[[ ]]</f>
        <v>122633.11</v>
      </c>
      <c r="I176" s="491">
        <f>Taulukko3[[#This Row],[Vieraskieliset (2023)]]*Taulukko412[[  ]]</f>
        <v>13151.92</v>
      </c>
      <c r="J176" s="500">
        <f t="shared" si="10"/>
        <v>355420.91</v>
      </c>
      <c r="K176" s="491"/>
      <c r="L176" s="497">
        <f>'TE25 Palveluiden kustannusarvio'!U169</f>
        <v>135576.75466352236</v>
      </c>
      <c r="M176" s="458">
        <f t="shared" si="11"/>
        <v>-177710.45499999999</v>
      </c>
      <c r="N176" s="500">
        <f t="shared" si="12"/>
        <v>-42133.700336477632</v>
      </c>
      <c r="P176" s="503">
        <f>Taulukko3[[#This Row],[Vieraskieliset (2023)]]*$P$9</f>
        <v>4997.54</v>
      </c>
      <c r="Q176" s="459"/>
      <c r="R176" s="530">
        <f t="shared" si="13"/>
        <v>318284.74966352229</v>
      </c>
    </row>
    <row r="177" spans="1:18">
      <c r="A177" s="474">
        <v>541</v>
      </c>
      <c r="B177" s="474" t="s">
        <v>175</v>
      </c>
      <c r="C177" s="459">
        <v>4397</v>
      </c>
      <c r="D177" s="459">
        <v>619</v>
      </c>
      <c r="E177" s="459">
        <v>307</v>
      </c>
      <c r="G177" s="523">
        <f>Taulukko3[[#This Row],[Väestö, 18-64-vuotiaat (2023)]]*Taulukko412[Perushinnat, €]</f>
        <v>367061.56</v>
      </c>
      <c r="H177" s="491">
        <f>Taulukko3[[#This Row],[Työttömät ja palveluissa olevat (2023)]]*Taulukko412[[ ]]</f>
        <v>454550.27</v>
      </c>
      <c r="I177" s="491">
        <f>Taulukko3[[#This Row],[Vieraskieliset (2023)]]*Taulukko412[[  ]]</f>
        <v>25554.679999999997</v>
      </c>
      <c r="J177" s="500">
        <f t="shared" si="10"/>
        <v>847166.51000000013</v>
      </c>
      <c r="K177" s="491"/>
      <c r="L177" s="497">
        <f>'TE25 Palveluiden kustannusarvio'!U170</f>
        <v>748648.1176132221</v>
      </c>
      <c r="M177" s="458">
        <f t="shared" si="11"/>
        <v>-423583.25500000006</v>
      </c>
      <c r="N177" s="500">
        <f t="shared" si="12"/>
        <v>325064.86261322204</v>
      </c>
      <c r="P177" s="503">
        <f>Taulukko3[[#This Row],[Vieraskieliset (2023)]]*$P$9</f>
        <v>9710.41</v>
      </c>
      <c r="Q177" s="459"/>
      <c r="R177" s="530">
        <f t="shared" si="13"/>
        <v>1181941.782613222</v>
      </c>
    </row>
    <row r="178" spans="1:18">
      <c r="A178" s="474">
        <v>543</v>
      </c>
      <c r="B178" s="474" t="s">
        <v>176</v>
      </c>
      <c r="C178" s="459">
        <v>26341</v>
      </c>
      <c r="D178" s="459">
        <v>2110</v>
      </c>
      <c r="E178" s="459">
        <v>3434</v>
      </c>
      <c r="G178" s="523">
        <f>Taulukko3[[#This Row],[Väestö, 18-64-vuotiaat (2023)]]*Taulukko412[Perushinnat, €]</f>
        <v>2198946.6800000002</v>
      </c>
      <c r="H178" s="491">
        <f>Taulukko3[[#This Row],[Työttömät ja palveluissa olevat (2023)]]*Taulukko412[[ ]]</f>
        <v>1549436.3</v>
      </c>
      <c r="I178" s="491">
        <f>Taulukko3[[#This Row],[Vieraskieliset (2023)]]*Taulukko412[[  ]]</f>
        <v>285846.15999999997</v>
      </c>
      <c r="J178" s="500">
        <f t="shared" si="10"/>
        <v>4034229.1400000006</v>
      </c>
      <c r="K178" s="491"/>
      <c r="L178" s="497">
        <f>'TE25 Palveluiden kustannusarvio'!U171</f>
        <v>1526304.9144827202</v>
      </c>
      <c r="M178" s="458">
        <f t="shared" si="11"/>
        <v>-2017114.5700000003</v>
      </c>
      <c r="N178" s="500">
        <f t="shared" si="12"/>
        <v>-490809.6555172801</v>
      </c>
      <c r="P178" s="503">
        <f>Taulukko3[[#This Row],[Vieraskieliset (2023)]]*$P$9</f>
        <v>108617.42</v>
      </c>
      <c r="Q178" s="459"/>
      <c r="R178" s="530">
        <f t="shared" si="13"/>
        <v>3652036.9044827204</v>
      </c>
    </row>
    <row r="179" spans="1:18">
      <c r="A179" s="474">
        <v>545</v>
      </c>
      <c r="B179" s="474" t="s">
        <v>177</v>
      </c>
      <c r="C179" s="459">
        <v>5096</v>
      </c>
      <c r="D179" s="459">
        <v>298</v>
      </c>
      <c r="E179" s="459">
        <v>2012</v>
      </c>
      <c r="G179" s="523">
        <f>Taulukko3[[#This Row],[Väestö, 18-64-vuotiaat (2023)]]*Taulukko412[Perushinnat, €]</f>
        <v>425414.08</v>
      </c>
      <c r="H179" s="491">
        <f>Taulukko3[[#This Row],[Työttömät ja palveluissa olevat (2023)]]*Taulukko412[[ ]]</f>
        <v>218830.34000000003</v>
      </c>
      <c r="I179" s="491">
        <f>Taulukko3[[#This Row],[Vieraskieliset (2023)]]*Taulukko412[[  ]]</f>
        <v>167478.87999999998</v>
      </c>
      <c r="J179" s="500">
        <f t="shared" si="10"/>
        <v>811723.3</v>
      </c>
      <c r="K179" s="491"/>
      <c r="L179" s="497">
        <f>'TE25 Palveluiden kustannusarvio'!U172</f>
        <v>251077.81640845578</v>
      </c>
      <c r="M179" s="458">
        <f t="shared" si="11"/>
        <v>-405861.65</v>
      </c>
      <c r="N179" s="500">
        <f t="shared" si="12"/>
        <v>-154783.83359154424</v>
      </c>
      <c r="P179" s="503">
        <f>Taulukko3[[#This Row],[Vieraskieliset (2023)]]*$P$9</f>
        <v>63639.56</v>
      </c>
      <c r="Q179" s="459"/>
      <c r="R179" s="530">
        <f t="shared" si="13"/>
        <v>720579.0264084558</v>
      </c>
    </row>
    <row r="180" spans="1:18">
      <c r="A180" s="474">
        <v>560</v>
      </c>
      <c r="B180" s="474" t="s">
        <v>178</v>
      </c>
      <c r="C180" s="459">
        <v>8446</v>
      </c>
      <c r="D180" s="459">
        <v>991</v>
      </c>
      <c r="E180" s="459">
        <v>595</v>
      </c>
      <c r="G180" s="523">
        <f>Taulukko3[[#This Row],[Väestö, 18-64-vuotiaat (2023)]]*Taulukko412[Perushinnat, €]</f>
        <v>705072.08000000007</v>
      </c>
      <c r="H180" s="491">
        <f>Taulukko3[[#This Row],[Työttömät ja palveluissa olevat (2023)]]*Taulukko412[[ ]]</f>
        <v>727721.03</v>
      </c>
      <c r="I180" s="491">
        <f>Taulukko3[[#This Row],[Vieraskieliset (2023)]]*Taulukko412[[  ]]</f>
        <v>49527.799999999996</v>
      </c>
      <c r="J180" s="500">
        <f t="shared" si="10"/>
        <v>1482320.9100000001</v>
      </c>
      <c r="K180" s="491"/>
      <c r="L180" s="497">
        <f>'TE25 Palveluiden kustannusarvio'!U173</f>
        <v>810037.67067027686</v>
      </c>
      <c r="M180" s="458">
        <f t="shared" si="11"/>
        <v>-741160.45500000007</v>
      </c>
      <c r="N180" s="500">
        <f t="shared" si="12"/>
        <v>68877.215670276782</v>
      </c>
      <c r="P180" s="503">
        <f>Taulukko3[[#This Row],[Vieraskieliset (2023)]]*$P$9</f>
        <v>18819.849999999999</v>
      </c>
      <c r="Q180" s="459"/>
      <c r="R180" s="530">
        <f t="shared" si="13"/>
        <v>1570017.9756702771</v>
      </c>
    </row>
    <row r="181" spans="1:18">
      <c r="A181" s="474">
        <v>561</v>
      </c>
      <c r="B181" s="474" t="s">
        <v>179</v>
      </c>
      <c r="C181" s="459">
        <v>686</v>
      </c>
      <c r="D181" s="459">
        <v>69</v>
      </c>
      <c r="E181" s="459">
        <v>116</v>
      </c>
      <c r="G181" s="523">
        <f>Taulukko3[[#This Row],[Väestö, 18-64-vuotiaat (2023)]]*Taulukko412[Perushinnat, €]</f>
        <v>57267.280000000006</v>
      </c>
      <c r="H181" s="491">
        <f>Taulukko3[[#This Row],[Työttömät ja palveluissa olevat (2023)]]*Taulukko412[[ ]]</f>
        <v>50668.770000000004</v>
      </c>
      <c r="I181" s="491">
        <f>Taulukko3[[#This Row],[Vieraskieliset (2023)]]*Taulukko412[[  ]]</f>
        <v>9655.84</v>
      </c>
      <c r="J181" s="500">
        <f t="shared" si="10"/>
        <v>117591.89000000001</v>
      </c>
      <c r="K181" s="491"/>
      <c r="L181" s="497">
        <f>'TE25 Palveluiden kustannusarvio'!U174</f>
        <v>70554.100890239206</v>
      </c>
      <c r="M181" s="458">
        <f t="shared" si="11"/>
        <v>-58795.945000000007</v>
      </c>
      <c r="N181" s="500">
        <f t="shared" si="12"/>
        <v>11758.155890239199</v>
      </c>
      <c r="P181" s="503">
        <f>Taulukko3[[#This Row],[Vieraskieliset (2023)]]*$P$9</f>
        <v>3669.08</v>
      </c>
      <c r="Q181" s="459"/>
      <c r="R181" s="530">
        <f t="shared" si="13"/>
        <v>133019.1258902392</v>
      </c>
    </row>
    <row r="182" spans="1:18">
      <c r="A182" s="474">
        <v>562</v>
      </c>
      <c r="B182" s="474" t="s">
        <v>180</v>
      </c>
      <c r="C182" s="459">
        <v>4484</v>
      </c>
      <c r="D182" s="459">
        <v>458</v>
      </c>
      <c r="E182" s="459">
        <v>201</v>
      </c>
      <c r="G182" s="523">
        <f>Taulukko3[[#This Row],[Väestö, 18-64-vuotiaat (2023)]]*Taulukko412[Perushinnat, €]</f>
        <v>374324.32</v>
      </c>
      <c r="H182" s="491">
        <f>Taulukko3[[#This Row],[Työttömät ja palveluissa olevat (2023)]]*Taulukko412[[ ]]</f>
        <v>336323.14</v>
      </c>
      <c r="I182" s="491">
        <f>Taulukko3[[#This Row],[Vieraskieliset (2023)]]*Taulukko412[[  ]]</f>
        <v>16731.239999999998</v>
      </c>
      <c r="J182" s="500">
        <f t="shared" si="10"/>
        <v>727378.7</v>
      </c>
      <c r="K182" s="491"/>
      <c r="L182" s="497">
        <f>'TE25 Palveluiden kustannusarvio'!U175</f>
        <v>362763.81967009569</v>
      </c>
      <c r="M182" s="458">
        <f t="shared" si="11"/>
        <v>-363689.35</v>
      </c>
      <c r="N182" s="500">
        <f t="shared" si="12"/>
        <v>-925.53032990428619</v>
      </c>
      <c r="P182" s="503">
        <f>Taulukko3[[#This Row],[Vieraskieliset (2023)]]*$P$9</f>
        <v>6357.63</v>
      </c>
      <c r="Q182" s="459"/>
      <c r="R182" s="530">
        <f t="shared" si="13"/>
        <v>732810.79967009567</v>
      </c>
    </row>
    <row r="183" spans="1:18">
      <c r="A183" s="474">
        <v>563</v>
      </c>
      <c r="B183" s="474" t="s">
        <v>181</v>
      </c>
      <c r="C183" s="459">
        <v>3469</v>
      </c>
      <c r="D183" s="459">
        <v>374</v>
      </c>
      <c r="E183" s="459">
        <v>159</v>
      </c>
      <c r="G183" s="523">
        <f>Taulukko3[[#This Row],[Väestö, 18-64-vuotiaat (2023)]]*Taulukko412[Perushinnat, €]</f>
        <v>289592.12</v>
      </c>
      <c r="H183" s="491">
        <f>Taulukko3[[#This Row],[Työttömät ja palveluissa olevat (2023)]]*Taulukko412[[ ]]</f>
        <v>274639.42000000004</v>
      </c>
      <c r="I183" s="491">
        <f>Taulukko3[[#This Row],[Vieraskieliset (2023)]]*Taulukko412[[  ]]</f>
        <v>13235.16</v>
      </c>
      <c r="J183" s="500">
        <f t="shared" si="10"/>
        <v>577466.70000000007</v>
      </c>
      <c r="K183" s="491"/>
      <c r="L183" s="497">
        <f>'TE25 Palveluiden kustannusarvio'!U176</f>
        <v>282969.85838523175</v>
      </c>
      <c r="M183" s="458">
        <f t="shared" si="11"/>
        <v>-288733.35000000003</v>
      </c>
      <c r="N183" s="500">
        <f t="shared" si="12"/>
        <v>-5763.4916147682816</v>
      </c>
      <c r="P183" s="503">
        <f>Taulukko3[[#This Row],[Vieraskieliset (2023)]]*$P$9</f>
        <v>5029.17</v>
      </c>
      <c r="Q183" s="459"/>
      <c r="R183" s="530">
        <f t="shared" si="13"/>
        <v>576732.37838523183</v>
      </c>
    </row>
    <row r="184" spans="1:18">
      <c r="A184" s="474">
        <v>564</v>
      </c>
      <c r="B184" s="474" t="s">
        <v>182</v>
      </c>
      <c r="C184" s="459">
        <v>134695</v>
      </c>
      <c r="D184" s="459">
        <v>16964</v>
      </c>
      <c r="E184" s="459">
        <v>12825</v>
      </c>
      <c r="G184" s="523">
        <f>Taulukko3[[#This Row],[Väestö, 18-64-vuotiaat (2023)]]*Taulukko412[Perushinnat, €]</f>
        <v>11244338.6</v>
      </c>
      <c r="H184" s="491">
        <f>Taulukko3[[#This Row],[Työttömät ja palveluissa olevat (2023)]]*Taulukko412[[ ]]</f>
        <v>12457174.120000001</v>
      </c>
      <c r="I184" s="491">
        <f>Taulukko3[[#This Row],[Vieraskieliset (2023)]]*Taulukko412[[  ]]</f>
        <v>1067553</v>
      </c>
      <c r="J184" s="500">
        <f t="shared" si="10"/>
        <v>24769065.719999999</v>
      </c>
      <c r="K184" s="491"/>
      <c r="L184" s="497">
        <f>'TE25 Palveluiden kustannusarvio'!U177</f>
        <v>12282480.676921677</v>
      </c>
      <c r="M184" s="458">
        <f t="shared" si="11"/>
        <v>-12384532.859999999</v>
      </c>
      <c r="N184" s="500">
        <f t="shared" si="12"/>
        <v>-102052.18307832256</v>
      </c>
      <c r="P184" s="503">
        <f>Taulukko3[[#This Row],[Vieraskieliset (2023)]]*$P$9</f>
        <v>405654.75</v>
      </c>
      <c r="Q184" s="459"/>
      <c r="R184" s="530">
        <f t="shared" si="13"/>
        <v>25072668.286921676</v>
      </c>
    </row>
    <row r="185" spans="1:18">
      <c r="A185" s="474">
        <v>576</v>
      </c>
      <c r="B185" s="474" t="s">
        <v>183</v>
      </c>
      <c r="C185" s="459">
        <v>1234</v>
      </c>
      <c r="D185" s="459">
        <v>155</v>
      </c>
      <c r="E185" s="459">
        <v>80</v>
      </c>
      <c r="G185" s="523">
        <f>Taulukko3[[#This Row],[Väestö, 18-64-vuotiaat (2023)]]*Taulukko412[Perushinnat, €]</f>
        <v>103014.32</v>
      </c>
      <c r="H185" s="491">
        <f>Taulukko3[[#This Row],[Työttömät ja palveluissa olevat (2023)]]*Taulukko412[[ ]]</f>
        <v>113821.15000000001</v>
      </c>
      <c r="I185" s="491">
        <f>Taulukko3[[#This Row],[Vieraskieliset (2023)]]*Taulukko412[[  ]]</f>
        <v>6659.2</v>
      </c>
      <c r="J185" s="500">
        <f t="shared" si="10"/>
        <v>223494.67000000004</v>
      </c>
      <c r="K185" s="491"/>
      <c r="L185" s="497">
        <f>'TE25 Palveluiden kustannusarvio'!U178</f>
        <v>131026.73508774204</v>
      </c>
      <c r="M185" s="458">
        <f t="shared" si="11"/>
        <v>-111747.33500000002</v>
      </c>
      <c r="N185" s="500">
        <f t="shared" si="12"/>
        <v>19279.400087742019</v>
      </c>
      <c r="P185" s="503">
        <f>Taulukko3[[#This Row],[Vieraskieliset (2023)]]*$P$9</f>
        <v>2530.4</v>
      </c>
      <c r="Q185" s="459"/>
      <c r="R185" s="530">
        <f t="shared" si="13"/>
        <v>245304.47008774205</v>
      </c>
    </row>
    <row r="186" spans="1:18">
      <c r="A186" s="474">
        <v>577</v>
      </c>
      <c r="B186" s="474" t="s">
        <v>184</v>
      </c>
      <c r="C186" s="459">
        <v>6151</v>
      </c>
      <c r="D186" s="459">
        <v>445</v>
      </c>
      <c r="E186" s="459">
        <v>525</v>
      </c>
      <c r="G186" s="523">
        <f>Taulukko3[[#This Row],[Väestö, 18-64-vuotiaat (2023)]]*Taulukko412[Perushinnat, €]</f>
        <v>513485.48000000004</v>
      </c>
      <c r="H186" s="491">
        <f>Taulukko3[[#This Row],[Työttömät ja palveluissa olevat (2023)]]*Taulukko412[[ ]]</f>
        <v>326776.85000000003</v>
      </c>
      <c r="I186" s="491">
        <f>Taulukko3[[#This Row],[Vieraskieliset (2023)]]*Taulukko412[[  ]]</f>
        <v>43701</v>
      </c>
      <c r="J186" s="500">
        <f t="shared" si="10"/>
        <v>883963.33000000007</v>
      </c>
      <c r="K186" s="491"/>
      <c r="L186" s="497">
        <f>'TE25 Palveluiden kustannusarvio'!U179</f>
        <v>412950.49766707304</v>
      </c>
      <c r="M186" s="458">
        <f t="shared" si="11"/>
        <v>-441981.66500000004</v>
      </c>
      <c r="N186" s="500">
        <f t="shared" si="12"/>
        <v>-29031.167332926998</v>
      </c>
      <c r="P186" s="503">
        <f>Taulukko3[[#This Row],[Vieraskieliset (2023)]]*$P$9</f>
        <v>16605.75</v>
      </c>
      <c r="Q186" s="459"/>
      <c r="R186" s="530">
        <f t="shared" si="13"/>
        <v>871537.91266707308</v>
      </c>
    </row>
    <row r="187" spans="1:18">
      <c r="A187" s="474">
        <v>578</v>
      </c>
      <c r="B187" s="474" t="s">
        <v>185</v>
      </c>
      <c r="C187" s="459">
        <v>1477</v>
      </c>
      <c r="D187" s="459">
        <v>186</v>
      </c>
      <c r="E187" s="459">
        <v>53</v>
      </c>
      <c r="G187" s="523">
        <f>Taulukko3[[#This Row],[Väestö, 18-64-vuotiaat (2023)]]*Taulukko412[Perushinnat, €]</f>
        <v>123299.96</v>
      </c>
      <c r="H187" s="491">
        <f>Taulukko3[[#This Row],[Työttömät ja palveluissa olevat (2023)]]*Taulukko412[[ ]]</f>
        <v>136585.38</v>
      </c>
      <c r="I187" s="491">
        <f>Taulukko3[[#This Row],[Vieraskieliset (2023)]]*Taulukko412[[  ]]</f>
        <v>4411.7199999999993</v>
      </c>
      <c r="J187" s="500">
        <f t="shared" si="10"/>
        <v>264297.06</v>
      </c>
      <c r="K187" s="491"/>
      <c r="L187" s="497">
        <f>'TE25 Palveluiden kustannusarvio'!U180</f>
        <v>210783.9789914916</v>
      </c>
      <c r="M187" s="458">
        <f t="shared" si="11"/>
        <v>-132148.53</v>
      </c>
      <c r="N187" s="500">
        <f t="shared" si="12"/>
        <v>78635.448991491605</v>
      </c>
      <c r="P187" s="503">
        <f>Taulukko3[[#This Row],[Vieraskieliset (2023)]]*$P$9</f>
        <v>1676.3899999999999</v>
      </c>
      <c r="Q187" s="459"/>
      <c r="R187" s="530">
        <f t="shared" si="13"/>
        <v>344608.89899149165</v>
      </c>
    </row>
    <row r="188" spans="1:18">
      <c r="A188" s="474">
        <v>580</v>
      </c>
      <c r="B188" s="474" t="s">
        <v>186</v>
      </c>
      <c r="C188" s="459">
        <v>1975</v>
      </c>
      <c r="D188" s="459">
        <v>224</v>
      </c>
      <c r="E188" s="459">
        <v>137</v>
      </c>
      <c r="G188" s="523">
        <f>Taulukko3[[#This Row],[Väestö, 18-64-vuotiaat (2023)]]*Taulukko412[Perushinnat, €]</f>
        <v>164873</v>
      </c>
      <c r="H188" s="491">
        <f>Taulukko3[[#This Row],[Työttömät ja palveluissa olevat (2023)]]*Taulukko412[[ ]]</f>
        <v>164489.92000000001</v>
      </c>
      <c r="I188" s="491">
        <f>Taulukko3[[#This Row],[Vieraskieliset (2023)]]*Taulukko412[[  ]]</f>
        <v>11403.88</v>
      </c>
      <c r="J188" s="500">
        <f t="shared" si="10"/>
        <v>340766.80000000005</v>
      </c>
      <c r="K188" s="491"/>
      <c r="L188" s="497">
        <f>'TE25 Palveluiden kustannusarvio'!U181</f>
        <v>205561.07314223467</v>
      </c>
      <c r="M188" s="458">
        <f t="shared" si="11"/>
        <v>-170383.40000000002</v>
      </c>
      <c r="N188" s="500">
        <f t="shared" si="12"/>
        <v>35177.673142234649</v>
      </c>
      <c r="P188" s="503">
        <f>Taulukko3[[#This Row],[Vieraskieliset (2023)]]*$P$9</f>
        <v>4333.3099999999995</v>
      </c>
      <c r="Q188" s="459"/>
      <c r="R188" s="530">
        <f t="shared" si="13"/>
        <v>380277.78314223472</v>
      </c>
    </row>
    <row r="189" spans="1:18">
      <c r="A189" s="474">
        <v>581</v>
      </c>
      <c r="B189" s="474" t="s">
        <v>187</v>
      </c>
      <c r="C189" s="459">
        <v>2982</v>
      </c>
      <c r="D189" s="459">
        <v>400</v>
      </c>
      <c r="E189" s="459">
        <v>186</v>
      </c>
      <c r="G189" s="523">
        <f>Taulukko3[[#This Row],[Väestö, 18-64-vuotiaat (2023)]]*Taulukko412[Perushinnat, €]</f>
        <v>248937.36000000002</v>
      </c>
      <c r="H189" s="491">
        <f>Taulukko3[[#This Row],[Työttömät ja palveluissa olevat (2023)]]*Taulukko412[[ ]]</f>
        <v>293732</v>
      </c>
      <c r="I189" s="491">
        <f>Taulukko3[[#This Row],[Vieraskieliset (2023)]]*Taulukko412[[  ]]</f>
        <v>15482.64</v>
      </c>
      <c r="J189" s="500">
        <f t="shared" si="10"/>
        <v>558152</v>
      </c>
      <c r="K189" s="491"/>
      <c r="L189" s="497">
        <f>'TE25 Palveluiden kustannusarvio'!U182</f>
        <v>357068.91480898223</v>
      </c>
      <c r="M189" s="458">
        <f t="shared" si="11"/>
        <v>-279076</v>
      </c>
      <c r="N189" s="500">
        <f t="shared" si="12"/>
        <v>77992.914808982227</v>
      </c>
      <c r="P189" s="503">
        <f>Taulukko3[[#This Row],[Vieraskieliset (2023)]]*$P$9</f>
        <v>5883.1799999999994</v>
      </c>
      <c r="Q189" s="459"/>
      <c r="R189" s="530">
        <f t="shared" si="13"/>
        <v>642028.09480898234</v>
      </c>
    </row>
    <row r="190" spans="1:18">
      <c r="A190" s="474">
        <v>583</v>
      </c>
      <c r="B190" s="474" t="s">
        <v>188</v>
      </c>
      <c r="C190" s="459">
        <v>467</v>
      </c>
      <c r="D190" s="459">
        <v>59</v>
      </c>
      <c r="E190" s="459">
        <v>18</v>
      </c>
      <c r="G190" s="523">
        <f>Taulukko3[[#This Row],[Väestö, 18-64-vuotiaat (2023)]]*Taulukko412[Perushinnat, €]</f>
        <v>38985.160000000003</v>
      </c>
      <c r="H190" s="491">
        <f>Taulukko3[[#This Row],[Työttömät ja palveluissa olevat (2023)]]*Taulukko412[[ ]]</f>
        <v>43325.47</v>
      </c>
      <c r="I190" s="491">
        <f>Taulukko3[[#This Row],[Vieraskieliset (2023)]]*Taulukko412[[  ]]</f>
        <v>1498.32</v>
      </c>
      <c r="J190" s="500">
        <f t="shared" si="10"/>
        <v>83808.950000000012</v>
      </c>
      <c r="K190" s="491"/>
      <c r="L190" s="497">
        <f>'TE25 Palveluiden kustannusarvio'!U183</f>
        <v>55341.136063174439</v>
      </c>
      <c r="M190" s="458">
        <f t="shared" si="11"/>
        <v>-41904.475000000006</v>
      </c>
      <c r="N190" s="500">
        <f t="shared" si="12"/>
        <v>13436.661063174433</v>
      </c>
      <c r="P190" s="503">
        <f>Taulukko3[[#This Row],[Vieraskieliset (2023)]]*$P$9</f>
        <v>569.34</v>
      </c>
      <c r="Q190" s="459"/>
      <c r="R190" s="530">
        <f t="shared" si="13"/>
        <v>97814.951063174434</v>
      </c>
    </row>
    <row r="191" spans="1:18">
      <c r="A191" s="474">
        <v>584</v>
      </c>
      <c r="B191" s="474" t="s">
        <v>189</v>
      </c>
      <c r="C191" s="459">
        <v>1143</v>
      </c>
      <c r="D191" s="459">
        <v>126</v>
      </c>
      <c r="E191" s="459">
        <v>27</v>
      </c>
      <c r="G191" s="523">
        <f>Taulukko3[[#This Row],[Väestö, 18-64-vuotiaat (2023)]]*Taulukko412[Perushinnat, €]</f>
        <v>95417.64</v>
      </c>
      <c r="H191" s="491">
        <f>Taulukko3[[#This Row],[Työttömät ja palveluissa olevat (2023)]]*Taulukko412[[ ]]</f>
        <v>92525.58</v>
      </c>
      <c r="I191" s="491">
        <f>Taulukko3[[#This Row],[Vieraskieliset (2023)]]*Taulukko412[[  ]]</f>
        <v>2247.48</v>
      </c>
      <c r="J191" s="500">
        <f t="shared" si="10"/>
        <v>190190.7</v>
      </c>
      <c r="K191" s="491"/>
      <c r="L191" s="497">
        <f>'TE25 Palveluiden kustannusarvio'!U184</f>
        <v>89467.619418106246</v>
      </c>
      <c r="M191" s="458">
        <f t="shared" si="11"/>
        <v>-95095.35</v>
      </c>
      <c r="N191" s="500">
        <f t="shared" si="12"/>
        <v>-5627.7305818937602</v>
      </c>
      <c r="P191" s="503">
        <f>Taulukko3[[#This Row],[Vieraskieliset (2023)]]*$P$9</f>
        <v>854.01</v>
      </c>
      <c r="Q191" s="459"/>
      <c r="R191" s="530">
        <f t="shared" si="13"/>
        <v>185416.97941810626</v>
      </c>
    </row>
    <row r="192" spans="1:18">
      <c r="A192" s="474">
        <v>588</v>
      </c>
      <c r="B192" s="474" t="s">
        <v>190</v>
      </c>
      <c r="C192" s="459">
        <v>751</v>
      </c>
      <c r="D192" s="459">
        <v>91</v>
      </c>
      <c r="E192" s="459">
        <v>58</v>
      </c>
      <c r="G192" s="523">
        <f>Taulukko3[[#This Row],[Väestö, 18-64-vuotiaat (2023)]]*Taulukko412[Perushinnat, €]</f>
        <v>62693.48</v>
      </c>
      <c r="H192" s="491">
        <f>Taulukko3[[#This Row],[Työttömät ja palveluissa olevat (2023)]]*Taulukko412[[ ]]</f>
        <v>66824.03</v>
      </c>
      <c r="I192" s="491">
        <f>Taulukko3[[#This Row],[Vieraskieliset (2023)]]*Taulukko412[[  ]]</f>
        <v>4827.92</v>
      </c>
      <c r="J192" s="500">
        <f t="shared" si="10"/>
        <v>134345.43000000002</v>
      </c>
      <c r="K192" s="491"/>
      <c r="L192" s="497">
        <f>'TE25 Palveluiden kustannusarvio'!U185</f>
        <v>83715.253744093759</v>
      </c>
      <c r="M192" s="458">
        <f t="shared" si="11"/>
        <v>-67172.715000000011</v>
      </c>
      <c r="N192" s="500">
        <f t="shared" si="12"/>
        <v>16542.538744093748</v>
      </c>
      <c r="P192" s="503">
        <f>Taulukko3[[#This Row],[Vieraskieliset (2023)]]*$P$9</f>
        <v>1834.54</v>
      </c>
      <c r="Q192" s="459"/>
      <c r="R192" s="530">
        <f t="shared" si="13"/>
        <v>152722.50874409379</v>
      </c>
    </row>
    <row r="193" spans="1:18">
      <c r="A193" s="474">
        <v>592</v>
      </c>
      <c r="B193" s="474" t="s">
        <v>191</v>
      </c>
      <c r="C193" s="459">
        <v>1896</v>
      </c>
      <c r="D193" s="459">
        <v>231</v>
      </c>
      <c r="E193" s="459">
        <v>61</v>
      </c>
      <c r="G193" s="523">
        <f>Taulukko3[[#This Row],[Väestö, 18-64-vuotiaat (2023)]]*Taulukko412[Perushinnat, €]</f>
        <v>158278.08000000002</v>
      </c>
      <c r="H193" s="491">
        <f>Taulukko3[[#This Row],[Työttömät ja palveluissa olevat (2023)]]*Taulukko412[[ ]]</f>
        <v>169630.23</v>
      </c>
      <c r="I193" s="491">
        <f>Taulukko3[[#This Row],[Vieraskieliset (2023)]]*Taulukko412[[  ]]</f>
        <v>5077.6399999999994</v>
      </c>
      <c r="J193" s="500">
        <f t="shared" si="10"/>
        <v>332985.95000000007</v>
      </c>
      <c r="K193" s="491"/>
      <c r="L193" s="497">
        <f>'TE25 Palveluiden kustannusarvio'!U186</f>
        <v>200350.70719417601</v>
      </c>
      <c r="M193" s="458">
        <f t="shared" si="11"/>
        <v>-166492.97500000003</v>
      </c>
      <c r="N193" s="500">
        <f t="shared" si="12"/>
        <v>33857.732194175973</v>
      </c>
      <c r="P193" s="503">
        <f>Taulukko3[[#This Row],[Vieraskieliset (2023)]]*$P$9</f>
        <v>1929.4299999999998</v>
      </c>
      <c r="Q193" s="459"/>
      <c r="R193" s="530">
        <f t="shared" si="13"/>
        <v>368773.11219417601</v>
      </c>
    </row>
    <row r="194" spans="1:18">
      <c r="A194" s="474">
        <v>593</v>
      </c>
      <c r="B194" s="474" t="s">
        <v>192</v>
      </c>
      <c r="C194" s="459">
        <v>8627</v>
      </c>
      <c r="D194" s="459">
        <v>1038</v>
      </c>
      <c r="E194" s="459">
        <v>820</v>
      </c>
      <c r="G194" s="523">
        <f>Taulukko3[[#This Row],[Väestö, 18-64-vuotiaat (2023)]]*Taulukko412[Perushinnat, €]</f>
        <v>720181.96000000008</v>
      </c>
      <c r="H194" s="491">
        <f>Taulukko3[[#This Row],[Työttömät ja palveluissa olevat (2023)]]*Taulukko412[[ ]]</f>
        <v>762234.54</v>
      </c>
      <c r="I194" s="491">
        <f>Taulukko3[[#This Row],[Vieraskieliset (2023)]]*Taulukko412[[  ]]</f>
        <v>68256.800000000003</v>
      </c>
      <c r="J194" s="500">
        <f t="shared" si="10"/>
        <v>1550673.3</v>
      </c>
      <c r="K194" s="491"/>
      <c r="L194" s="497">
        <f>'TE25 Palveluiden kustannusarvio'!U187</f>
        <v>944294.64897315798</v>
      </c>
      <c r="M194" s="458">
        <f t="shared" si="11"/>
        <v>-775336.65</v>
      </c>
      <c r="N194" s="500">
        <f t="shared" si="12"/>
        <v>168957.99897315796</v>
      </c>
      <c r="P194" s="503">
        <f>Taulukko3[[#This Row],[Vieraskieliset (2023)]]*$P$9</f>
        <v>25936.6</v>
      </c>
      <c r="Q194" s="459"/>
      <c r="R194" s="530">
        <f t="shared" si="13"/>
        <v>1745567.8989731581</v>
      </c>
    </row>
    <row r="195" spans="1:18">
      <c r="A195" s="474">
        <v>595</v>
      </c>
      <c r="B195" s="474" t="s">
        <v>193</v>
      </c>
      <c r="C195" s="459">
        <v>1816</v>
      </c>
      <c r="D195" s="459">
        <v>187</v>
      </c>
      <c r="E195" s="459">
        <v>80</v>
      </c>
      <c r="G195" s="523">
        <f>Taulukko3[[#This Row],[Väestö, 18-64-vuotiaat (2023)]]*Taulukko412[Perushinnat, €]</f>
        <v>151599.67999999999</v>
      </c>
      <c r="H195" s="491">
        <f>Taulukko3[[#This Row],[Työttömät ja palveluissa olevat (2023)]]*Taulukko412[[ ]]</f>
        <v>137319.71000000002</v>
      </c>
      <c r="I195" s="491">
        <f>Taulukko3[[#This Row],[Vieraskieliset (2023)]]*Taulukko412[[  ]]</f>
        <v>6659.2</v>
      </c>
      <c r="J195" s="500">
        <f t="shared" si="10"/>
        <v>295578.59000000003</v>
      </c>
      <c r="K195" s="491"/>
      <c r="L195" s="497">
        <f>'TE25 Palveluiden kustannusarvio'!U188</f>
        <v>151743.92927997236</v>
      </c>
      <c r="M195" s="458">
        <f t="shared" si="11"/>
        <v>-147789.29500000001</v>
      </c>
      <c r="N195" s="500">
        <f t="shared" si="12"/>
        <v>3954.6342799723498</v>
      </c>
      <c r="P195" s="503">
        <f>Taulukko3[[#This Row],[Vieraskieliset (2023)]]*$P$9</f>
        <v>2530.4</v>
      </c>
      <c r="Q195" s="459"/>
      <c r="R195" s="530">
        <f t="shared" si="13"/>
        <v>302063.6242799724</v>
      </c>
    </row>
    <row r="196" spans="1:18">
      <c r="A196" s="474">
        <v>598</v>
      </c>
      <c r="B196" s="474" t="s">
        <v>194</v>
      </c>
      <c r="C196" s="459">
        <v>10809</v>
      </c>
      <c r="D196" s="459">
        <v>1184</v>
      </c>
      <c r="E196" s="459">
        <v>2855</v>
      </c>
      <c r="G196" s="523">
        <f>Taulukko3[[#This Row],[Väestö, 18-64-vuotiaat (2023)]]*Taulukko412[Perushinnat, €]</f>
        <v>902335.32000000007</v>
      </c>
      <c r="H196" s="491">
        <f>Taulukko3[[#This Row],[Työttömät ja palveluissa olevat (2023)]]*Taulukko412[[ ]]</f>
        <v>869446.72000000009</v>
      </c>
      <c r="I196" s="491">
        <f>Taulukko3[[#This Row],[Vieraskieliset (2023)]]*Taulukko412[[  ]]</f>
        <v>237650.19999999998</v>
      </c>
      <c r="J196" s="500">
        <f t="shared" si="10"/>
        <v>2009432.24</v>
      </c>
      <c r="K196" s="491"/>
      <c r="L196" s="497">
        <f>'TE25 Palveluiden kustannusarvio'!U189</f>
        <v>1029169.2852354879</v>
      </c>
      <c r="M196" s="458">
        <f t="shared" si="11"/>
        <v>-1004716.12</v>
      </c>
      <c r="N196" s="500">
        <f t="shared" si="12"/>
        <v>24453.165235487861</v>
      </c>
      <c r="P196" s="503">
        <f>Taulukko3[[#This Row],[Vieraskieliset (2023)]]*$P$9</f>
        <v>90303.65</v>
      </c>
      <c r="Q196" s="459"/>
      <c r="R196" s="530">
        <f t="shared" si="13"/>
        <v>2124189.0552354879</v>
      </c>
    </row>
    <row r="197" spans="1:18">
      <c r="A197" s="474">
        <v>599</v>
      </c>
      <c r="B197" s="474" t="s">
        <v>195</v>
      </c>
      <c r="C197" s="459">
        <v>5971</v>
      </c>
      <c r="D197" s="459">
        <v>203</v>
      </c>
      <c r="E197" s="459">
        <v>397</v>
      </c>
      <c r="G197" s="523">
        <f>Taulukko3[[#This Row],[Väestö, 18-64-vuotiaat (2023)]]*Taulukko412[Perushinnat, €]</f>
        <v>498459.08</v>
      </c>
      <c r="H197" s="491">
        <f>Taulukko3[[#This Row],[Työttömät ja palveluissa olevat (2023)]]*Taulukko412[[ ]]</f>
        <v>149068.99000000002</v>
      </c>
      <c r="I197" s="491">
        <f>Taulukko3[[#This Row],[Vieraskieliset (2023)]]*Taulukko412[[  ]]</f>
        <v>33046.28</v>
      </c>
      <c r="J197" s="500">
        <f t="shared" si="10"/>
        <v>680574.35000000009</v>
      </c>
      <c r="K197" s="491"/>
      <c r="L197" s="497">
        <f>'TE25 Palveluiden kustannusarvio'!U190</f>
        <v>219636.33932653873</v>
      </c>
      <c r="M197" s="458">
        <f t="shared" si="11"/>
        <v>-340287.17500000005</v>
      </c>
      <c r="N197" s="500">
        <f t="shared" si="12"/>
        <v>-120650.83567346132</v>
      </c>
      <c r="P197" s="503">
        <f>Taulukko3[[#This Row],[Vieraskieliset (2023)]]*$P$9</f>
        <v>12557.109999999999</v>
      </c>
      <c r="Q197" s="459"/>
      <c r="R197" s="530">
        <f t="shared" si="13"/>
        <v>572480.62432653876</v>
      </c>
    </row>
    <row r="198" spans="1:18">
      <c r="A198" s="474">
        <v>601</v>
      </c>
      <c r="B198" s="474" t="s">
        <v>196</v>
      </c>
      <c r="C198" s="459">
        <v>1795</v>
      </c>
      <c r="D198" s="459">
        <v>243</v>
      </c>
      <c r="E198" s="459">
        <v>55</v>
      </c>
      <c r="G198" s="523">
        <f>Taulukko3[[#This Row],[Väestö, 18-64-vuotiaat (2023)]]*Taulukko412[Perushinnat, €]</f>
        <v>149846.6</v>
      </c>
      <c r="H198" s="491">
        <f>Taulukko3[[#This Row],[Työttömät ja palveluissa olevat (2023)]]*Taulukko412[[ ]]</f>
        <v>178442.19</v>
      </c>
      <c r="I198" s="491">
        <f>Taulukko3[[#This Row],[Vieraskieliset (2023)]]*Taulukko412[[  ]]</f>
        <v>4578.2</v>
      </c>
      <c r="J198" s="500">
        <f t="shared" si="10"/>
        <v>332866.99000000005</v>
      </c>
      <c r="K198" s="491"/>
      <c r="L198" s="497">
        <f>'TE25 Palveluiden kustannusarvio'!U191</f>
        <v>262147.14725557732</v>
      </c>
      <c r="M198" s="458">
        <f t="shared" si="11"/>
        <v>-166433.49500000002</v>
      </c>
      <c r="N198" s="500">
        <f t="shared" si="12"/>
        <v>95713.652255577297</v>
      </c>
      <c r="P198" s="503">
        <f>Taulukko3[[#This Row],[Vieraskieliset (2023)]]*$P$9</f>
        <v>1739.6499999999999</v>
      </c>
      <c r="Q198" s="459"/>
      <c r="R198" s="530">
        <f t="shared" si="13"/>
        <v>430320.2922555774</v>
      </c>
    </row>
    <row r="199" spans="1:18">
      <c r="A199" s="474">
        <v>604</v>
      </c>
      <c r="B199" s="474" t="s">
        <v>197</v>
      </c>
      <c r="C199" s="459">
        <v>12206</v>
      </c>
      <c r="D199" s="459">
        <v>994</v>
      </c>
      <c r="E199" s="459">
        <v>964</v>
      </c>
      <c r="G199" s="523">
        <f>Taulukko3[[#This Row],[Väestö, 18-64-vuotiaat (2023)]]*Taulukko412[Perushinnat, €]</f>
        <v>1018956.88</v>
      </c>
      <c r="H199" s="491">
        <f>Taulukko3[[#This Row],[Työttömät ja palveluissa olevat (2023)]]*Taulukko412[[ ]]</f>
        <v>729924.02</v>
      </c>
      <c r="I199" s="491">
        <f>Taulukko3[[#This Row],[Vieraskieliset (2023)]]*Taulukko412[[  ]]</f>
        <v>80243.360000000001</v>
      </c>
      <c r="J199" s="500">
        <f t="shared" si="10"/>
        <v>1829124.26</v>
      </c>
      <c r="K199" s="491"/>
      <c r="L199" s="497">
        <f>'TE25 Palveluiden kustannusarvio'!U192</f>
        <v>789551.86960262456</v>
      </c>
      <c r="M199" s="458">
        <f t="shared" si="11"/>
        <v>-914562.13</v>
      </c>
      <c r="N199" s="500">
        <f t="shared" si="12"/>
        <v>-125010.26039737544</v>
      </c>
      <c r="P199" s="503">
        <f>Taulukko3[[#This Row],[Vieraskieliset (2023)]]*$P$9</f>
        <v>30491.32</v>
      </c>
      <c r="Q199" s="459"/>
      <c r="R199" s="530">
        <f t="shared" si="13"/>
        <v>1734605.3196026247</v>
      </c>
    </row>
    <row r="200" spans="1:18">
      <c r="A200" s="474">
        <v>607</v>
      </c>
      <c r="B200" s="474" t="s">
        <v>198</v>
      </c>
      <c r="C200" s="459">
        <v>1928</v>
      </c>
      <c r="D200" s="459">
        <v>278</v>
      </c>
      <c r="E200" s="459">
        <v>63</v>
      </c>
      <c r="G200" s="523">
        <f>Taulukko3[[#This Row],[Väestö, 18-64-vuotiaat (2023)]]*Taulukko412[Perushinnat, €]</f>
        <v>160949.44</v>
      </c>
      <c r="H200" s="491">
        <f>Taulukko3[[#This Row],[Työttömät ja palveluissa olevat (2023)]]*Taulukko412[[ ]]</f>
        <v>204143.74000000002</v>
      </c>
      <c r="I200" s="491">
        <f>Taulukko3[[#This Row],[Vieraskieliset (2023)]]*Taulukko412[[  ]]</f>
        <v>5244.12</v>
      </c>
      <c r="J200" s="500">
        <f t="shared" si="10"/>
        <v>370337.30000000005</v>
      </c>
      <c r="K200" s="491"/>
      <c r="L200" s="497">
        <f>'TE25 Palveluiden kustannusarvio'!U193</f>
        <v>259365.2572139464</v>
      </c>
      <c r="M200" s="458">
        <f t="shared" si="11"/>
        <v>-185168.65000000002</v>
      </c>
      <c r="N200" s="500">
        <f t="shared" si="12"/>
        <v>74196.607213946379</v>
      </c>
      <c r="P200" s="503">
        <f>Taulukko3[[#This Row],[Vieraskieliset (2023)]]*$P$9</f>
        <v>1992.6899999999998</v>
      </c>
      <c r="Q200" s="459"/>
      <c r="R200" s="530">
        <f t="shared" si="13"/>
        <v>446526.59721394646</v>
      </c>
    </row>
    <row r="201" spans="1:18">
      <c r="A201" s="474">
        <v>608</v>
      </c>
      <c r="B201" s="474" t="s">
        <v>199</v>
      </c>
      <c r="C201" s="459">
        <v>950</v>
      </c>
      <c r="D201" s="459">
        <v>88</v>
      </c>
      <c r="E201" s="459">
        <v>30</v>
      </c>
      <c r="G201" s="523">
        <f>Taulukko3[[#This Row],[Väestö, 18-64-vuotiaat (2023)]]*Taulukko412[Perushinnat, €]</f>
        <v>79306</v>
      </c>
      <c r="H201" s="491">
        <f>Taulukko3[[#This Row],[Työttömät ja palveluissa olevat (2023)]]*Taulukko412[[ ]]</f>
        <v>64621.04</v>
      </c>
      <c r="I201" s="491">
        <f>Taulukko3[[#This Row],[Vieraskieliset (2023)]]*Taulukko412[[  ]]</f>
        <v>2497.1999999999998</v>
      </c>
      <c r="J201" s="500">
        <f t="shared" si="10"/>
        <v>146424.24000000002</v>
      </c>
      <c r="K201" s="491"/>
      <c r="L201" s="497">
        <f>'TE25 Palveluiden kustannusarvio'!U194</f>
        <v>77921.865342914767</v>
      </c>
      <c r="M201" s="458">
        <f t="shared" si="11"/>
        <v>-73212.12000000001</v>
      </c>
      <c r="N201" s="500">
        <f t="shared" si="12"/>
        <v>4709.7453429147572</v>
      </c>
      <c r="P201" s="503">
        <f>Taulukko3[[#This Row],[Vieraskieliset (2023)]]*$P$9</f>
        <v>948.9</v>
      </c>
      <c r="Q201" s="459"/>
      <c r="R201" s="530">
        <f t="shared" si="13"/>
        <v>152082.88534291476</v>
      </c>
    </row>
    <row r="202" spans="1:18">
      <c r="A202" s="474">
        <v>609</v>
      </c>
      <c r="B202" s="474" t="s">
        <v>200</v>
      </c>
      <c r="C202" s="459">
        <v>46902</v>
      </c>
      <c r="D202" s="459">
        <v>6223</v>
      </c>
      <c r="E202" s="459">
        <v>4282</v>
      </c>
      <c r="G202" s="523">
        <f>Taulukko3[[#This Row],[Väestö, 18-64-vuotiaat (2023)]]*Taulukko412[Perushinnat, €]</f>
        <v>3915378.96</v>
      </c>
      <c r="H202" s="491">
        <f>Taulukko3[[#This Row],[Työttömät ja palveluissa olevat (2023)]]*Taulukko412[[ ]]</f>
        <v>4569735.59</v>
      </c>
      <c r="I202" s="491">
        <f>Taulukko3[[#This Row],[Vieraskieliset (2023)]]*Taulukko412[[  ]]</f>
        <v>356433.68</v>
      </c>
      <c r="J202" s="500">
        <f t="shared" si="10"/>
        <v>8841548.2300000004</v>
      </c>
      <c r="K202" s="491"/>
      <c r="L202" s="497">
        <f>'TE25 Palveluiden kustannusarvio'!U195</f>
        <v>4492815.3162032021</v>
      </c>
      <c r="M202" s="458">
        <f t="shared" si="11"/>
        <v>-4420774.1150000002</v>
      </c>
      <c r="N202" s="500">
        <f t="shared" si="12"/>
        <v>72041.201203201897</v>
      </c>
      <c r="P202" s="503">
        <f>Taulukko3[[#This Row],[Vieraskieliset (2023)]]*$P$9</f>
        <v>135439.66</v>
      </c>
      <c r="Q202" s="459"/>
      <c r="R202" s="530">
        <f t="shared" si="13"/>
        <v>9049029.0912032016</v>
      </c>
    </row>
    <row r="203" spans="1:18">
      <c r="A203" s="474">
        <v>611</v>
      </c>
      <c r="B203" s="474" t="s">
        <v>201</v>
      </c>
      <c r="C203" s="459">
        <v>2914</v>
      </c>
      <c r="D203" s="459">
        <v>213</v>
      </c>
      <c r="E203" s="459">
        <v>190</v>
      </c>
      <c r="G203" s="523">
        <f>Taulukko3[[#This Row],[Väestö, 18-64-vuotiaat (2023)]]*Taulukko412[Perushinnat, €]</f>
        <v>243260.72</v>
      </c>
      <c r="H203" s="491">
        <f>Taulukko3[[#This Row],[Työttömät ja palveluissa olevat (2023)]]*Taulukko412[[ ]]</f>
        <v>156412.29</v>
      </c>
      <c r="I203" s="491">
        <f>Taulukko3[[#This Row],[Vieraskieliset (2023)]]*Taulukko412[[  ]]</f>
        <v>15815.599999999999</v>
      </c>
      <c r="J203" s="500">
        <f t="shared" si="10"/>
        <v>415488.61</v>
      </c>
      <c r="K203" s="491"/>
      <c r="L203" s="497">
        <f>'TE25 Palveluiden kustannusarvio'!U196</f>
        <v>156824.01993708767</v>
      </c>
      <c r="M203" s="458">
        <f t="shared" si="11"/>
        <v>-207744.30499999999</v>
      </c>
      <c r="N203" s="500">
        <f t="shared" si="12"/>
        <v>-50920.285062912328</v>
      </c>
      <c r="P203" s="503">
        <f>Taulukko3[[#This Row],[Vieraskieliset (2023)]]*$P$9</f>
        <v>6009.7</v>
      </c>
      <c r="Q203" s="459"/>
      <c r="R203" s="530">
        <f t="shared" si="13"/>
        <v>370578.02493708767</v>
      </c>
    </row>
    <row r="204" spans="1:18">
      <c r="A204" s="474">
        <v>614</v>
      </c>
      <c r="B204" s="474" t="s">
        <v>202</v>
      </c>
      <c r="C204" s="459">
        <v>1370</v>
      </c>
      <c r="D204" s="459">
        <v>217</v>
      </c>
      <c r="E204" s="459">
        <v>65</v>
      </c>
      <c r="G204" s="523">
        <f>Taulukko3[[#This Row],[Väestö, 18-64-vuotiaat (2023)]]*Taulukko412[Perushinnat, €]</f>
        <v>114367.6</v>
      </c>
      <c r="H204" s="491">
        <f>Taulukko3[[#This Row],[Työttömät ja palveluissa olevat (2023)]]*Taulukko412[[ ]]</f>
        <v>159349.61000000002</v>
      </c>
      <c r="I204" s="491">
        <f>Taulukko3[[#This Row],[Vieraskieliset (2023)]]*Taulukko412[[  ]]</f>
        <v>5410.5999999999995</v>
      </c>
      <c r="J204" s="500">
        <f t="shared" si="10"/>
        <v>279127.81</v>
      </c>
      <c r="K204" s="491"/>
      <c r="L204" s="497">
        <f>'TE25 Palveluiden kustannusarvio'!U197</f>
        <v>161342.76157471561</v>
      </c>
      <c r="M204" s="458">
        <f t="shared" si="11"/>
        <v>-139563.905</v>
      </c>
      <c r="N204" s="500">
        <f t="shared" si="12"/>
        <v>21778.85657471561</v>
      </c>
      <c r="P204" s="503">
        <f>Taulukko3[[#This Row],[Vieraskieliset (2023)]]*$P$9</f>
        <v>2055.9499999999998</v>
      </c>
      <c r="Q204" s="459"/>
      <c r="R204" s="530">
        <f t="shared" si="13"/>
        <v>302962.61657471565</v>
      </c>
    </row>
    <row r="205" spans="1:18">
      <c r="A205" s="474">
        <v>615</v>
      </c>
      <c r="B205" s="474" t="s">
        <v>203</v>
      </c>
      <c r="C205" s="459">
        <v>3506</v>
      </c>
      <c r="D205" s="459">
        <v>603</v>
      </c>
      <c r="E205" s="459">
        <v>211</v>
      </c>
      <c r="G205" s="523">
        <f>Taulukko3[[#This Row],[Väestö, 18-64-vuotiaat (2023)]]*Taulukko412[Perushinnat, €]</f>
        <v>292680.88</v>
      </c>
      <c r="H205" s="491">
        <f>Taulukko3[[#This Row],[Työttömät ja palveluissa olevat (2023)]]*Taulukko412[[ ]]</f>
        <v>442800.99000000005</v>
      </c>
      <c r="I205" s="491">
        <f>Taulukko3[[#This Row],[Vieraskieliset (2023)]]*Taulukko412[[  ]]</f>
        <v>17563.64</v>
      </c>
      <c r="J205" s="500">
        <f t="shared" si="10"/>
        <v>753045.51000000013</v>
      </c>
      <c r="K205" s="491"/>
      <c r="L205" s="497">
        <f>'TE25 Palveluiden kustannusarvio'!U198</f>
        <v>519716.90388861799</v>
      </c>
      <c r="M205" s="458">
        <f t="shared" si="11"/>
        <v>-376522.75500000006</v>
      </c>
      <c r="N205" s="500">
        <f t="shared" si="12"/>
        <v>143194.14888861793</v>
      </c>
      <c r="P205" s="503">
        <f>Taulukko3[[#This Row],[Vieraskieliset (2023)]]*$P$9</f>
        <v>6673.9299999999994</v>
      </c>
      <c r="Q205" s="459"/>
      <c r="R205" s="530">
        <f t="shared" si="13"/>
        <v>902913.58888861805</v>
      </c>
    </row>
    <row r="206" spans="1:18">
      <c r="A206" s="474">
        <v>616</v>
      </c>
      <c r="B206" s="474" t="s">
        <v>204</v>
      </c>
      <c r="C206" s="459">
        <v>1036</v>
      </c>
      <c r="D206" s="459">
        <v>91</v>
      </c>
      <c r="E206" s="459">
        <v>60</v>
      </c>
      <c r="G206" s="523">
        <f>Taulukko3[[#This Row],[Väestö, 18-64-vuotiaat (2023)]]*Taulukko412[Perushinnat, €]</f>
        <v>86485.28</v>
      </c>
      <c r="H206" s="491">
        <f>Taulukko3[[#This Row],[Työttömät ja palveluissa olevat (2023)]]*Taulukko412[[ ]]</f>
        <v>66824.03</v>
      </c>
      <c r="I206" s="491">
        <f>Taulukko3[[#This Row],[Vieraskieliset (2023)]]*Taulukko412[[  ]]</f>
        <v>4994.3999999999996</v>
      </c>
      <c r="J206" s="500">
        <f t="shared" si="10"/>
        <v>158303.71</v>
      </c>
      <c r="K206" s="491"/>
      <c r="L206" s="497">
        <f>'TE25 Palveluiden kustannusarvio'!U199</f>
        <v>99830.428318439299</v>
      </c>
      <c r="M206" s="458">
        <f t="shared" si="11"/>
        <v>-79151.854999999996</v>
      </c>
      <c r="N206" s="500">
        <f t="shared" si="12"/>
        <v>20678.573318439303</v>
      </c>
      <c r="P206" s="503">
        <f>Taulukko3[[#This Row],[Vieraskieliset (2023)]]*$P$9</f>
        <v>1897.8</v>
      </c>
      <c r="Q206" s="459"/>
      <c r="R206" s="530">
        <f t="shared" si="13"/>
        <v>180880.08331843928</v>
      </c>
    </row>
    <row r="207" spans="1:18">
      <c r="A207" s="474">
        <v>619</v>
      </c>
      <c r="B207" s="474" t="s">
        <v>205</v>
      </c>
      <c r="C207" s="459">
        <v>1265</v>
      </c>
      <c r="D207" s="459">
        <v>122</v>
      </c>
      <c r="E207" s="459">
        <v>85</v>
      </c>
      <c r="G207" s="523">
        <f>Taulukko3[[#This Row],[Väestö, 18-64-vuotiaat (2023)]]*Taulukko412[Perushinnat, €]</f>
        <v>105602.20000000001</v>
      </c>
      <c r="H207" s="491">
        <f>Taulukko3[[#This Row],[Työttömät ja palveluissa olevat (2023)]]*Taulukko412[[ ]]</f>
        <v>89588.260000000009</v>
      </c>
      <c r="I207" s="491">
        <f>Taulukko3[[#This Row],[Vieraskieliset (2023)]]*Taulukko412[[  ]]</f>
        <v>7075.4</v>
      </c>
      <c r="J207" s="500">
        <f t="shared" ref="J207:J270" si="14">G207+H207+I207</f>
        <v>202265.86000000002</v>
      </c>
      <c r="K207" s="491"/>
      <c r="L207" s="497">
        <f>'TE25 Palveluiden kustannusarvio'!U200</f>
        <v>98916.478438332837</v>
      </c>
      <c r="M207" s="458">
        <f t="shared" ref="M207:M270" si="15">J207*-0.5</f>
        <v>-101132.93000000001</v>
      </c>
      <c r="N207" s="500">
        <f t="shared" ref="N207:N270" si="16">L207+M207</f>
        <v>-2216.4515616671706</v>
      </c>
      <c r="P207" s="503">
        <f>Taulukko3[[#This Row],[Vieraskieliset (2023)]]*$P$9</f>
        <v>2688.5499999999997</v>
      </c>
      <c r="Q207" s="459"/>
      <c r="R207" s="530">
        <f t="shared" ref="R207:R270" si="17">J207+N207+P207</f>
        <v>202737.95843833283</v>
      </c>
    </row>
    <row r="208" spans="1:18">
      <c r="A208" s="474">
        <v>620</v>
      </c>
      <c r="B208" s="474" t="s">
        <v>206</v>
      </c>
      <c r="C208" s="459">
        <v>1077</v>
      </c>
      <c r="D208" s="459">
        <v>215</v>
      </c>
      <c r="E208" s="459">
        <v>60</v>
      </c>
      <c r="G208" s="523">
        <f>Taulukko3[[#This Row],[Väestö, 18-64-vuotiaat (2023)]]*Taulukko412[Perushinnat, €]</f>
        <v>89907.96</v>
      </c>
      <c r="H208" s="491">
        <f>Taulukko3[[#This Row],[Työttömät ja palveluissa olevat (2023)]]*Taulukko412[[ ]]</f>
        <v>157880.95000000001</v>
      </c>
      <c r="I208" s="491">
        <f>Taulukko3[[#This Row],[Vieraskieliset (2023)]]*Taulukko412[[  ]]</f>
        <v>4994.3999999999996</v>
      </c>
      <c r="J208" s="500">
        <f t="shared" si="14"/>
        <v>252783.31000000003</v>
      </c>
      <c r="K208" s="491"/>
      <c r="L208" s="497">
        <f>'TE25 Palveluiden kustannusarvio'!U201</f>
        <v>181090.7976062888</v>
      </c>
      <c r="M208" s="458">
        <f t="shared" si="15"/>
        <v>-126391.65500000001</v>
      </c>
      <c r="N208" s="500">
        <f t="shared" si="16"/>
        <v>54699.142606288791</v>
      </c>
      <c r="P208" s="503">
        <f>Taulukko3[[#This Row],[Vieraskieliset (2023)]]*$P$9</f>
        <v>1897.8</v>
      </c>
      <c r="Q208" s="459"/>
      <c r="R208" s="530">
        <f t="shared" si="17"/>
        <v>309380.25260628882</v>
      </c>
    </row>
    <row r="209" spans="1:18">
      <c r="A209" s="474">
        <v>623</v>
      </c>
      <c r="B209" s="474" t="s">
        <v>207</v>
      </c>
      <c r="C209" s="459">
        <v>957</v>
      </c>
      <c r="D209" s="459">
        <v>90</v>
      </c>
      <c r="E209" s="459">
        <v>62</v>
      </c>
      <c r="G209" s="523">
        <f>Taulukko3[[#This Row],[Väestö, 18-64-vuotiaat (2023)]]*Taulukko412[Perushinnat, €]</f>
        <v>79890.36</v>
      </c>
      <c r="H209" s="491">
        <f>Taulukko3[[#This Row],[Työttömät ja palveluissa olevat (2023)]]*Taulukko412[[ ]]</f>
        <v>66089.7</v>
      </c>
      <c r="I209" s="491">
        <f>Taulukko3[[#This Row],[Vieraskieliset (2023)]]*Taulukko412[[  ]]</f>
        <v>5160.88</v>
      </c>
      <c r="J209" s="500">
        <f t="shared" si="14"/>
        <v>151140.94</v>
      </c>
      <c r="K209" s="491"/>
      <c r="L209" s="497">
        <f>'TE25 Palveluiden kustannusarvio'!U202</f>
        <v>67667.759984617878</v>
      </c>
      <c r="M209" s="458">
        <f t="shared" si="15"/>
        <v>-75570.47</v>
      </c>
      <c r="N209" s="500">
        <f t="shared" si="16"/>
        <v>-7902.7100153821229</v>
      </c>
      <c r="P209" s="503">
        <f>Taulukko3[[#This Row],[Vieraskieliset (2023)]]*$P$9</f>
        <v>1961.06</v>
      </c>
      <c r="Q209" s="459"/>
      <c r="R209" s="530">
        <f t="shared" si="17"/>
        <v>145199.28998461788</v>
      </c>
    </row>
    <row r="210" spans="1:18">
      <c r="A210" s="474">
        <v>624</v>
      </c>
      <c r="B210" s="474" t="s">
        <v>208</v>
      </c>
      <c r="C210" s="459">
        <v>2711</v>
      </c>
      <c r="D210" s="459">
        <v>275</v>
      </c>
      <c r="E210" s="459">
        <v>248</v>
      </c>
      <c r="G210" s="523">
        <f>Taulukko3[[#This Row],[Väestö, 18-64-vuotiaat (2023)]]*Taulukko412[Perushinnat, €]</f>
        <v>226314.28</v>
      </c>
      <c r="H210" s="491">
        <f>Taulukko3[[#This Row],[Työttömät ja palveluissa olevat (2023)]]*Taulukko412[[ ]]</f>
        <v>201940.75</v>
      </c>
      <c r="I210" s="491">
        <f>Taulukko3[[#This Row],[Vieraskieliset (2023)]]*Taulukko412[[  ]]</f>
        <v>20643.52</v>
      </c>
      <c r="J210" s="500">
        <f t="shared" si="14"/>
        <v>448898.55000000005</v>
      </c>
      <c r="K210" s="491"/>
      <c r="L210" s="497">
        <f>'TE25 Palveluiden kustannusarvio'!U203</f>
        <v>234794.73752213171</v>
      </c>
      <c r="M210" s="458">
        <f t="shared" si="15"/>
        <v>-224449.27500000002</v>
      </c>
      <c r="N210" s="500">
        <f t="shared" si="16"/>
        <v>10345.462522131682</v>
      </c>
      <c r="P210" s="503">
        <f>Taulukko3[[#This Row],[Vieraskieliset (2023)]]*$P$9</f>
        <v>7844.24</v>
      </c>
      <c r="Q210" s="459"/>
      <c r="R210" s="530">
        <f t="shared" si="17"/>
        <v>467088.25252213172</v>
      </c>
    </row>
    <row r="211" spans="1:18">
      <c r="A211" s="474">
        <v>625</v>
      </c>
      <c r="B211" s="474" t="s">
        <v>209</v>
      </c>
      <c r="C211" s="459">
        <v>1480</v>
      </c>
      <c r="D211" s="459">
        <v>170</v>
      </c>
      <c r="E211" s="459">
        <v>129</v>
      </c>
      <c r="G211" s="523">
        <f>Taulukko3[[#This Row],[Väestö, 18-64-vuotiaat (2023)]]*Taulukko412[Perushinnat, €]</f>
        <v>123550.40000000001</v>
      </c>
      <c r="H211" s="491">
        <f>Taulukko3[[#This Row],[Työttömät ja palveluissa olevat (2023)]]*Taulukko412[[ ]]</f>
        <v>124836.1</v>
      </c>
      <c r="I211" s="491">
        <f>Taulukko3[[#This Row],[Vieraskieliset (2023)]]*Taulukko412[[  ]]</f>
        <v>10737.96</v>
      </c>
      <c r="J211" s="500">
        <f t="shared" si="14"/>
        <v>259124.46</v>
      </c>
      <c r="K211" s="491"/>
      <c r="L211" s="497">
        <f>'TE25 Palveluiden kustannusarvio'!U204</f>
        <v>132711.02438748468</v>
      </c>
      <c r="M211" s="458">
        <f t="shared" si="15"/>
        <v>-129562.23</v>
      </c>
      <c r="N211" s="500">
        <f t="shared" si="16"/>
        <v>3148.7943874846824</v>
      </c>
      <c r="P211" s="503">
        <f>Taulukko3[[#This Row],[Vieraskieliset (2023)]]*$P$9</f>
        <v>4080.27</v>
      </c>
      <c r="Q211" s="459"/>
      <c r="R211" s="530">
        <f t="shared" si="17"/>
        <v>266353.52438748471</v>
      </c>
    </row>
    <row r="212" spans="1:18">
      <c r="A212" s="474">
        <v>626</v>
      </c>
      <c r="B212" s="474" t="s">
        <v>210</v>
      </c>
      <c r="C212" s="459">
        <v>2181</v>
      </c>
      <c r="D212" s="459">
        <v>318</v>
      </c>
      <c r="E212" s="459">
        <v>113</v>
      </c>
      <c r="G212" s="523">
        <f>Taulukko3[[#This Row],[Väestö, 18-64-vuotiaat (2023)]]*Taulukko412[Perushinnat, €]</f>
        <v>182069.88</v>
      </c>
      <c r="H212" s="491">
        <f>Taulukko3[[#This Row],[Työttömät ja palveluissa olevat (2023)]]*Taulukko412[[ ]]</f>
        <v>233516.94</v>
      </c>
      <c r="I212" s="491">
        <f>Taulukko3[[#This Row],[Vieraskieliset (2023)]]*Taulukko412[[  ]]</f>
        <v>9406.119999999999</v>
      </c>
      <c r="J212" s="500">
        <f t="shared" si="14"/>
        <v>424992.94</v>
      </c>
      <c r="K212" s="491"/>
      <c r="L212" s="497">
        <f>'TE25 Palveluiden kustannusarvio'!U205</f>
        <v>237044.17025533697</v>
      </c>
      <c r="M212" s="458">
        <f t="shared" si="15"/>
        <v>-212496.47</v>
      </c>
      <c r="N212" s="500">
        <f t="shared" si="16"/>
        <v>24547.700255336968</v>
      </c>
      <c r="P212" s="503">
        <f>Taulukko3[[#This Row],[Vieraskieliset (2023)]]*$P$9</f>
        <v>3574.19</v>
      </c>
      <c r="Q212" s="459"/>
      <c r="R212" s="530">
        <f t="shared" si="17"/>
        <v>453114.830255337</v>
      </c>
    </row>
    <row r="213" spans="1:18">
      <c r="A213" s="474">
        <v>630</v>
      </c>
      <c r="B213" s="474" t="s">
        <v>211</v>
      </c>
      <c r="C213" s="459">
        <v>807</v>
      </c>
      <c r="D213" s="459">
        <v>87</v>
      </c>
      <c r="E213" s="459">
        <v>121</v>
      </c>
      <c r="G213" s="523">
        <f>Taulukko3[[#This Row],[Väestö, 18-64-vuotiaat (2023)]]*Taulukko412[Perushinnat, €]</f>
        <v>67368.36</v>
      </c>
      <c r="H213" s="491">
        <f>Taulukko3[[#This Row],[Työttömät ja palveluissa olevat (2023)]]*Taulukko412[[ ]]</f>
        <v>63886.710000000006</v>
      </c>
      <c r="I213" s="491">
        <f>Taulukko3[[#This Row],[Vieraskieliset (2023)]]*Taulukko412[[  ]]</f>
        <v>10072.039999999999</v>
      </c>
      <c r="J213" s="500">
        <f t="shared" si="14"/>
        <v>141327.11000000002</v>
      </c>
      <c r="K213" s="491"/>
      <c r="L213" s="497">
        <f>'TE25 Palveluiden kustannusarvio'!U206</f>
        <v>44541.1013516366</v>
      </c>
      <c r="M213" s="458">
        <f t="shared" si="15"/>
        <v>-70663.555000000008</v>
      </c>
      <c r="N213" s="500">
        <f t="shared" si="16"/>
        <v>-26122.453648363407</v>
      </c>
      <c r="P213" s="503">
        <f>Taulukko3[[#This Row],[Vieraskieliset (2023)]]*$P$9</f>
        <v>3827.23</v>
      </c>
      <c r="Q213" s="459"/>
      <c r="R213" s="530">
        <f t="shared" si="17"/>
        <v>119031.8863516366</v>
      </c>
    </row>
    <row r="214" spans="1:18">
      <c r="A214" s="474">
        <v>631</v>
      </c>
      <c r="B214" s="474" t="s">
        <v>212</v>
      </c>
      <c r="C214" s="459">
        <v>1000</v>
      </c>
      <c r="D214" s="459">
        <v>99</v>
      </c>
      <c r="E214" s="459">
        <v>59</v>
      </c>
      <c r="G214" s="523">
        <f>Taulukko3[[#This Row],[Väestö, 18-64-vuotiaat (2023)]]*Taulukko412[Perushinnat, €]</f>
        <v>83480</v>
      </c>
      <c r="H214" s="491">
        <f>Taulukko3[[#This Row],[Työttömät ja palveluissa olevat (2023)]]*Taulukko412[[ ]]</f>
        <v>72698.67</v>
      </c>
      <c r="I214" s="491">
        <f>Taulukko3[[#This Row],[Vieraskieliset (2023)]]*Taulukko412[[  ]]</f>
        <v>4911.16</v>
      </c>
      <c r="J214" s="500">
        <f t="shared" si="14"/>
        <v>161089.82999999999</v>
      </c>
      <c r="K214" s="491"/>
      <c r="L214" s="497">
        <f>'TE25 Palveluiden kustannusarvio'!U207</f>
        <v>86002.40342510723</v>
      </c>
      <c r="M214" s="458">
        <f t="shared" si="15"/>
        <v>-80544.914999999994</v>
      </c>
      <c r="N214" s="500">
        <f t="shared" si="16"/>
        <v>5457.4884251072363</v>
      </c>
      <c r="P214" s="503">
        <f>Taulukko3[[#This Row],[Vieraskieliset (2023)]]*$P$9</f>
        <v>1866.1699999999998</v>
      </c>
      <c r="Q214" s="459"/>
      <c r="R214" s="530">
        <f t="shared" si="17"/>
        <v>168413.48842510724</v>
      </c>
    </row>
    <row r="215" spans="1:18">
      <c r="A215" s="474">
        <v>635</v>
      </c>
      <c r="B215" s="474" t="s">
        <v>213</v>
      </c>
      <c r="C215" s="459">
        <v>3301</v>
      </c>
      <c r="D215" s="459">
        <v>292</v>
      </c>
      <c r="E215" s="459">
        <v>249</v>
      </c>
      <c r="G215" s="523">
        <f>Taulukko3[[#This Row],[Väestö, 18-64-vuotiaat (2023)]]*Taulukko412[Perushinnat, €]</f>
        <v>275567.48000000004</v>
      </c>
      <c r="H215" s="491">
        <f>Taulukko3[[#This Row],[Työttömät ja palveluissa olevat (2023)]]*Taulukko412[[ ]]</f>
        <v>214424.36000000002</v>
      </c>
      <c r="I215" s="491">
        <f>Taulukko3[[#This Row],[Vieraskieliset (2023)]]*Taulukko412[[  ]]</f>
        <v>20726.759999999998</v>
      </c>
      <c r="J215" s="500">
        <f t="shared" si="14"/>
        <v>510718.60000000009</v>
      </c>
      <c r="K215" s="491"/>
      <c r="L215" s="497">
        <f>'TE25 Palveluiden kustannusarvio'!U208</f>
        <v>244291.9896061419</v>
      </c>
      <c r="M215" s="458">
        <f t="shared" si="15"/>
        <v>-255359.30000000005</v>
      </c>
      <c r="N215" s="500">
        <f t="shared" si="16"/>
        <v>-11067.310393858148</v>
      </c>
      <c r="P215" s="503">
        <f>Taulukko3[[#This Row],[Vieraskieliset (2023)]]*$P$9</f>
        <v>7875.87</v>
      </c>
      <c r="Q215" s="459"/>
      <c r="R215" s="530">
        <f t="shared" si="17"/>
        <v>507527.15960614197</v>
      </c>
    </row>
    <row r="216" spans="1:18">
      <c r="A216" s="474">
        <v>636</v>
      </c>
      <c r="B216" s="474" t="s">
        <v>214</v>
      </c>
      <c r="C216" s="459">
        <v>4283</v>
      </c>
      <c r="D216" s="459">
        <v>398</v>
      </c>
      <c r="E216" s="459">
        <v>422</v>
      </c>
      <c r="G216" s="523">
        <f>Taulukko3[[#This Row],[Väestö, 18-64-vuotiaat (2023)]]*Taulukko412[Perushinnat, €]</f>
        <v>357544.84</v>
      </c>
      <c r="H216" s="491">
        <f>Taulukko3[[#This Row],[Työttömät ja palveluissa olevat (2023)]]*Taulukko412[[ ]]</f>
        <v>292263.34000000003</v>
      </c>
      <c r="I216" s="491">
        <f>Taulukko3[[#This Row],[Vieraskieliset (2023)]]*Taulukko412[[  ]]</f>
        <v>35127.279999999999</v>
      </c>
      <c r="J216" s="500">
        <f t="shared" si="14"/>
        <v>684935.46000000008</v>
      </c>
      <c r="K216" s="491"/>
      <c r="L216" s="497">
        <f>'TE25 Palveluiden kustannusarvio'!U209</f>
        <v>328902.36098382989</v>
      </c>
      <c r="M216" s="458">
        <f t="shared" si="15"/>
        <v>-342467.73000000004</v>
      </c>
      <c r="N216" s="500">
        <f t="shared" si="16"/>
        <v>-13565.369016170152</v>
      </c>
      <c r="P216" s="503">
        <f>Taulukko3[[#This Row],[Vieraskieliset (2023)]]*$P$9</f>
        <v>13347.859999999999</v>
      </c>
      <c r="Q216" s="459"/>
      <c r="R216" s="530">
        <f t="shared" si="17"/>
        <v>684717.95098382991</v>
      </c>
    </row>
    <row r="217" spans="1:18">
      <c r="A217" s="474">
        <v>638</v>
      </c>
      <c r="B217" s="474" t="s">
        <v>215</v>
      </c>
      <c r="C217" s="459">
        <v>29370</v>
      </c>
      <c r="D217" s="459">
        <v>3076</v>
      </c>
      <c r="E217" s="459">
        <v>4352</v>
      </c>
      <c r="G217" s="523">
        <f>Taulukko3[[#This Row],[Väestö, 18-64-vuotiaat (2023)]]*Taulukko412[Perushinnat, €]</f>
        <v>2451807.6</v>
      </c>
      <c r="H217" s="491">
        <f>Taulukko3[[#This Row],[Työttömät ja palveluissa olevat (2023)]]*Taulukko412[[ ]]</f>
        <v>2258799.08</v>
      </c>
      <c r="I217" s="491">
        <f>Taulukko3[[#This Row],[Vieraskieliset (2023)]]*Taulukko412[[  ]]</f>
        <v>362260.47999999998</v>
      </c>
      <c r="J217" s="500">
        <f t="shared" si="14"/>
        <v>5072867.16</v>
      </c>
      <c r="K217" s="491"/>
      <c r="L217" s="497">
        <f>'TE25 Palveluiden kustannusarvio'!U210</f>
        <v>2219001.0327728796</v>
      </c>
      <c r="M217" s="458">
        <f t="shared" si="15"/>
        <v>-2536433.58</v>
      </c>
      <c r="N217" s="500">
        <f t="shared" si="16"/>
        <v>-317432.54722712049</v>
      </c>
      <c r="P217" s="503">
        <f>Taulukko3[[#This Row],[Vieraskieliset (2023)]]*$P$9</f>
        <v>137653.76000000001</v>
      </c>
      <c r="Q217" s="459"/>
      <c r="R217" s="530">
        <f t="shared" si="17"/>
        <v>4893088.3727728799</v>
      </c>
    </row>
    <row r="218" spans="1:18">
      <c r="A218" s="474">
        <v>678</v>
      </c>
      <c r="B218" s="474" t="s">
        <v>216</v>
      </c>
      <c r="C218" s="459">
        <v>12233</v>
      </c>
      <c r="D218" s="459">
        <v>1710</v>
      </c>
      <c r="E218" s="459">
        <v>940</v>
      </c>
      <c r="G218" s="523">
        <f>Taulukko3[[#This Row],[Väestö, 18-64-vuotiaat (2023)]]*Taulukko412[Perushinnat, €]</f>
        <v>1021210.8400000001</v>
      </c>
      <c r="H218" s="491">
        <f>Taulukko3[[#This Row],[Työttömät ja palveluissa olevat (2023)]]*Taulukko412[[ ]]</f>
        <v>1255704.3</v>
      </c>
      <c r="I218" s="491">
        <f>Taulukko3[[#This Row],[Vieraskieliset (2023)]]*Taulukko412[[  ]]</f>
        <v>78245.599999999991</v>
      </c>
      <c r="J218" s="500">
        <f t="shared" si="14"/>
        <v>2355160.7400000002</v>
      </c>
      <c r="K218" s="491"/>
      <c r="L218" s="497">
        <f>'TE25 Palveluiden kustannusarvio'!U211</f>
        <v>1246432.8718872613</v>
      </c>
      <c r="M218" s="458">
        <f t="shared" si="15"/>
        <v>-1177580.3700000001</v>
      </c>
      <c r="N218" s="500">
        <f t="shared" si="16"/>
        <v>68852.501887261169</v>
      </c>
      <c r="P218" s="503">
        <f>Taulukko3[[#This Row],[Vieraskieliset (2023)]]*$P$9</f>
        <v>29732.2</v>
      </c>
      <c r="Q218" s="459"/>
      <c r="R218" s="530">
        <f t="shared" si="17"/>
        <v>2453745.4418872613</v>
      </c>
    </row>
    <row r="219" spans="1:18">
      <c r="A219" s="474">
        <v>680</v>
      </c>
      <c r="B219" s="474" t="s">
        <v>217</v>
      </c>
      <c r="C219" s="459">
        <v>14608</v>
      </c>
      <c r="D219" s="459">
        <v>1451</v>
      </c>
      <c r="E219" s="459">
        <v>3051</v>
      </c>
      <c r="G219" s="523">
        <f>Taulukko3[[#This Row],[Väestö, 18-64-vuotiaat (2023)]]*Taulukko412[Perushinnat, €]</f>
        <v>1219475.8400000001</v>
      </c>
      <c r="H219" s="491">
        <f>Taulukko3[[#This Row],[Työttömät ja palveluissa olevat (2023)]]*Taulukko412[[ ]]</f>
        <v>1065512.83</v>
      </c>
      <c r="I219" s="491">
        <f>Taulukko3[[#This Row],[Vieraskieliset (2023)]]*Taulukko412[[  ]]</f>
        <v>253965.24</v>
      </c>
      <c r="J219" s="500">
        <f t="shared" si="14"/>
        <v>2538953.91</v>
      </c>
      <c r="K219" s="491"/>
      <c r="L219" s="497">
        <f>'TE25 Palveluiden kustannusarvio'!U212</f>
        <v>1383516.6899472962</v>
      </c>
      <c r="M219" s="458">
        <f t="shared" si="15"/>
        <v>-1269476.9550000001</v>
      </c>
      <c r="N219" s="500">
        <f t="shared" si="16"/>
        <v>114039.73494729609</v>
      </c>
      <c r="P219" s="503">
        <f>Taulukko3[[#This Row],[Vieraskieliset (2023)]]*$P$9</f>
        <v>96503.12999999999</v>
      </c>
      <c r="Q219" s="459"/>
      <c r="R219" s="530">
        <f t="shared" si="17"/>
        <v>2749496.7749472959</v>
      </c>
    </row>
    <row r="220" spans="1:18">
      <c r="A220" s="474">
        <v>681</v>
      </c>
      <c r="B220" s="474" t="s">
        <v>218</v>
      </c>
      <c r="C220" s="459">
        <v>1612</v>
      </c>
      <c r="D220" s="459">
        <v>162</v>
      </c>
      <c r="E220" s="459">
        <v>188</v>
      </c>
      <c r="G220" s="523">
        <f>Taulukko3[[#This Row],[Väestö, 18-64-vuotiaat (2023)]]*Taulukko412[Perushinnat, €]</f>
        <v>134569.76</v>
      </c>
      <c r="H220" s="491">
        <f>Taulukko3[[#This Row],[Työttömät ja palveluissa olevat (2023)]]*Taulukko412[[ ]]</f>
        <v>118961.46</v>
      </c>
      <c r="I220" s="491">
        <f>Taulukko3[[#This Row],[Vieraskieliset (2023)]]*Taulukko412[[  ]]</f>
        <v>15649.119999999999</v>
      </c>
      <c r="J220" s="500">
        <f t="shared" si="14"/>
        <v>269180.34000000003</v>
      </c>
      <c r="K220" s="491"/>
      <c r="L220" s="497">
        <f>'TE25 Palveluiden kustannusarvio'!U213</f>
        <v>154956.19012183012</v>
      </c>
      <c r="M220" s="458">
        <f t="shared" si="15"/>
        <v>-134590.17000000001</v>
      </c>
      <c r="N220" s="500">
        <f t="shared" si="16"/>
        <v>20366.020121830108</v>
      </c>
      <c r="P220" s="503">
        <f>Taulukko3[[#This Row],[Vieraskieliset (2023)]]*$P$9</f>
        <v>5946.44</v>
      </c>
      <c r="Q220" s="459"/>
      <c r="R220" s="530">
        <f t="shared" si="17"/>
        <v>295492.80012183014</v>
      </c>
    </row>
    <row r="221" spans="1:18">
      <c r="A221" s="474">
        <v>683</v>
      </c>
      <c r="B221" s="474" t="s">
        <v>219</v>
      </c>
      <c r="C221" s="459">
        <v>1683</v>
      </c>
      <c r="D221" s="459">
        <v>198</v>
      </c>
      <c r="E221" s="459">
        <v>62</v>
      </c>
      <c r="G221" s="523">
        <f>Taulukko3[[#This Row],[Väestö, 18-64-vuotiaat (2023)]]*Taulukko412[Perushinnat, €]</f>
        <v>140496.84</v>
      </c>
      <c r="H221" s="491">
        <f>Taulukko3[[#This Row],[Työttömät ja palveluissa olevat (2023)]]*Taulukko412[[ ]]</f>
        <v>145397.34</v>
      </c>
      <c r="I221" s="491">
        <f>Taulukko3[[#This Row],[Vieraskieliset (2023)]]*Taulukko412[[  ]]</f>
        <v>5160.88</v>
      </c>
      <c r="J221" s="500">
        <f t="shared" si="14"/>
        <v>291055.06</v>
      </c>
      <c r="K221" s="491"/>
      <c r="L221" s="497">
        <f>'TE25 Palveluiden kustannusarvio'!U214</f>
        <v>139207.45490178384</v>
      </c>
      <c r="M221" s="458">
        <f t="shared" si="15"/>
        <v>-145527.53</v>
      </c>
      <c r="N221" s="500">
        <f t="shared" si="16"/>
        <v>-6320.0750982161553</v>
      </c>
      <c r="P221" s="503">
        <f>Taulukko3[[#This Row],[Vieraskieliset (2023)]]*$P$9</f>
        <v>1961.06</v>
      </c>
      <c r="Q221" s="459"/>
      <c r="R221" s="530">
        <f t="shared" si="17"/>
        <v>286696.04490178387</v>
      </c>
    </row>
    <row r="222" spans="1:18">
      <c r="A222" s="474">
        <v>684</v>
      </c>
      <c r="B222" s="474" t="s">
        <v>220</v>
      </c>
      <c r="C222" s="459">
        <v>21739</v>
      </c>
      <c r="D222" s="459">
        <v>2276</v>
      </c>
      <c r="E222" s="459">
        <v>3335</v>
      </c>
      <c r="G222" s="523">
        <f>Taulukko3[[#This Row],[Väestö, 18-64-vuotiaat (2023)]]*Taulukko412[Perushinnat, €]</f>
        <v>1814771.72</v>
      </c>
      <c r="H222" s="491">
        <f>Taulukko3[[#This Row],[Työttömät ja palveluissa olevat (2023)]]*Taulukko412[[ ]]</f>
        <v>1671335.08</v>
      </c>
      <c r="I222" s="491">
        <f>Taulukko3[[#This Row],[Vieraskieliset (2023)]]*Taulukko412[[  ]]</f>
        <v>277605.39999999997</v>
      </c>
      <c r="J222" s="500">
        <f t="shared" si="14"/>
        <v>3763712.1999999997</v>
      </c>
      <c r="K222" s="491"/>
      <c r="L222" s="497">
        <f>'TE25 Palveluiden kustannusarvio'!U215</f>
        <v>1792704.6841439013</v>
      </c>
      <c r="M222" s="458">
        <f t="shared" si="15"/>
        <v>-1881856.0999999999</v>
      </c>
      <c r="N222" s="500">
        <f t="shared" si="16"/>
        <v>-89151.415856098523</v>
      </c>
      <c r="P222" s="503">
        <f>Taulukko3[[#This Row],[Vieraskieliset (2023)]]*$P$9</f>
        <v>105486.05</v>
      </c>
      <c r="Q222" s="459"/>
      <c r="R222" s="530">
        <f t="shared" si="17"/>
        <v>3780046.8341439012</v>
      </c>
    </row>
    <row r="223" spans="1:18">
      <c r="A223" s="474">
        <v>686</v>
      </c>
      <c r="B223" s="474" t="s">
        <v>221</v>
      </c>
      <c r="C223" s="459">
        <v>1424</v>
      </c>
      <c r="D223" s="459">
        <v>151</v>
      </c>
      <c r="E223" s="459">
        <v>104</v>
      </c>
      <c r="G223" s="523">
        <f>Taulukko3[[#This Row],[Väestö, 18-64-vuotiaat (2023)]]*Taulukko412[Perushinnat, €]</f>
        <v>118875.52</v>
      </c>
      <c r="H223" s="491">
        <f>Taulukko3[[#This Row],[Työttömät ja palveluissa olevat (2023)]]*Taulukko412[[ ]]</f>
        <v>110883.83</v>
      </c>
      <c r="I223" s="491">
        <f>Taulukko3[[#This Row],[Vieraskieliset (2023)]]*Taulukko412[[  ]]</f>
        <v>8656.9599999999991</v>
      </c>
      <c r="J223" s="500">
        <f t="shared" si="14"/>
        <v>238416.31</v>
      </c>
      <c r="K223" s="491"/>
      <c r="L223" s="497">
        <f>'TE25 Palveluiden kustannusarvio'!U216</f>
        <v>131368.8684757351</v>
      </c>
      <c r="M223" s="458">
        <f t="shared" si="15"/>
        <v>-119208.155</v>
      </c>
      <c r="N223" s="500">
        <f t="shared" si="16"/>
        <v>12160.713475735101</v>
      </c>
      <c r="P223" s="503">
        <f>Taulukko3[[#This Row],[Vieraskieliset (2023)]]*$P$9</f>
        <v>3289.52</v>
      </c>
      <c r="Q223" s="459"/>
      <c r="R223" s="530">
        <f t="shared" si="17"/>
        <v>253866.54347573509</v>
      </c>
    </row>
    <row r="224" spans="1:18">
      <c r="A224" s="474">
        <v>687</v>
      </c>
      <c r="B224" s="474" t="s">
        <v>222</v>
      </c>
      <c r="C224" s="459">
        <v>656</v>
      </c>
      <c r="D224" s="459">
        <v>92</v>
      </c>
      <c r="E224" s="459">
        <v>22</v>
      </c>
      <c r="G224" s="523">
        <f>Taulukko3[[#This Row],[Väestö, 18-64-vuotiaat (2023)]]*Taulukko412[Perushinnat, €]</f>
        <v>54762.880000000005</v>
      </c>
      <c r="H224" s="491">
        <f>Taulukko3[[#This Row],[Työttömät ja palveluissa olevat (2023)]]*Taulukko412[[ ]]</f>
        <v>67558.36</v>
      </c>
      <c r="I224" s="491">
        <f>Taulukko3[[#This Row],[Vieraskieliset (2023)]]*Taulukko412[[  ]]</f>
        <v>1831.28</v>
      </c>
      <c r="J224" s="500">
        <f t="shared" si="14"/>
        <v>124152.52</v>
      </c>
      <c r="K224" s="491"/>
      <c r="L224" s="497">
        <f>'TE25 Palveluiden kustannusarvio'!U217</f>
        <v>64141.166602465732</v>
      </c>
      <c r="M224" s="458">
        <f t="shared" si="15"/>
        <v>-62076.26</v>
      </c>
      <c r="N224" s="500">
        <f t="shared" si="16"/>
        <v>2064.9066024657295</v>
      </c>
      <c r="P224" s="503">
        <f>Taulukko3[[#This Row],[Vieraskieliset (2023)]]*$P$9</f>
        <v>695.86</v>
      </c>
      <c r="Q224" s="459"/>
      <c r="R224" s="530">
        <f t="shared" si="17"/>
        <v>126913.28660246574</v>
      </c>
    </row>
    <row r="225" spans="1:18">
      <c r="A225" s="474">
        <v>689</v>
      </c>
      <c r="B225" s="474" t="s">
        <v>223</v>
      </c>
      <c r="C225" s="459">
        <v>1411</v>
      </c>
      <c r="D225" s="459">
        <v>246</v>
      </c>
      <c r="E225" s="459">
        <v>135</v>
      </c>
      <c r="G225" s="523">
        <f>Taulukko3[[#This Row],[Väestö, 18-64-vuotiaat (2023)]]*Taulukko412[Perushinnat, €]</f>
        <v>117790.28</v>
      </c>
      <c r="H225" s="491">
        <f>Taulukko3[[#This Row],[Työttömät ja palveluissa olevat (2023)]]*Taulukko412[[ ]]</f>
        <v>180645.18000000002</v>
      </c>
      <c r="I225" s="491">
        <f>Taulukko3[[#This Row],[Vieraskieliset (2023)]]*Taulukko412[[  ]]</f>
        <v>11237.4</v>
      </c>
      <c r="J225" s="500">
        <f t="shared" si="14"/>
        <v>309672.86000000004</v>
      </c>
      <c r="K225" s="491"/>
      <c r="L225" s="497">
        <f>'TE25 Palveluiden kustannusarvio'!U218</f>
        <v>217964.84349139279</v>
      </c>
      <c r="M225" s="458">
        <f t="shared" si="15"/>
        <v>-154836.43000000002</v>
      </c>
      <c r="N225" s="500">
        <f t="shared" si="16"/>
        <v>63128.41349139277</v>
      </c>
      <c r="P225" s="503">
        <f>Taulukko3[[#This Row],[Vieraskieliset (2023)]]*$P$9</f>
        <v>4270.05</v>
      </c>
      <c r="Q225" s="459"/>
      <c r="R225" s="530">
        <f t="shared" si="17"/>
        <v>377071.32349139283</v>
      </c>
    </row>
    <row r="226" spans="1:18">
      <c r="A226" s="474">
        <v>691</v>
      </c>
      <c r="B226" s="474" t="s">
        <v>224</v>
      </c>
      <c r="C226" s="459">
        <v>1263</v>
      </c>
      <c r="D226" s="459">
        <v>106</v>
      </c>
      <c r="E226" s="459">
        <v>13</v>
      </c>
      <c r="G226" s="523">
        <f>Taulukko3[[#This Row],[Väestö, 18-64-vuotiaat (2023)]]*Taulukko412[Perushinnat, €]</f>
        <v>105435.24</v>
      </c>
      <c r="H226" s="491">
        <f>Taulukko3[[#This Row],[Työttömät ja palveluissa olevat (2023)]]*Taulukko412[[ ]]</f>
        <v>77838.98000000001</v>
      </c>
      <c r="I226" s="491">
        <f>Taulukko3[[#This Row],[Vieraskieliset (2023)]]*Taulukko412[[  ]]</f>
        <v>1082.1199999999999</v>
      </c>
      <c r="J226" s="500">
        <f t="shared" si="14"/>
        <v>184356.34000000003</v>
      </c>
      <c r="K226" s="491"/>
      <c r="L226" s="497">
        <f>'TE25 Palveluiden kustannusarvio'!U219</f>
        <v>80201.268189072245</v>
      </c>
      <c r="M226" s="458">
        <f t="shared" si="15"/>
        <v>-92178.170000000013</v>
      </c>
      <c r="N226" s="500">
        <f t="shared" si="16"/>
        <v>-11976.901810927768</v>
      </c>
      <c r="P226" s="503">
        <f>Taulukko3[[#This Row],[Vieraskieliset (2023)]]*$P$9</f>
        <v>411.19</v>
      </c>
      <c r="Q226" s="459"/>
      <c r="R226" s="530">
        <f t="shared" si="17"/>
        <v>172790.62818907225</v>
      </c>
    </row>
    <row r="227" spans="1:18">
      <c r="A227" s="474">
        <v>694</v>
      </c>
      <c r="B227" s="474" t="s">
        <v>225</v>
      </c>
      <c r="C227" s="459">
        <v>16355</v>
      </c>
      <c r="D227" s="459">
        <v>1970</v>
      </c>
      <c r="E227" s="459">
        <v>1941</v>
      </c>
      <c r="G227" s="523">
        <f>Taulukko3[[#This Row],[Väestö, 18-64-vuotiaat (2023)]]*Taulukko412[Perushinnat, €]</f>
        <v>1365315.4000000001</v>
      </c>
      <c r="H227" s="491">
        <f>Taulukko3[[#This Row],[Työttömät ja palveluissa olevat (2023)]]*Taulukko412[[ ]]</f>
        <v>1446630.1</v>
      </c>
      <c r="I227" s="491">
        <f>Taulukko3[[#This Row],[Vieraskieliset (2023)]]*Taulukko412[[  ]]</f>
        <v>161568.84</v>
      </c>
      <c r="J227" s="500">
        <f t="shared" si="14"/>
        <v>2973514.34</v>
      </c>
      <c r="K227" s="491"/>
      <c r="L227" s="497">
        <f>'TE25 Palveluiden kustannusarvio'!U220</f>
        <v>1366094.5195661669</v>
      </c>
      <c r="M227" s="458">
        <f t="shared" si="15"/>
        <v>-1486757.17</v>
      </c>
      <c r="N227" s="500">
        <f t="shared" si="16"/>
        <v>-120662.65043383301</v>
      </c>
      <c r="P227" s="503">
        <f>Taulukko3[[#This Row],[Vieraskieliset (2023)]]*$P$9</f>
        <v>61393.829999999994</v>
      </c>
      <c r="Q227" s="459"/>
      <c r="R227" s="530">
        <f t="shared" si="17"/>
        <v>2914245.5195661671</v>
      </c>
    </row>
    <row r="228" spans="1:18">
      <c r="A228" s="474">
        <v>697</v>
      </c>
      <c r="B228" s="474" t="s">
        <v>226</v>
      </c>
      <c r="C228" s="459">
        <v>529</v>
      </c>
      <c r="D228" s="459">
        <v>64</v>
      </c>
      <c r="E228" s="459">
        <v>23</v>
      </c>
      <c r="G228" s="523">
        <f>Taulukko3[[#This Row],[Väestö, 18-64-vuotiaat (2023)]]*Taulukko412[Perushinnat, €]</f>
        <v>44160.920000000006</v>
      </c>
      <c r="H228" s="491">
        <f>Taulukko3[[#This Row],[Työttömät ja palveluissa olevat (2023)]]*Taulukko412[[ ]]</f>
        <v>46997.120000000003</v>
      </c>
      <c r="I228" s="491">
        <f>Taulukko3[[#This Row],[Vieraskieliset (2023)]]*Taulukko412[[  ]]</f>
        <v>1914.52</v>
      </c>
      <c r="J228" s="500">
        <f t="shared" si="14"/>
        <v>93072.560000000012</v>
      </c>
      <c r="K228" s="491"/>
      <c r="L228" s="497">
        <f>'TE25 Palveluiden kustannusarvio'!U221</f>
        <v>83365.540825718199</v>
      </c>
      <c r="M228" s="458">
        <f t="shared" si="15"/>
        <v>-46536.280000000006</v>
      </c>
      <c r="N228" s="500">
        <f t="shared" si="16"/>
        <v>36829.260825718193</v>
      </c>
      <c r="P228" s="503">
        <f>Taulukko3[[#This Row],[Vieraskieliset (2023)]]*$P$9</f>
        <v>727.49</v>
      </c>
      <c r="Q228" s="459"/>
      <c r="R228" s="530">
        <f t="shared" si="17"/>
        <v>130629.3108257182</v>
      </c>
    </row>
    <row r="229" spans="1:18">
      <c r="A229" s="474">
        <v>698</v>
      </c>
      <c r="B229" s="474" t="s">
        <v>227</v>
      </c>
      <c r="C229" s="459">
        <v>39088</v>
      </c>
      <c r="D229" s="459">
        <v>4407</v>
      </c>
      <c r="E229" s="459">
        <v>3072</v>
      </c>
      <c r="G229" s="523">
        <f>Taulukko3[[#This Row],[Väestö, 18-64-vuotiaat (2023)]]*Taulukko412[Perushinnat, €]</f>
        <v>3263066.24</v>
      </c>
      <c r="H229" s="491">
        <f>Taulukko3[[#This Row],[Työttömät ja palveluissa olevat (2023)]]*Taulukko412[[ ]]</f>
        <v>3236192.31</v>
      </c>
      <c r="I229" s="491">
        <f>Taulukko3[[#This Row],[Vieraskieliset (2023)]]*Taulukko412[[  ]]</f>
        <v>255713.27999999997</v>
      </c>
      <c r="J229" s="500">
        <f t="shared" si="14"/>
        <v>6754971.830000001</v>
      </c>
      <c r="K229" s="491"/>
      <c r="L229" s="497">
        <f>'TE25 Palveluiden kustannusarvio'!U222</f>
        <v>4221703.766269776</v>
      </c>
      <c r="M229" s="458">
        <f t="shared" si="15"/>
        <v>-3377485.9150000005</v>
      </c>
      <c r="N229" s="500">
        <f t="shared" si="16"/>
        <v>844217.85126977554</v>
      </c>
      <c r="P229" s="503">
        <f>Taulukko3[[#This Row],[Vieraskieliset (2023)]]*$P$9</f>
        <v>97167.360000000001</v>
      </c>
      <c r="Q229" s="459"/>
      <c r="R229" s="530">
        <f t="shared" si="17"/>
        <v>7696357.0412697764</v>
      </c>
    </row>
    <row r="230" spans="1:18">
      <c r="A230" s="474">
        <v>700</v>
      </c>
      <c r="B230" s="474" t="s">
        <v>228</v>
      </c>
      <c r="C230" s="459">
        <v>2321</v>
      </c>
      <c r="D230" s="459">
        <v>275</v>
      </c>
      <c r="E230" s="459">
        <v>173</v>
      </c>
      <c r="G230" s="523">
        <f>Taulukko3[[#This Row],[Väestö, 18-64-vuotiaat (2023)]]*Taulukko412[Perushinnat, €]</f>
        <v>193757.08000000002</v>
      </c>
      <c r="H230" s="491">
        <f>Taulukko3[[#This Row],[Työttömät ja palveluissa olevat (2023)]]*Taulukko412[[ ]]</f>
        <v>201940.75</v>
      </c>
      <c r="I230" s="491">
        <f>Taulukko3[[#This Row],[Vieraskieliset (2023)]]*Taulukko412[[  ]]</f>
        <v>14400.519999999999</v>
      </c>
      <c r="J230" s="500">
        <f t="shared" si="14"/>
        <v>410098.35000000003</v>
      </c>
      <c r="K230" s="491"/>
      <c r="L230" s="497">
        <f>'TE25 Palveluiden kustannusarvio'!U223</f>
        <v>224319.90931741908</v>
      </c>
      <c r="M230" s="458">
        <f t="shared" si="15"/>
        <v>-205049.17500000002</v>
      </c>
      <c r="N230" s="500">
        <f t="shared" si="16"/>
        <v>19270.734317419061</v>
      </c>
      <c r="P230" s="503">
        <f>Taulukko3[[#This Row],[Vieraskieliset (2023)]]*$P$9</f>
        <v>5471.99</v>
      </c>
      <c r="Q230" s="459"/>
      <c r="R230" s="530">
        <f t="shared" si="17"/>
        <v>434841.07431741909</v>
      </c>
    </row>
    <row r="231" spans="1:18">
      <c r="A231" s="474">
        <v>702</v>
      </c>
      <c r="B231" s="474" t="s">
        <v>229</v>
      </c>
      <c r="C231" s="459">
        <v>1913</v>
      </c>
      <c r="D231" s="459">
        <v>262</v>
      </c>
      <c r="E231" s="459">
        <v>121</v>
      </c>
      <c r="G231" s="523">
        <f>Taulukko3[[#This Row],[Väestö, 18-64-vuotiaat (2023)]]*Taulukko412[Perushinnat, €]</f>
        <v>159697.24000000002</v>
      </c>
      <c r="H231" s="491">
        <f>Taulukko3[[#This Row],[Työttömät ja palveluissa olevat (2023)]]*Taulukko412[[ ]]</f>
        <v>192394.46000000002</v>
      </c>
      <c r="I231" s="491">
        <f>Taulukko3[[#This Row],[Vieraskieliset (2023)]]*Taulukko412[[  ]]</f>
        <v>10072.039999999999</v>
      </c>
      <c r="J231" s="500">
        <f t="shared" si="14"/>
        <v>362163.74000000005</v>
      </c>
      <c r="K231" s="491"/>
      <c r="L231" s="497">
        <f>'TE25 Palveluiden kustannusarvio'!U224</f>
        <v>225490.13851224503</v>
      </c>
      <c r="M231" s="458">
        <f t="shared" si="15"/>
        <v>-181081.87000000002</v>
      </c>
      <c r="N231" s="500">
        <f t="shared" si="16"/>
        <v>44408.268512245006</v>
      </c>
      <c r="P231" s="503">
        <f>Taulukko3[[#This Row],[Vieraskieliset (2023)]]*$P$9</f>
        <v>3827.23</v>
      </c>
      <c r="Q231" s="459"/>
      <c r="R231" s="530">
        <f t="shared" si="17"/>
        <v>410399.23851224501</v>
      </c>
    </row>
    <row r="232" spans="1:18">
      <c r="A232" s="474">
        <v>704</v>
      </c>
      <c r="B232" s="474" t="s">
        <v>230</v>
      </c>
      <c r="C232" s="459">
        <v>3582</v>
      </c>
      <c r="D232" s="459">
        <v>189</v>
      </c>
      <c r="E232" s="459">
        <v>214</v>
      </c>
      <c r="G232" s="523">
        <f>Taulukko3[[#This Row],[Väestö, 18-64-vuotiaat (2023)]]*Taulukko412[Perushinnat, €]</f>
        <v>299025.36</v>
      </c>
      <c r="H232" s="491">
        <f>Taulukko3[[#This Row],[Työttömät ja palveluissa olevat (2023)]]*Taulukko412[[ ]]</f>
        <v>138788.37</v>
      </c>
      <c r="I232" s="491">
        <f>Taulukko3[[#This Row],[Vieraskieliset (2023)]]*Taulukko412[[  ]]</f>
        <v>17813.36</v>
      </c>
      <c r="J232" s="500">
        <f t="shared" si="14"/>
        <v>455627.08999999997</v>
      </c>
      <c r="K232" s="491"/>
      <c r="L232" s="497">
        <f>'TE25 Palveluiden kustannusarvio'!U225</f>
        <v>183406.3519056199</v>
      </c>
      <c r="M232" s="458">
        <f t="shared" si="15"/>
        <v>-227813.54499999998</v>
      </c>
      <c r="N232" s="500">
        <f t="shared" si="16"/>
        <v>-44407.193094380083</v>
      </c>
      <c r="P232" s="503">
        <f>Taulukko3[[#This Row],[Vieraskieliset (2023)]]*$P$9</f>
        <v>6768.82</v>
      </c>
      <c r="Q232" s="459"/>
      <c r="R232" s="530">
        <f t="shared" si="17"/>
        <v>417988.71690561989</v>
      </c>
    </row>
    <row r="233" spans="1:18">
      <c r="A233" s="474">
        <v>707</v>
      </c>
      <c r="B233" s="474" t="s">
        <v>231</v>
      </c>
      <c r="C233" s="459">
        <v>842</v>
      </c>
      <c r="D233" s="459">
        <v>163</v>
      </c>
      <c r="E233" s="459">
        <v>85</v>
      </c>
      <c r="G233" s="523">
        <f>Taulukko3[[#This Row],[Väestö, 18-64-vuotiaat (2023)]]*Taulukko412[Perushinnat, €]</f>
        <v>70290.16</v>
      </c>
      <c r="H233" s="491">
        <f>Taulukko3[[#This Row],[Työttömät ja palveluissa olevat (2023)]]*Taulukko412[[ ]]</f>
        <v>119695.79000000001</v>
      </c>
      <c r="I233" s="491">
        <f>Taulukko3[[#This Row],[Vieraskieliset (2023)]]*Taulukko412[[  ]]</f>
        <v>7075.4</v>
      </c>
      <c r="J233" s="500">
        <f t="shared" si="14"/>
        <v>197061.35</v>
      </c>
      <c r="K233" s="491"/>
      <c r="L233" s="497">
        <f>'TE25 Palveluiden kustannusarvio'!U226</f>
        <v>180348.45960489416</v>
      </c>
      <c r="M233" s="458">
        <f t="shared" si="15"/>
        <v>-98530.675000000003</v>
      </c>
      <c r="N233" s="500">
        <f t="shared" si="16"/>
        <v>81817.784604894157</v>
      </c>
      <c r="P233" s="503">
        <f>Taulukko3[[#This Row],[Vieraskieliset (2023)]]*$P$9</f>
        <v>2688.5499999999997</v>
      </c>
      <c r="Q233" s="459"/>
      <c r="R233" s="530">
        <f t="shared" si="17"/>
        <v>281567.68460489414</v>
      </c>
    </row>
    <row r="234" spans="1:18">
      <c r="A234" s="474">
        <v>710</v>
      </c>
      <c r="B234" s="474" t="s">
        <v>232</v>
      </c>
      <c r="C234" s="459">
        <v>14748</v>
      </c>
      <c r="D234" s="459">
        <v>1465</v>
      </c>
      <c r="E234" s="459">
        <v>1590</v>
      </c>
      <c r="G234" s="523">
        <f>Taulukko3[[#This Row],[Väestö, 18-64-vuotiaat (2023)]]*Taulukko412[Perushinnat, €]</f>
        <v>1231163.04</v>
      </c>
      <c r="H234" s="491">
        <f>Taulukko3[[#This Row],[Työttömät ja palveluissa olevat (2023)]]*Taulukko412[[ ]]</f>
        <v>1075793.45</v>
      </c>
      <c r="I234" s="491">
        <f>Taulukko3[[#This Row],[Vieraskieliset (2023)]]*Taulukko412[[  ]]</f>
        <v>132351.6</v>
      </c>
      <c r="J234" s="500">
        <f t="shared" si="14"/>
        <v>2439308.0900000003</v>
      </c>
      <c r="K234" s="491"/>
      <c r="L234" s="497">
        <f>'TE25 Palveluiden kustannusarvio'!U227</f>
        <v>1067146.9005453126</v>
      </c>
      <c r="M234" s="458">
        <f t="shared" si="15"/>
        <v>-1219654.0450000002</v>
      </c>
      <c r="N234" s="500">
        <f t="shared" si="16"/>
        <v>-152507.1444546876</v>
      </c>
      <c r="P234" s="503">
        <f>Taulukko3[[#This Row],[Vieraskieliset (2023)]]*$P$9</f>
        <v>50291.7</v>
      </c>
      <c r="Q234" s="459"/>
      <c r="R234" s="530">
        <f t="shared" si="17"/>
        <v>2337092.6455453131</v>
      </c>
    </row>
    <row r="235" spans="1:18">
      <c r="A235" s="474">
        <v>729</v>
      </c>
      <c r="B235" s="474" t="s">
        <v>233</v>
      </c>
      <c r="C235" s="459">
        <v>4291</v>
      </c>
      <c r="D235" s="459">
        <v>718</v>
      </c>
      <c r="E235" s="459">
        <v>141</v>
      </c>
      <c r="G235" s="523">
        <f>Taulukko3[[#This Row],[Väestö, 18-64-vuotiaat (2023)]]*Taulukko412[Perushinnat, €]</f>
        <v>358212.68</v>
      </c>
      <c r="H235" s="491">
        <f>Taulukko3[[#This Row],[Työttömät ja palveluissa olevat (2023)]]*Taulukko412[[ ]]</f>
        <v>527248.94000000006</v>
      </c>
      <c r="I235" s="491">
        <f>Taulukko3[[#This Row],[Vieraskieliset (2023)]]*Taulukko412[[  ]]</f>
        <v>11736.84</v>
      </c>
      <c r="J235" s="500">
        <f t="shared" si="14"/>
        <v>897198.46000000008</v>
      </c>
      <c r="K235" s="491"/>
      <c r="L235" s="497">
        <f>'TE25 Palveluiden kustannusarvio'!U228</f>
        <v>560317.6087595541</v>
      </c>
      <c r="M235" s="458">
        <f t="shared" si="15"/>
        <v>-448599.23000000004</v>
      </c>
      <c r="N235" s="500">
        <f t="shared" si="16"/>
        <v>111718.37875955406</v>
      </c>
      <c r="P235" s="503">
        <f>Taulukko3[[#This Row],[Vieraskieliset (2023)]]*$P$9</f>
        <v>4459.83</v>
      </c>
      <c r="Q235" s="459"/>
      <c r="R235" s="530">
        <f t="shared" si="17"/>
        <v>1013376.668759554</v>
      </c>
    </row>
    <row r="236" spans="1:18">
      <c r="A236" s="474">
        <v>732</v>
      </c>
      <c r="B236" s="474" t="s">
        <v>234</v>
      </c>
      <c r="C236" s="459">
        <v>1609</v>
      </c>
      <c r="D236" s="459">
        <v>236</v>
      </c>
      <c r="E236" s="459">
        <v>121</v>
      </c>
      <c r="G236" s="523">
        <f>Taulukko3[[#This Row],[Väestö, 18-64-vuotiaat (2023)]]*Taulukko412[Perushinnat, €]</f>
        <v>134319.32</v>
      </c>
      <c r="H236" s="491">
        <f>Taulukko3[[#This Row],[Työttömät ja palveluissa olevat (2023)]]*Taulukko412[[ ]]</f>
        <v>173301.88</v>
      </c>
      <c r="I236" s="491">
        <f>Taulukko3[[#This Row],[Vieraskieliset (2023)]]*Taulukko412[[  ]]</f>
        <v>10072.039999999999</v>
      </c>
      <c r="J236" s="500">
        <f t="shared" si="14"/>
        <v>317693.24</v>
      </c>
      <c r="K236" s="491"/>
      <c r="L236" s="497">
        <f>'TE25 Palveluiden kustannusarvio'!U229</f>
        <v>180457.85614587148</v>
      </c>
      <c r="M236" s="458">
        <f t="shared" si="15"/>
        <v>-158846.62</v>
      </c>
      <c r="N236" s="500">
        <f t="shared" si="16"/>
        <v>21611.236145871488</v>
      </c>
      <c r="P236" s="503">
        <f>Taulukko3[[#This Row],[Vieraskieliset (2023)]]*$P$9</f>
        <v>3827.23</v>
      </c>
      <c r="Q236" s="459"/>
      <c r="R236" s="530">
        <f t="shared" si="17"/>
        <v>343131.70614587143</v>
      </c>
    </row>
    <row r="237" spans="1:18">
      <c r="A237" s="474">
        <v>734</v>
      </c>
      <c r="B237" s="474" t="s">
        <v>235</v>
      </c>
      <c r="C237" s="459">
        <v>27641</v>
      </c>
      <c r="D237" s="459">
        <v>3432</v>
      </c>
      <c r="E237" s="459">
        <v>4273</v>
      </c>
      <c r="G237" s="523">
        <f>Taulukko3[[#This Row],[Väestö, 18-64-vuotiaat (2023)]]*Taulukko412[Perushinnat, €]</f>
        <v>2307470.6800000002</v>
      </c>
      <c r="H237" s="491">
        <f>Taulukko3[[#This Row],[Työttömät ja palveluissa olevat (2023)]]*Taulukko412[[ ]]</f>
        <v>2520220.56</v>
      </c>
      <c r="I237" s="491">
        <f>Taulukko3[[#This Row],[Vieraskieliset (2023)]]*Taulukko412[[  ]]</f>
        <v>355684.51999999996</v>
      </c>
      <c r="J237" s="500">
        <f t="shared" si="14"/>
        <v>5183375.76</v>
      </c>
      <c r="K237" s="491"/>
      <c r="L237" s="497">
        <f>'TE25 Palveluiden kustannusarvio'!U230</f>
        <v>3169022.0874446379</v>
      </c>
      <c r="M237" s="458">
        <f t="shared" si="15"/>
        <v>-2591687.88</v>
      </c>
      <c r="N237" s="500">
        <f t="shared" si="16"/>
        <v>577334.20744463801</v>
      </c>
      <c r="P237" s="503">
        <f>Taulukko3[[#This Row],[Vieraskieliset (2023)]]*$P$9</f>
        <v>135154.99</v>
      </c>
      <c r="Q237" s="459"/>
      <c r="R237" s="530">
        <f t="shared" si="17"/>
        <v>5895864.957444638</v>
      </c>
    </row>
    <row r="238" spans="1:18">
      <c r="A238" s="474">
        <v>738</v>
      </c>
      <c r="B238" s="474" t="s">
        <v>236</v>
      </c>
      <c r="C238" s="459">
        <v>1615</v>
      </c>
      <c r="D238" s="459">
        <v>126</v>
      </c>
      <c r="E238" s="459">
        <v>203</v>
      </c>
      <c r="G238" s="523">
        <f>Taulukko3[[#This Row],[Väestö, 18-64-vuotiaat (2023)]]*Taulukko412[Perushinnat, €]</f>
        <v>134820.20000000001</v>
      </c>
      <c r="H238" s="491">
        <f>Taulukko3[[#This Row],[Työttömät ja palveluissa olevat (2023)]]*Taulukko412[[ ]]</f>
        <v>92525.58</v>
      </c>
      <c r="I238" s="491">
        <f>Taulukko3[[#This Row],[Vieraskieliset (2023)]]*Taulukko412[[  ]]</f>
        <v>16897.719999999998</v>
      </c>
      <c r="J238" s="500">
        <f t="shared" si="14"/>
        <v>244243.50000000003</v>
      </c>
      <c r="K238" s="491"/>
      <c r="L238" s="497">
        <f>'TE25 Palveluiden kustannusarvio'!U231</f>
        <v>118023.66262217604</v>
      </c>
      <c r="M238" s="458">
        <f t="shared" si="15"/>
        <v>-122121.75000000001</v>
      </c>
      <c r="N238" s="500">
        <f t="shared" si="16"/>
        <v>-4098.0873778239766</v>
      </c>
      <c r="P238" s="503">
        <f>Taulukko3[[#This Row],[Vieraskieliset (2023)]]*$P$9</f>
        <v>6420.8899999999994</v>
      </c>
      <c r="Q238" s="459"/>
      <c r="R238" s="530">
        <f t="shared" si="17"/>
        <v>246566.30262217607</v>
      </c>
    </row>
    <row r="239" spans="1:18">
      <c r="A239" s="474">
        <v>739</v>
      </c>
      <c r="B239" s="474" t="s">
        <v>237</v>
      </c>
      <c r="C239" s="459">
        <v>1490</v>
      </c>
      <c r="D239" s="459">
        <v>164</v>
      </c>
      <c r="E239" s="459">
        <v>83</v>
      </c>
      <c r="G239" s="523">
        <f>Taulukko3[[#This Row],[Väestö, 18-64-vuotiaat (2023)]]*Taulukko412[Perushinnat, €]</f>
        <v>124385.20000000001</v>
      </c>
      <c r="H239" s="491">
        <f>Taulukko3[[#This Row],[Työttömät ja palveluissa olevat (2023)]]*Taulukko412[[ ]]</f>
        <v>120430.12000000001</v>
      </c>
      <c r="I239" s="491">
        <f>Taulukko3[[#This Row],[Vieraskieliset (2023)]]*Taulukko412[[  ]]</f>
        <v>6908.9199999999992</v>
      </c>
      <c r="J239" s="500">
        <f t="shared" si="14"/>
        <v>251724.24000000002</v>
      </c>
      <c r="K239" s="491"/>
      <c r="L239" s="497">
        <f>'TE25 Palveluiden kustannusarvio'!U232</f>
        <v>145688.47446313009</v>
      </c>
      <c r="M239" s="458">
        <f t="shared" si="15"/>
        <v>-125862.12000000001</v>
      </c>
      <c r="N239" s="500">
        <f t="shared" si="16"/>
        <v>19826.354463130076</v>
      </c>
      <c r="P239" s="503">
        <f>Taulukko3[[#This Row],[Vieraskieliset (2023)]]*$P$9</f>
        <v>2625.29</v>
      </c>
      <c r="Q239" s="459"/>
      <c r="R239" s="530">
        <f t="shared" si="17"/>
        <v>274175.88446313009</v>
      </c>
    </row>
    <row r="240" spans="1:18">
      <c r="A240" s="474">
        <v>740</v>
      </c>
      <c r="B240" s="474" t="s">
        <v>238</v>
      </c>
      <c r="C240" s="459">
        <v>16384</v>
      </c>
      <c r="D240" s="459">
        <v>2330</v>
      </c>
      <c r="E240" s="459">
        <v>1541</v>
      </c>
      <c r="G240" s="523">
        <f>Taulukko3[[#This Row],[Väestö, 18-64-vuotiaat (2023)]]*Taulukko412[Perushinnat, €]</f>
        <v>1367736.3200000001</v>
      </c>
      <c r="H240" s="491">
        <f>Taulukko3[[#This Row],[Työttömät ja palveluissa olevat (2023)]]*Taulukko412[[ ]]</f>
        <v>1710988.9000000001</v>
      </c>
      <c r="I240" s="491">
        <f>Taulukko3[[#This Row],[Vieraskieliset (2023)]]*Taulukko412[[  ]]</f>
        <v>128272.84</v>
      </c>
      <c r="J240" s="500">
        <f t="shared" si="14"/>
        <v>3206998.06</v>
      </c>
      <c r="K240" s="491"/>
      <c r="L240" s="497">
        <f>'TE25 Palveluiden kustannusarvio'!U233</f>
        <v>1792530.8606220142</v>
      </c>
      <c r="M240" s="458">
        <f t="shared" si="15"/>
        <v>-1603499.03</v>
      </c>
      <c r="N240" s="500">
        <f t="shared" si="16"/>
        <v>189031.83062201412</v>
      </c>
      <c r="P240" s="503">
        <f>Taulukko3[[#This Row],[Vieraskieliset (2023)]]*$P$9</f>
        <v>48741.83</v>
      </c>
      <c r="Q240" s="459"/>
      <c r="R240" s="530">
        <f t="shared" si="17"/>
        <v>3444771.7206220143</v>
      </c>
    </row>
    <row r="241" spans="1:18">
      <c r="A241" s="474">
        <v>742</v>
      </c>
      <c r="B241" s="474" t="s">
        <v>239</v>
      </c>
      <c r="C241" s="459">
        <v>508</v>
      </c>
      <c r="D241" s="459">
        <v>88</v>
      </c>
      <c r="E241" s="459">
        <v>20</v>
      </c>
      <c r="G241" s="523">
        <f>Taulukko3[[#This Row],[Väestö, 18-64-vuotiaat (2023)]]*Taulukko412[Perushinnat, €]</f>
        <v>42407.840000000004</v>
      </c>
      <c r="H241" s="491">
        <f>Taulukko3[[#This Row],[Työttömät ja palveluissa olevat (2023)]]*Taulukko412[[ ]]</f>
        <v>64621.04</v>
      </c>
      <c r="I241" s="491">
        <f>Taulukko3[[#This Row],[Vieraskieliset (2023)]]*Taulukko412[[  ]]</f>
        <v>1664.8</v>
      </c>
      <c r="J241" s="500">
        <f t="shared" si="14"/>
        <v>108693.68000000001</v>
      </c>
      <c r="K241" s="491"/>
      <c r="L241" s="497">
        <f>'TE25 Palveluiden kustannusarvio'!U234</f>
        <v>78911.835991372616</v>
      </c>
      <c r="M241" s="458">
        <f t="shared" si="15"/>
        <v>-54346.840000000004</v>
      </c>
      <c r="N241" s="500">
        <f t="shared" si="16"/>
        <v>24564.995991372612</v>
      </c>
      <c r="P241" s="503">
        <f>Taulukko3[[#This Row],[Vieraskieliset (2023)]]*$P$9</f>
        <v>632.6</v>
      </c>
      <c r="Q241" s="459"/>
      <c r="R241" s="530">
        <f t="shared" si="17"/>
        <v>133891.27599137262</v>
      </c>
    </row>
    <row r="242" spans="1:18">
      <c r="A242" s="474">
        <v>743</v>
      </c>
      <c r="B242" s="474" t="s">
        <v>240</v>
      </c>
      <c r="C242" s="459">
        <v>39090</v>
      </c>
      <c r="D242" s="459">
        <v>3533</v>
      </c>
      <c r="E242" s="459">
        <v>2981</v>
      </c>
      <c r="G242" s="523">
        <f>Taulukko3[[#This Row],[Väestö, 18-64-vuotiaat (2023)]]*Taulukko412[Perushinnat, €]</f>
        <v>3263233.2</v>
      </c>
      <c r="H242" s="491">
        <f>Taulukko3[[#This Row],[Työttömät ja palveluissa olevat (2023)]]*Taulukko412[[ ]]</f>
        <v>2594387.89</v>
      </c>
      <c r="I242" s="491">
        <f>Taulukko3[[#This Row],[Vieraskieliset (2023)]]*Taulukko412[[  ]]</f>
        <v>248138.43999999997</v>
      </c>
      <c r="J242" s="500">
        <f t="shared" si="14"/>
        <v>6105759.5300000003</v>
      </c>
      <c r="K242" s="491"/>
      <c r="L242" s="497">
        <f>'TE25 Palveluiden kustannusarvio'!U235</f>
        <v>3158540.4151927661</v>
      </c>
      <c r="M242" s="458">
        <f t="shared" si="15"/>
        <v>-3052879.7650000001</v>
      </c>
      <c r="N242" s="500">
        <f t="shared" si="16"/>
        <v>105660.65019276598</v>
      </c>
      <c r="P242" s="503">
        <f>Taulukko3[[#This Row],[Vieraskieliset (2023)]]*$P$9</f>
        <v>94289.03</v>
      </c>
      <c r="Q242" s="459"/>
      <c r="R242" s="530">
        <f t="shared" si="17"/>
        <v>6305709.210192767</v>
      </c>
    </row>
    <row r="243" spans="1:18">
      <c r="A243" s="474">
        <v>746</v>
      </c>
      <c r="B243" s="474" t="s">
        <v>241</v>
      </c>
      <c r="C243" s="459">
        <v>2384</v>
      </c>
      <c r="D243" s="459">
        <v>225</v>
      </c>
      <c r="E243" s="459">
        <v>167</v>
      </c>
      <c r="G243" s="523">
        <f>Taulukko3[[#This Row],[Väestö, 18-64-vuotiaat (2023)]]*Taulukko412[Perushinnat, €]</f>
        <v>199016.32000000001</v>
      </c>
      <c r="H243" s="491">
        <f>Taulukko3[[#This Row],[Työttömät ja palveluissa olevat (2023)]]*Taulukko412[[ ]]</f>
        <v>165224.25</v>
      </c>
      <c r="I243" s="491">
        <f>Taulukko3[[#This Row],[Vieraskieliset (2023)]]*Taulukko412[[  ]]</f>
        <v>13901.08</v>
      </c>
      <c r="J243" s="500">
        <f t="shared" si="14"/>
        <v>378141.65</v>
      </c>
      <c r="K243" s="491"/>
      <c r="L243" s="497">
        <f>'TE25 Palveluiden kustannusarvio'!U236</f>
        <v>126534.24431883502</v>
      </c>
      <c r="M243" s="458">
        <f t="shared" si="15"/>
        <v>-189070.82500000001</v>
      </c>
      <c r="N243" s="500">
        <f t="shared" si="16"/>
        <v>-62536.580681164996</v>
      </c>
      <c r="P243" s="503">
        <f>Taulukko3[[#This Row],[Vieraskieliset (2023)]]*$P$9</f>
        <v>5282.21</v>
      </c>
      <c r="Q243" s="459"/>
      <c r="R243" s="530">
        <f t="shared" si="17"/>
        <v>320887.27931883506</v>
      </c>
    </row>
    <row r="244" spans="1:18">
      <c r="A244" s="474">
        <v>747</v>
      </c>
      <c r="B244" s="474" t="s">
        <v>242</v>
      </c>
      <c r="C244" s="459">
        <v>593</v>
      </c>
      <c r="D244" s="459">
        <v>87</v>
      </c>
      <c r="E244" s="459">
        <v>18</v>
      </c>
      <c r="G244" s="523">
        <f>Taulukko3[[#This Row],[Väestö, 18-64-vuotiaat (2023)]]*Taulukko412[Perushinnat, €]</f>
        <v>49503.64</v>
      </c>
      <c r="H244" s="491">
        <f>Taulukko3[[#This Row],[Työttömät ja palveluissa olevat (2023)]]*Taulukko412[[ ]]</f>
        <v>63886.710000000006</v>
      </c>
      <c r="I244" s="491">
        <f>Taulukko3[[#This Row],[Vieraskieliset (2023)]]*Taulukko412[[  ]]</f>
        <v>1498.32</v>
      </c>
      <c r="J244" s="500">
        <f t="shared" si="14"/>
        <v>114888.67000000001</v>
      </c>
      <c r="K244" s="491"/>
      <c r="L244" s="497">
        <f>'TE25 Palveluiden kustannusarvio'!U237</f>
        <v>58776.595571277147</v>
      </c>
      <c r="M244" s="458">
        <f t="shared" si="15"/>
        <v>-57444.335000000006</v>
      </c>
      <c r="N244" s="500">
        <f t="shared" si="16"/>
        <v>1332.2605712771401</v>
      </c>
      <c r="P244" s="503">
        <f>Taulukko3[[#This Row],[Vieraskieliset (2023)]]*$P$9</f>
        <v>569.34</v>
      </c>
      <c r="Q244" s="459"/>
      <c r="R244" s="530">
        <f t="shared" si="17"/>
        <v>116790.27057127716</v>
      </c>
    </row>
    <row r="245" spans="1:18">
      <c r="A245" s="474">
        <v>748</v>
      </c>
      <c r="B245" s="474" t="s">
        <v>243</v>
      </c>
      <c r="C245" s="459">
        <v>2333</v>
      </c>
      <c r="D245" s="459">
        <v>258</v>
      </c>
      <c r="E245" s="459">
        <v>83</v>
      </c>
      <c r="G245" s="523">
        <f>Taulukko3[[#This Row],[Väestö, 18-64-vuotiaat (2023)]]*Taulukko412[Perushinnat, €]</f>
        <v>194758.84</v>
      </c>
      <c r="H245" s="491">
        <f>Taulukko3[[#This Row],[Työttömät ja palveluissa olevat (2023)]]*Taulukko412[[ ]]</f>
        <v>189457.14</v>
      </c>
      <c r="I245" s="491">
        <f>Taulukko3[[#This Row],[Vieraskieliset (2023)]]*Taulukko412[[  ]]</f>
        <v>6908.9199999999992</v>
      </c>
      <c r="J245" s="500">
        <f t="shared" si="14"/>
        <v>391124.89999999997</v>
      </c>
      <c r="K245" s="491"/>
      <c r="L245" s="497">
        <f>'TE25 Palveluiden kustannusarvio'!U238</f>
        <v>216795.56300517102</v>
      </c>
      <c r="M245" s="458">
        <f t="shared" si="15"/>
        <v>-195562.44999999998</v>
      </c>
      <c r="N245" s="500">
        <f t="shared" si="16"/>
        <v>21233.113005171035</v>
      </c>
      <c r="P245" s="503">
        <f>Taulukko3[[#This Row],[Vieraskieliset (2023)]]*$P$9</f>
        <v>2625.29</v>
      </c>
      <c r="Q245" s="459"/>
      <c r="R245" s="530">
        <f t="shared" si="17"/>
        <v>414983.30300517095</v>
      </c>
    </row>
    <row r="246" spans="1:18">
      <c r="A246" s="474">
        <v>749</v>
      </c>
      <c r="B246" s="474" t="s">
        <v>244</v>
      </c>
      <c r="C246" s="459">
        <v>11609</v>
      </c>
      <c r="D246" s="459">
        <v>982</v>
      </c>
      <c r="E246" s="459">
        <v>483</v>
      </c>
      <c r="G246" s="523">
        <f>Taulukko3[[#This Row],[Väestö, 18-64-vuotiaat (2023)]]*Taulukko412[Perushinnat, €]</f>
        <v>969119.32000000007</v>
      </c>
      <c r="H246" s="491">
        <f>Taulukko3[[#This Row],[Työttömät ja palveluissa olevat (2023)]]*Taulukko412[[ ]]</f>
        <v>721112.06</v>
      </c>
      <c r="I246" s="491">
        <f>Taulukko3[[#This Row],[Vieraskieliset (2023)]]*Taulukko412[[  ]]</f>
        <v>40204.92</v>
      </c>
      <c r="J246" s="500">
        <f t="shared" si="14"/>
        <v>1730436.3</v>
      </c>
      <c r="K246" s="491"/>
      <c r="L246" s="497">
        <f>'TE25 Palveluiden kustannusarvio'!U239</f>
        <v>698326.33628439205</v>
      </c>
      <c r="M246" s="458">
        <f t="shared" si="15"/>
        <v>-865218.15</v>
      </c>
      <c r="N246" s="500">
        <f t="shared" si="16"/>
        <v>-166891.81371560798</v>
      </c>
      <c r="P246" s="503">
        <f>Taulukko3[[#This Row],[Vieraskieliset (2023)]]*$P$9</f>
        <v>15277.289999999999</v>
      </c>
      <c r="Q246" s="459"/>
      <c r="R246" s="530">
        <f t="shared" si="17"/>
        <v>1578821.776284392</v>
      </c>
    </row>
    <row r="247" spans="1:18">
      <c r="A247" s="474">
        <v>751</v>
      </c>
      <c r="B247" s="474" t="s">
        <v>245</v>
      </c>
      <c r="C247" s="459">
        <v>1353</v>
      </c>
      <c r="D247" s="459">
        <v>181</v>
      </c>
      <c r="E247" s="459">
        <v>27</v>
      </c>
      <c r="G247" s="523">
        <f>Taulukko3[[#This Row],[Väestö, 18-64-vuotiaat (2023)]]*Taulukko412[Perushinnat, €]</f>
        <v>112948.44</v>
      </c>
      <c r="H247" s="491">
        <f>Taulukko3[[#This Row],[Työttömät ja palveluissa olevat (2023)]]*Taulukko412[[ ]]</f>
        <v>132913.73000000001</v>
      </c>
      <c r="I247" s="491">
        <f>Taulukko3[[#This Row],[Vieraskieliset (2023)]]*Taulukko412[[  ]]</f>
        <v>2247.48</v>
      </c>
      <c r="J247" s="500">
        <f t="shared" si="14"/>
        <v>248109.65000000002</v>
      </c>
      <c r="K247" s="491"/>
      <c r="L247" s="497">
        <f>'TE25 Palveluiden kustannusarvio'!U240</f>
        <v>148045.8719293249</v>
      </c>
      <c r="M247" s="458">
        <f t="shared" si="15"/>
        <v>-124054.82500000001</v>
      </c>
      <c r="N247" s="500">
        <f t="shared" si="16"/>
        <v>23991.04692932489</v>
      </c>
      <c r="P247" s="503">
        <f>Taulukko3[[#This Row],[Vieraskieliset (2023)]]*$P$9</f>
        <v>854.01</v>
      </c>
      <c r="Q247" s="459"/>
      <c r="R247" s="530">
        <f t="shared" si="17"/>
        <v>272954.70692932489</v>
      </c>
    </row>
    <row r="248" spans="1:18">
      <c r="A248" s="474">
        <v>753</v>
      </c>
      <c r="B248" s="474" t="s">
        <v>246</v>
      </c>
      <c r="C248" s="459">
        <v>13591</v>
      </c>
      <c r="D248" s="459">
        <v>949</v>
      </c>
      <c r="E248" s="459">
        <v>1600</v>
      </c>
      <c r="G248" s="523">
        <f>Taulukko3[[#This Row],[Väestö, 18-64-vuotiaat (2023)]]*Taulukko412[Perushinnat, €]</f>
        <v>1134576.6800000002</v>
      </c>
      <c r="H248" s="491">
        <f>Taulukko3[[#This Row],[Työttömät ja palveluissa olevat (2023)]]*Taulukko412[[ ]]</f>
        <v>696879.17</v>
      </c>
      <c r="I248" s="491">
        <f>Taulukko3[[#This Row],[Vieraskieliset (2023)]]*Taulukko412[[  ]]</f>
        <v>133184</v>
      </c>
      <c r="J248" s="500">
        <f t="shared" si="14"/>
        <v>1964639.85</v>
      </c>
      <c r="K248" s="491"/>
      <c r="L248" s="497">
        <f>'TE25 Palveluiden kustannusarvio'!U241</f>
        <v>816530.86953056743</v>
      </c>
      <c r="M248" s="458">
        <f t="shared" si="15"/>
        <v>-982319.92500000005</v>
      </c>
      <c r="N248" s="500">
        <f t="shared" si="16"/>
        <v>-165789.05546943261</v>
      </c>
      <c r="P248" s="503">
        <f>Taulukko3[[#This Row],[Vieraskieliset (2023)]]*$P$9</f>
        <v>50608</v>
      </c>
      <c r="Q248" s="459"/>
      <c r="R248" s="530">
        <f t="shared" si="17"/>
        <v>1849458.7945305675</v>
      </c>
    </row>
    <row r="249" spans="1:18">
      <c r="A249" s="474">
        <v>755</v>
      </c>
      <c r="B249" s="474" t="s">
        <v>247</v>
      </c>
      <c r="C249" s="459">
        <v>3587</v>
      </c>
      <c r="D249" s="459">
        <v>225</v>
      </c>
      <c r="E249" s="459">
        <v>493</v>
      </c>
      <c r="G249" s="523">
        <f>Taulukko3[[#This Row],[Väestö, 18-64-vuotiaat (2023)]]*Taulukko412[Perushinnat, €]</f>
        <v>299442.76</v>
      </c>
      <c r="H249" s="491">
        <f>Taulukko3[[#This Row],[Työttömät ja palveluissa olevat (2023)]]*Taulukko412[[ ]]</f>
        <v>165224.25</v>
      </c>
      <c r="I249" s="491">
        <f>Taulukko3[[#This Row],[Vieraskieliset (2023)]]*Taulukko412[[  ]]</f>
        <v>41037.32</v>
      </c>
      <c r="J249" s="500">
        <f t="shared" si="14"/>
        <v>505704.33</v>
      </c>
      <c r="K249" s="491"/>
      <c r="L249" s="497">
        <f>'TE25 Palveluiden kustannusarvio'!U242</f>
        <v>173321.93964608395</v>
      </c>
      <c r="M249" s="458">
        <f t="shared" si="15"/>
        <v>-252852.16500000001</v>
      </c>
      <c r="N249" s="500">
        <f t="shared" si="16"/>
        <v>-79530.225353916059</v>
      </c>
      <c r="P249" s="503">
        <f>Taulukko3[[#This Row],[Vieraskieliset (2023)]]*$P$9</f>
        <v>15593.59</v>
      </c>
      <c r="Q249" s="459"/>
      <c r="R249" s="530">
        <f t="shared" si="17"/>
        <v>441767.69464608398</v>
      </c>
    </row>
    <row r="250" spans="1:18">
      <c r="A250" s="474">
        <v>758</v>
      </c>
      <c r="B250" s="474" t="s">
        <v>248</v>
      </c>
      <c r="C250" s="459">
        <v>4450</v>
      </c>
      <c r="D250" s="459">
        <v>394</v>
      </c>
      <c r="E250" s="459">
        <v>195</v>
      </c>
      <c r="G250" s="523">
        <f>Taulukko3[[#This Row],[Väestö, 18-64-vuotiaat (2023)]]*Taulukko412[Perushinnat, €]</f>
        <v>371486</v>
      </c>
      <c r="H250" s="491">
        <f>Taulukko3[[#This Row],[Työttömät ja palveluissa olevat (2023)]]*Taulukko412[[ ]]</f>
        <v>289326.02</v>
      </c>
      <c r="I250" s="491">
        <f>Taulukko3[[#This Row],[Vieraskieliset (2023)]]*Taulukko412[[  ]]</f>
        <v>16231.8</v>
      </c>
      <c r="J250" s="500">
        <f t="shared" si="14"/>
        <v>677043.82000000007</v>
      </c>
      <c r="K250" s="491"/>
      <c r="L250" s="497">
        <f>'TE25 Palveluiden kustannusarvio'!U243</f>
        <v>378678.50100761373</v>
      </c>
      <c r="M250" s="458">
        <f t="shared" si="15"/>
        <v>-338521.91000000003</v>
      </c>
      <c r="N250" s="500">
        <f t="shared" si="16"/>
        <v>40156.591007613693</v>
      </c>
      <c r="P250" s="503">
        <f>Taulukko3[[#This Row],[Vieraskieliset (2023)]]*$P$9</f>
        <v>6167.8499999999995</v>
      </c>
      <c r="Q250" s="459"/>
      <c r="R250" s="530">
        <f t="shared" si="17"/>
        <v>723368.26100761374</v>
      </c>
    </row>
    <row r="251" spans="1:18">
      <c r="A251" s="474">
        <v>759</v>
      </c>
      <c r="B251" s="474" t="s">
        <v>249</v>
      </c>
      <c r="C251" s="459">
        <v>905</v>
      </c>
      <c r="D251" s="459">
        <v>85</v>
      </c>
      <c r="E251" s="459">
        <v>26</v>
      </c>
      <c r="G251" s="523">
        <f>Taulukko3[[#This Row],[Väestö, 18-64-vuotiaat (2023)]]*Taulukko412[Perushinnat, €]</f>
        <v>75549.400000000009</v>
      </c>
      <c r="H251" s="491">
        <f>Taulukko3[[#This Row],[Työttömät ja palveluissa olevat (2023)]]*Taulukko412[[ ]]</f>
        <v>62418.05</v>
      </c>
      <c r="I251" s="491">
        <f>Taulukko3[[#This Row],[Vieraskieliset (2023)]]*Taulukko412[[  ]]</f>
        <v>2164.2399999999998</v>
      </c>
      <c r="J251" s="500">
        <f t="shared" si="14"/>
        <v>140131.69</v>
      </c>
      <c r="K251" s="491"/>
      <c r="L251" s="497">
        <f>'TE25 Palveluiden kustannusarvio'!U244</f>
        <v>72572.523445435931</v>
      </c>
      <c r="M251" s="458">
        <f t="shared" si="15"/>
        <v>-70065.845000000001</v>
      </c>
      <c r="N251" s="500">
        <f t="shared" si="16"/>
        <v>2506.6784454359295</v>
      </c>
      <c r="P251" s="503">
        <f>Taulukko3[[#This Row],[Vieraskieliset (2023)]]*$P$9</f>
        <v>822.38</v>
      </c>
      <c r="Q251" s="459"/>
      <c r="R251" s="530">
        <f t="shared" si="17"/>
        <v>143460.74844543595</v>
      </c>
    </row>
    <row r="252" spans="1:18">
      <c r="A252" s="474">
        <v>761</v>
      </c>
      <c r="B252" s="474" t="s">
        <v>250</v>
      </c>
      <c r="C252" s="459">
        <v>4187</v>
      </c>
      <c r="D252" s="459">
        <v>452</v>
      </c>
      <c r="E252" s="459">
        <v>456</v>
      </c>
      <c r="G252" s="523">
        <f>Taulukko3[[#This Row],[Väestö, 18-64-vuotiaat (2023)]]*Taulukko412[Perushinnat, €]</f>
        <v>349530.76</v>
      </c>
      <c r="H252" s="491">
        <f>Taulukko3[[#This Row],[Työttömät ja palveluissa olevat (2023)]]*Taulukko412[[ ]]</f>
        <v>331917.16000000003</v>
      </c>
      <c r="I252" s="491">
        <f>Taulukko3[[#This Row],[Vieraskieliset (2023)]]*Taulukko412[[  ]]</f>
        <v>37957.439999999995</v>
      </c>
      <c r="J252" s="500">
        <f t="shared" si="14"/>
        <v>719405.36</v>
      </c>
      <c r="K252" s="491"/>
      <c r="L252" s="497">
        <f>'TE25 Palveluiden kustannusarvio'!U245</f>
        <v>417955.31907551957</v>
      </c>
      <c r="M252" s="458">
        <f t="shared" si="15"/>
        <v>-359702.68</v>
      </c>
      <c r="N252" s="500">
        <f t="shared" si="16"/>
        <v>58252.639075519575</v>
      </c>
      <c r="P252" s="503">
        <f>Taulukko3[[#This Row],[Vieraskieliset (2023)]]*$P$9</f>
        <v>14423.279999999999</v>
      </c>
      <c r="Q252" s="459"/>
      <c r="R252" s="530">
        <f t="shared" si="17"/>
        <v>792081.27907551965</v>
      </c>
    </row>
    <row r="253" spans="1:18">
      <c r="A253" s="474">
        <v>762</v>
      </c>
      <c r="B253" s="474" t="s">
        <v>251</v>
      </c>
      <c r="C253" s="459">
        <v>1743</v>
      </c>
      <c r="D253" s="459">
        <v>225</v>
      </c>
      <c r="E253" s="459">
        <v>45</v>
      </c>
      <c r="G253" s="523">
        <f>Taulukko3[[#This Row],[Väestö, 18-64-vuotiaat (2023)]]*Taulukko412[Perushinnat, €]</f>
        <v>145505.64000000001</v>
      </c>
      <c r="H253" s="491">
        <f>Taulukko3[[#This Row],[Työttömät ja palveluissa olevat (2023)]]*Taulukko412[[ ]]</f>
        <v>165224.25</v>
      </c>
      <c r="I253" s="491">
        <f>Taulukko3[[#This Row],[Vieraskieliset (2023)]]*Taulukko412[[  ]]</f>
        <v>3745.7999999999997</v>
      </c>
      <c r="J253" s="500">
        <f t="shared" si="14"/>
        <v>314475.69</v>
      </c>
      <c r="K253" s="491"/>
      <c r="L253" s="497">
        <f>'TE25 Palveluiden kustannusarvio'!U246</f>
        <v>156565.39979112</v>
      </c>
      <c r="M253" s="458">
        <f t="shared" si="15"/>
        <v>-157237.845</v>
      </c>
      <c r="N253" s="500">
        <f t="shared" si="16"/>
        <v>-672.44520888000261</v>
      </c>
      <c r="P253" s="503">
        <f>Taulukko3[[#This Row],[Vieraskieliset (2023)]]*$P$9</f>
        <v>1423.35</v>
      </c>
      <c r="Q253" s="459"/>
      <c r="R253" s="530">
        <f t="shared" si="17"/>
        <v>315226.59479111998</v>
      </c>
    </row>
    <row r="254" spans="1:18">
      <c r="A254" s="474">
        <v>765</v>
      </c>
      <c r="B254" s="474" t="s">
        <v>252</v>
      </c>
      <c r="C254" s="459">
        <v>5481</v>
      </c>
      <c r="D254" s="459">
        <v>465</v>
      </c>
      <c r="E254" s="459">
        <v>497</v>
      </c>
      <c r="G254" s="523">
        <f>Taulukko3[[#This Row],[Väestö, 18-64-vuotiaat (2023)]]*Taulukko412[Perushinnat, €]</f>
        <v>457553.88</v>
      </c>
      <c r="H254" s="491">
        <f>Taulukko3[[#This Row],[Työttömät ja palveluissa olevat (2023)]]*Taulukko412[[ ]]</f>
        <v>341463.45</v>
      </c>
      <c r="I254" s="491">
        <f>Taulukko3[[#This Row],[Vieraskieliset (2023)]]*Taulukko412[[  ]]</f>
        <v>41370.28</v>
      </c>
      <c r="J254" s="500">
        <f t="shared" si="14"/>
        <v>840387.6100000001</v>
      </c>
      <c r="K254" s="491"/>
      <c r="L254" s="497">
        <f>'TE25 Palveluiden kustannusarvio'!U247</f>
        <v>627572.51437892113</v>
      </c>
      <c r="M254" s="458">
        <f t="shared" si="15"/>
        <v>-420193.80500000005</v>
      </c>
      <c r="N254" s="500">
        <f t="shared" si="16"/>
        <v>207378.70937892108</v>
      </c>
      <c r="P254" s="503">
        <f>Taulukko3[[#This Row],[Vieraskieliset (2023)]]*$P$9</f>
        <v>15720.109999999999</v>
      </c>
      <c r="Q254" s="459"/>
      <c r="R254" s="530">
        <f t="shared" si="17"/>
        <v>1063486.4293789212</v>
      </c>
    </row>
    <row r="255" spans="1:18">
      <c r="A255" s="474">
        <v>768</v>
      </c>
      <c r="B255" s="474" t="s">
        <v>253</v>
      </c>
      <c r="C255" s="459">
        <v>1093</v>
      </c>
      <c r="D255" s="459">
        <v>116</v>
      </c>
      <c r="E255" s="459">
        <v>97</v>
      </c>
      <c r="G255" s="523">
        <f>Taulukko3[[#This Row],[Väestö, 18-64-vuotiaat (2023)]]*Taulukko412[Perushinnat, €]</f>
        <v>91243.64</v>
      </c>
      <c r="H255" s="491">
        <f>Taulukko3[[#This Row],[Työttömät ja palveluissa olevat (2023)]]*Taulukko412[[ ]]</f>
        <v>85182.28</v>
      </c>
      <c r="I255" s="491">
        <f>Taulukko3[[#This Row],[Vieraskieliset (2023)]]*Taulukko412[[  ]]</f>
        <v>8074.28</v>
      </c>
      <c r="J255" s="500">
        <f t="shared" si="14"/>
        <v>184500.19999999998</v>
      </c>
      <c r="K255" s="491"/>
      <c r="L255" s="497">
        <f>'TE25 Palveluiden kustannusarvio'!U248</f>
        <v>120468.13713861766</v>
      </c>
      <c r="M255" s="458">
        <f t="shared" si="15"/>
        <v>-92250.099999999991</v>
      </c>
      <c r="N255" s="500">
        <f t="shared" si="16"/>
        <v>28218.03713861767</v>
      </c>
      <c r="P255" s="503">
        <f>Taulukko3[[#This Row],[Vieraskieliset (2023)]]*$P$9</f>
        <v>3068.11</v>
      </c>
      <c r="Q255" s="459"/>
      <c r="R255" s="530">
        <f t="shared" si="17"/>
        <v>215786.34713861765</v>
      </c>
    </row>
    <row r="256" spans="1:18">
      <c r="A256" s="474">
        <v>777</v>
      </c>
      <c r="B256" s="474" t="s">
        <v>254</v>
      </c>
      <c r="C256" s="459">
        <v>3347</v>
      </c>
      <c r="D256" s="459">
        <v>451</v>
      </c>
      <c r="E256" s="459">
        <v>230</v>
      </c>
      <c r="G256" s="523">
        <f>Taulukko3[[#This Row],[Väestö, 18-64-vuotiaat (2023)]]*Taulukko412[Perushinnat, €]</f>
        <v>279407.56</v>
      </c>
      <c r="H256" s="491">
        <f>Taulukko3[[#This Row],[Työttömät ja palveluissa olevat (2023)]]*Taulukko412[[ ]]</f>
        <v>331182.83</v>
      </c>
      <c r="I256" s="491">
        <f>Taulukko3[[#This Row],[Vieraskieliset (2023)]]*Taulukko412[[  ]]</f>
        <v>19145.199999999997</v>
      </c>
      <c r="J256" s="500">
        <f t="shared" si="14"/>
        <v>629735.59</v>
      </c>
      <c r="K256" s="491"/>
      <c r="L256" s="497">
        <f>'TE25 Palveluiden kustannusarvio'!U249</f>
        <v>404971.5235085247</v>
      </c>
      <c r="M256" s="458">
        <f t="shared" si="15"/>
        <v>-314867.79499999998</v>
      </c>
      <c r="N256" s="500">
        <f t="shared" si="16"/>
        <v>90103.728508524713</v>
      </c>
      <c r="P256" s="503">
        <f>Taulukko3[[#This Row],[Vieraskieliset (2023)]]*$P$9</f>
        <v>7274.9</v>
      </c>
      <c r="Q256" s="459"/>
      <c r="R256" s="530">
        <f t="shared" si="17"/>
        <v>727114.2185085247</v>
      </c>
    </row>
    <row r="257" spans="1:18">
      <c r="A257" s="474">
        <v>778</v>
      </c>
      <c r="B257" s="474" t="s">
        <v>255</v>
      </c>
      <c r="C257" s="459">
        <v>3380</v>
      </c>
      <c r="D257" s="459">
        <v>360</v>
      </c>
      <c r="E257" s="459">
        <v>246</v>
      </c>
      <c r="G257" s="523">
        <f>Taulukko3[[#This Row],[Väestö, 18-64-vuotiaat (2023)]]*Taulukko412[Perushinnat, €]</f>
        <v>282162.40000000002</v>
      </c>
      <c r="H257" s="491">
        <f>Taulukko3[[#This Row],[Työttömät ja palveluissa olevat (2023)]]*Taulukko412[[ ]]</f>
        <v>264358.8</v>
      </c>
      <c r="I257" s="491">
        <f>Taulukko3[[#This Row],[Vieraskieliset (2023)]]*Taulukko412[[  ]]</f>
        <v>20477.039999999997</v>
      </c>
      <c r="J257" s="500">
        <f t="shared" si="14"/>
        <v>566998.24</v>
      </c>
      <c r="K257" s="491"/>
      <c r="L257" s="497">
        <f>'TE25 Palveluiden kustannusarvio'!U250</f>
        <v>322434.86158731981</v>
      </c>
      <c r="M257" s="458">
        <f t="shared" si="15"/>
        <v>-283499.12</v>
      </c>
      <c r="N257" s="500">
        <f t="shared" si="16"/>
        <v>38935.741587319819</v>
      </c>
      <c r="P257" s="503">
        <f>Taulukko3[[#This Row],[Vieraskieliset (2023)]]*$P$9</f>
        <v>7780.98</v>
      </c>
      <c r="Q257" s="459"/>
      <c r="R257" s="530">
        <f t="shared" si="17"/>
        <v>613714.96158731985</v>
      </c>
    </row>
    <row r="258" spans="1:18">
      <c r="A258" s="474">
        <v>781</v>
      </c>
      <c r="B258" s="474" t="s">
        <v>256</v>
      </c>
      <c r="C258" s="459">
        <v>1537</v>
      </c>
      <c r="D258" s="459">
        <v>180</v>
      </c>
      <c r="E258" s="459">
        <v>105</v>
      </c>
      <c r="G258" s="523">
        <f>Taulukko3[[#This Row],[Väestö, 18-64-vuotiaat (2023)]]*Taulukko412[Perushinnat, €]</f>
        <v>128308.76000000001</v>
      </c>
      <c r="H258" s="491">
        <f>Taulukko3[[#This Row],[Työttömät ja palveluissa olevat (2023)]]*Taulukko412[[ ]]</f>
        <v>132179.4</v>
      </c>
      <c r="I258" s="491">
        <f>Taulukko3[[#This Row],[Vieraskieliset (2023)]]*Taulukko412[[  ]]</f>
        <v>8740.1999999999989</v>
      </c>
      <c r="J258" s="500">
        <f t="shared" si="14"/>
        <v>269228.36</v>
      </c>
      <c r="K258" s="491"/>
      <c r="L258" s="497">
        <f>'TE25 Palveluiden kustannusarvio'!U251</f>
        <v>169247.92643553295</v>
      </c>
      <c r="M258" s="458">
        <f t="shared" si="15"/>
        <v>-134614.18</v>
      </c>
      <c r="N258" s="500">
        <f t="shared" si="16"/>
        <v>34633.746435532958</v>
      </c>
      <c r="P258" s="503">
        <f>Taulukko3[[#This Row],[Vieraskieliset (2023)]]*$P$9</f>
        <v>3321.15</v>
      </c>
      <c r="Q258" s="459"/>
      <c r="R258" s="530">
        <f t="shared" si="17"/>
        <v>307183.25643553294</v>
      </c>
    </row>
    <row r="259" spans="1:18">
      <c r="A259" s="474">
        <v>783</v>
      </c>
      <c r="B259" s="474" t="s">
        <v>257</v>
      </c>
      <c r="C259" s="459">
        <v>3266</v>
      </c>
      <c r="D259" s="459">
        <v>253</v>
      </c>
      <c r="E259" s="459">
        <v>305</v>
      </c>
      <c r="G259" s="523">
        <f>Taulukko3[[#This Row],[Väestö, 18-64-vuotiaat (2023)]]*Taulukko412[Perushinnat, €]</f>
        <v>272645.68</v>
      </c>
      <c r="H259" s="491">
        <f>Taulukko3[[#This Row],[Työttömät ja palveluissa olevat (2023)]]*Taulukko412[[ ]]</f>
        <v>185785.49000000002</v>
      </c>
      <c r="I259" s="491">
        <f>Taulukko3[[#This Row],[Vieraskieliset (2023)]]*Taulukko412[[  ]]</f>
        <v>25388.199999999997</v>
      </c>
      <c r="J259" s="500">
        <f t="shared" si="14"/>
        <v>483819.37000000005</v>
      </c>
      <c r="K259" s="491"/>
      <c r="L259" s="497">
        <f>'TE25 Palveluiden kustannusarvio'!U252</f>
        <v>180293.3974624</v>
      </c>
      <c r="M259" s="458">
        <f t="shared" si="15"/>
        <v>-241909.68500000003</v>
      </c>
      <c r="N259" s="500">
        <f t="shared" si="16"/>
        <v>-61616.28753760003</v>
      </c>
      <c r="P259" s="503">
        <f>Taulukko3[[#This Row],[Vieraskieliset (2023)]]*$P$9</f>
        <v>9647.15</v>
      </c>
      <c r="Q259" s="459"/>
      <c r="R259" s="530">
        <f t="shared" si="17"/>
        <v>431850.23246240005</v>
      </c>
    </row>
    <row r="260" spans="1:18">
      <c r="A260" s="474">
        <v>785</v>
      </c>
      <c r="B260" s="474" t="s">
        <v>258</v>
      </c>
      <c r="C260" s="459">
        <v>1213</v>
      </c>
      <c r="D260" s="459">
        <v>205</v>
      </c>
      <c r="E260" s="459">
        <v>66</v>
      </c>
      <c r="G260" s="523">
        <f>Taulukko3[[#This Row],[Väestö, 18-64-vuotiaat (2023)]]*Taulukko412[Perushinnat, €]</f>
        <v>101261.24</v>
      </c>
      <c r="H260" s="491">
        <f>Taulukko3[[#This Row],[Työttömät ja palveluissa olevat (2023)]]*Taulukko412[[ ]]</f>
        <v>150537.65</v>
      </c>
      <c r="I260" s="491">
        <f>Taulukko3[[#This Row],[Vieraskieliset (2023)]]*Taulukko412[[  ]]</f>
        <v>5493.8399999999992</v>
      </c>
      <c r="J260" s="500">
        <f t="shared" si="14"/>
        <v>257292.73</v>
      </c>
      <c r="K260" s="491"/>
      <c r="L260" s="497">
        <f>'TE25 Palveluiden kustannusarvio'!U253</f>
        <v>187205.17212894236</v>
      </c>
      <c r="M260" s="458">
        <f t="shared" si="15"/>
        <v>-128646.36500000001</v>
      </c>
      <c r="N260" s="500">
        <f t="shared" si="16"/>
        <v>58558.807128942353</v>
      </c>
      <c r="P260" s="503">
        <f>Taulukko3[[#This Row],[Vieraskieliset (2023)]]*$P$9</f>
        <v>2087.58</v>
      </c>
      <c r="Q260" s="459"/>
      <c r="R260" s="530">
        <f t="shared" si="17"/>
        <v>317939.11712894239</v>
      </c>
    </row>
    <row r="261" spans="1:18">
      <c r="A261" s="474">
        <v>790</v>
      </c>
      <c r="B261" s="474" t="s">
        <v>259</v>
      </c>
      <c r="C261" s="459">
        <v>12163</v>
      </c>
      <c r="D261" s="459">
        <v>1147</v>
      </c>
      <c r="E261" s="459">
        <v>744</v>
      </c>
      <c r="G261" s="523">
        <f>Taulukko3[[#This Row],[Väestö, 18-64-vuotiaat (2023)]]*Taulukko412[Perushinnat, €]</f>
        <v>1015367.24</v>
      </c>
      <c r="H261" s="491">
        <f>Taulukko3[[#This Row],[Työttömät ja palveluissa olevat (2023)]]*Taulukko412[[ ]]</f>
        <v>842276.51</v>
      </c>
      <c r="I261" s="491">
        <f>Taulukko3[[#This Row],[Vieraskieliset (2023)]]*Taulukko412[[  ]]</f>
        <v>61930.559999999998</v>
      </c>
      <c r="J261" s="500">
        <f t="shared" si="14"/>
        <v>1919574.31</v>
      </c>
      <c r="K261" s="491"/>
      <c r="L261" s="497">
        <f>'TE25 Palveluiden kustannusarvio'!U254</f>
        <v>843390.97477679909</v>
      </c>
      <c r="M261" s="458">
        <f t="shared" si="15"/>
        <v>-959787.15500000003</v>
      </c>
      <c r="N261" s="500">
        <f t="shared" si="16"/>
        <v>-116396.18022320094</v>
      </c>
      <c r="P261" s="503">
        <f>Taulukko3[[#This Row],[Vieraskieliset (2023)]]*$P$9</f>
        <v>23532.719999999998</v>
      </c>
      <c r="Q261" s="459"/>
      <c r="R261" s="530">
        <f t="shared" si="17"/>
        <v>1826710.8497767991</v>
      </c>
    </row>
    <row r="262" spans="1:18">
      <c r="A262" s="474">
        <v>791</v>
      </c>
      <c r="B262" s="474" t="s">
        <v>260</v>
      </c>
      <c r="C262" s="459">
        <v>2445</v>
      </c>
      <c r="D262" s="459">
        <v>271</v>
      </c>
      <c r="E262" s="459">
        <v>86</v>
      </c>
      <c r="G262" s="523">
        <f>Taulukko3[[#This Row],[Väestö, 18-64-vuotiaat (2023)]]*Taulukko412[Perushinnat, €]</f>
        <v>204108.6</v>
      </c>
      <c r="H262" s="491">
        <f>Taulukko3[[#This Row],[Työttömät ja palveluissa olevat (2023)]]*Taulukko412[[ ]]</f>
        <v>199003.43000000002</v>
      </c>
      <c r="I262" s="491">
        <f>Taulukko3[[#This Row],[Vieraskieliset (2023)]]*Taulukko412[[  ]]</f>
        <v>7158.6399999999994</v>
      </c>
      <c r="J262" s="500">
        <f t="shared" si="14"/>
        <v>410270.67000000004</v>
      </c>
      <c r="K262" s="491"/>
      <c r="L262" s="497">
        <f>'TE25 Palveluiden kustannusarvio'!U255</f>
        <v>199857.42731517777</v>
      </c>
      <c r="M262" s="458">
        <f t="shared" si="15"/>
        <v>-205135.33500000002</v>
      </c>
      <c r="N262" s="500">
        <f t="shared" si="16"/>
        <v>-5277.9076848222467</v>
      </c>
      <c r="P262" s="503">
        <f>Taulukko3[[#This Row],[Vieraskieliset (2023)]]*$P$9</f>
        <v>2720.18</v>
      </c>
      <c r="Q262" s="459"/>
      <c r="R262" s="530">
        <f t="shared" si="17"/>
        <v>407712.94231517782</v>
      </c>
    </row>
    <row r="263" spans="1:18">
      <c r="A263" s="474">
        <v>831</v>
      </c>
      <c r="B263" s="474" t="s">
        <v>261</v>
      </c>
      <c r="C263" s="459">
        <v>2443</v>
      </c>
      <c r="D263" s="459">
        <v>257</v>
      </c>
      <c r="E263" s="459">
        <v>308</v>
      </c>
      <c r="G263" s="523">
        <f>Taulukko3[[#This Row],[Väestö, 18-64-vuotiaat (2023)]]*Taulukko412[Perushinnat, €]</f>
        <v>203941.64</v>
      </c>
      <c r="H263" s="491">
        <f>Taulukko3[[#This Row],[Työttömät ja palveluissa olevat (2023)]]*Taulukko412[[ ]]</f>
        <v>188722.81</v>
      </c>
      <c r="I263" s="491">
        <f>Taulukko3[[#This Row],[Vieraskieliset (2023)]]*Taulukko412[[  ]]</f>
        <v>25637.919999999998</v>
      </c>
      <c r="J263" s="500">
        <f t="shared" si="14"/>
        <v>418302.37</v>
      </c>
      <c r="K263" s="491"/>
      <c r="L263" s="497">
        <f>'TE25 Palveluiden kustannusarvio'!U256</f>
        <v>240478.56792570511</v>
      </c>
      <c r="M263" s="458">
        <f t="shared" si="15"/>
        <v>-209151.185</v>
      </c>
      <c r="N263" s="500">
        <f t="shared" si="16"/>
        <v>31327.382925705111</v>
      </c>
      <c r="P263" s="503">
        <f>Taulukko3[[#This Row],[Vieraskieliset (2023)]]*$P$9</f>
        <v>9742.0399999999991</v>
      </c>
      <c r="Q263" s="459"/>
      <c r="R263" s="530">
        <f t="shared" si="17"/>
        <v>459371.79292570509</v>
      </c>
    </row>
    <row r="264" spans="1:18">
      <c r="A264" s="474">
        <v>832</v>
      </c>
      <c r="B264" s="474" t="s">
        <v>262</v>
      </c>
      <c r="C264" s="459">
        <v>1818</v>
      </c>
      <c r="D264" s="459">
        <v>269</v>
      </c>
      <c r="E264" s="459">
        <v>91</v>
      </c>
      <c r="G264" s="523">
        <f>Taulukko3[[#This Row],[Väestö, 18-64-vuotiaat (2023)]]*Taulukko412[Perushinnat, €]</f>
        <v>151766.64000000001</v>
      </c>
      <c r="H264" s="491">
        <f>Taulukko3[[#This Row],[Työttömät ja palveluissa olevat (2023)]]*Taulukko412[[ ]]</f>
        <v>197534.77000000002</v>
      </c>
      <c r="I264" s="491">
        <f>Taulukko3[[#This Row],[Vieraskieliset (2023)]]*Taulukko412[[  ]]</f>
        <v>7574.8399999999992</v>
      </c>
      <c r="J264" s="500">
        <f t="shared" si="14"/>
        <v>356876.25000000006</v>
      </c>
      <c r="K264" s="491"/>
      <c r="L264" s="497">
        <f>'TE25 Palveluiden kustannusarvio'!U257</f>
        <v>236261.46096309114</v>
      </c>
      <c r="M264" s="458">
        <f t="shared" si="15"/>
        <v>-178438.12500000003</v>
      </c>
      <c r="N264" s="500">
        <f t="shared" si="16"/>
        <v>57823.335963091115</v>
      </c>
      <c r="P264" s="503">
        <f>Taulukko3[[#This Row],[Vieraskieliset (2023)]]*$P$9</f>
        <v>2878.33</v>
      </c>
      <c r="Q264" s="459"/>
      <c r="R264" s="530">
        <f t="shared" si="17"/>
        <v>417577.91596309119</v>
      </c>
    </row>
    <row r="265" spans="1:18">
      <c r="A265" s="474">
        <v>833</v>
      </c>
      <c r="B265" s="474" t="s">
        <v>263</v>
      </c>
      <c r="C265" s="459">
        <v>830</v>
      </c>
      <c r="D265" s="459">
        <v>79</v>
      </c>
      <c r="E265" s="459">
        <v>115</v>
      </c>
      <c r="G265" s="523">
        <f>Taulukko3[[#This Row],[Väestö, 18-64-vuotiaat (2023)]]*Taulukko412[Perushinnat, €]</f>
        <v>69288.400000000009</v>
      </c>
      <c r="H265" s="491">
        <f>Taulukko3[[#This Row],[Työttömät ja palveluissa olevat (2023)]]*Taulukko412[[ ]]</f>
        <v>58012.07</v>
      </c>
      <c r="I265" s="491">
        <f>Taulukko3[[#This Row],[Vieraskieliset (2023)]]*Taulukko412[[  ]]</f>
        <v>9572.5999999999985</v>
      </c>
      <c r="J265" s="500">
        <f t="shared" si="14"/>
        <v>136873.07</v>
      </c>
      <c r="K265" s="491"/>
      <c r="L265" s="497">
        <f>'TE25 Palveluiden kustannusarvio'!U258</f>
        <v>57862.290049462994</v>
      </c>
      <c r="M265" s="458">
        <f t="shared" si="15"/>
        <v>-68436.535000000003</v>
      </c>
      <c r="N265" s="500">
        <f t="shared" si="16"/>
        <v>-10574.24495053701</v>
      </c>
      <c r="P265" s="503">
        <f>Taulukko3[[#This Row],[Vieraskieliset (2023)]]*$P$9</f>
        <v>3637.45</v>
      </c>
      <c r="Q265" s="459"/>
      <c r="R265" s="530">
        <f t="shared" si="17"/>
        <v>129936.27504946299</v>
      </c>
    </row>
    <row r="266" spans="1:18">
      <c r="A266" s="474">
        <v>834</v>
      </c>
      <c r="B266" s="474" t="s">
        <v>264</v>
      </c>
      <c r="C266" s="459">
        <v>3129</v>
      </c>
      <c r="D266" s="459">
        <v>248</v>
      </c>
      <c r="E266" s="459">
        <v>170</v>
      </c>
      <c r="G266" s="523">
        <f>Taulukko3[[#This Row],[Väestö, 18-64-vuotiaat (2023)]]*Taulukko412[Perushinnat, €]</f>
        <v>261208.92</v>
      </c>
      <c r="H266" s="491">
        <f>Taulukko3[[#This Row],[Työttömät ja palveluissa olevat (2023)]]*Taulukko412[[ ]]</f>
        <v>182113.84</v>
      </c>
      <c r="I266" s="491">
        <f>Taulukko3[[#This Row],[Vieraskieliset (2023)]]*Taulukko412[[  ]]</f>
        <v>14150.8</v>
      </c>
      <c r="J266" s="500">
        <f t="shared" si="14"/>
        <v>457473.56</v>
      </c>
      <c r="K266" s="491"/>
      <c r="L266" s="497">
        <f>'TE25 Palveluiden kustannusarvio'!U259</f>
        <v>205617.84166470263</v>
      </c>
      <c r="M266" s="458">
        <f t="shared" si="15"/>
        <v>-228736.78</v>
      </c>
      <c r="N266" s="500">
        <f t="shared" si="16"/>
        <v>-23118.938335297367</v>
      </c>
      <c r="P266" s="503">
        <f>Taulukko3[[#This Row],[Vieraskieliset (2023)]]*$P$9</f>
        <v>5377.0999999999995</v>
      </c>
      <c r="Q266" s="459"/>
      <c r="R266" s="530">
        <f t="shared" si="17"/>
        <v>439731.72166470264</v>
      </c>
    </row>
    <row r="267" spans="1:18">
      <c r="A267" s="474">
        <v>837</v>
      </c>
      <c r="B267" s="474" t="s">
        <v>265</v>
      </c>
      <c r="C267" s="459">
        <v>167614</v>
      </c>
      <c r="D267" s="459">
        <v>20880</v>
      </c>
      <c r="E267" s="459">
        <v>26649</v>
      </c>
      <c r="G267" s="523">
        <f>Taulukko3[[#This Row],[Väestö, 18-64-vuotiaat (2023)]]*Taulukko412[Perushinnat, €]</f>
        <v>13992416.720000001</v>
      </c>
      <c r="H267" s="491">
        <f>Taulukko3[[#This Row],[Työttömät ja palveluissa olevat (2023)]]*Taulukko412[[ ]]</f>
        <v>15332810.4</v>
      </c>
      <c r="I267" s="491">
        <f>Taulukko3[[#This Row],[Vieraskieliset (2023)]]*Taulukko412[[  ]]</f>
        <v>2218262.7599999998</v>
      </c>
      <c r="J267" s="500">
        <f t="shared" si="14"/>
        <v>31543489.880000003</v>
      </c>
      <c r="K267" s="491"/>
      <c r="L267" s="497">
        <f>'TE25 Palveluiden kustannusarvio'!U260</f>
        <v>16658972.13430487</v>
      </c>
      <c r="M267" s="458">
        <f t="shared" si="15"/>
        <v>-15771744.940000001</v>
      </c>
      <c r="N267" s="500">
        <f t="shared" si="16"/>
        <v>887227.19430486858</v>
      </c>
      <c r="P267" s="503">
        <f>Taulukko3[[#This Row],[Vieraskieliset (2023)]]*$P$9</f>
        <v>842907.87</v>
      </c>
      <c r="Q267" s="459"/>
      <c r="R267" s="530">
        <f t="shared" si="17"/>
        <v>33273624.944304872</v>
      </c>
    </row>
    <row r="268" spans="1:18">
      <c r="A268" s="474">
        <v>844</v>
      </c>
      <c r="B268" s="474" t="s">
        <v>266</v>
      </c>
      <c r="C268" s="459">
        <v>656</v>
      </c>
      <c r="D268" s="459">
        <v>75</v>
      </c>
      <c r="E268" s="459">
        <v>34</v>
      </c>
      <c r="G268" s="523">
        <f>Taulukko3[[#This Row],[Väestö, 18-64-vuotiaat (2023)]]*Taulukko412[Perushinnat, €]</f>
        <v>54762.880000000005</v>
      </c>
      <c r="H268" s="491">
        <f>Taulukko3[[#This Row],[Työttömät ja palveluissa olevat (2023)]]*Taulukko412[[ ]]</f>
        <v>55074.75</v>
      </c>
      <c r="I268" s="491">
        <f>Taulukko3[[#This Row],[Vieraskieliset (2023)]]*Taulukko412[[  ]]</f>
        <v>2830.16</v>
      </c>
      <c r="J268" s="500">
        <f t="shared" si="14"/>
        <v>112667.79000000001</v>
      </c>
      <c r="K268" s="491"/>
      <c r="L268" s="497">
        <f>'TE25 Palveluiden kustannusarvio'!U261</f>
        <v>55052.967902831238</v>
      </c>
      <c r="M268" s="458">
        <f t="shared" si="15"/>
        <v>-56333.895000000004</v>
      </c>
      <c r="N268" s="500">
        <f t="shared" si="16"/>
        <v>-1280.9270971687656</v>
      </c>
      <c r="P268" s="503">
        <f>Taulukko3[[#This Row],[Vieraskieliset (2023)]]*$P$9</f>
        <v>1075.42</v>
      </c>
      <c r="Q268" s="459"/>
      <c r="R268" s="530">
        <f t="shared" si="17"/>
        <v>112462.28290283124</v>
      </c>
    </row>
    <row r="269" spans="1:18">
      <c r="A269" s="474">
        <v>845</v>
      </c>
      <c r="B269" s="474" t="s">
        <v>267</v>
      </c>
      <c r="C269" s="459">
        <v>1409</v>
      </c>
      <c r="D269" s="459">
        <v>176</v>
      </c>
      <c r="E269" s="459">
        <v>72</v>
      </c>
      <c r="G269" s="523">
        <f>Taulukko3[[#This Row],[Väestö, 18-64-vuotiaat (2023)]]*Taulukko412[Perushinnat, €]</f>
        <v>117623.32</v>
      </c>
      <c r="H269" s="491">
        <f>Taulukko3[[#This Row],[Työttömät ja palveluissa olevat (2023)]]*Taulukko412[[ ]]</f>
        <v>129242.08</v>
      </c>
      <c r="I269" s="491">
        <f>Taulukko3[[#This Row],[Vieraskieliset (2023)]]*Taulukko412[[  ]]</f>
        <v>5993.28</v>
      </c>
      <c r="J269" s="500">
        <f t="shared" si="14"/>
        <v>252858.68000000002</v>
      </c>
      <c r="K269" s="491"/>
      <c r="L269" s="497">
        <f>'TE25 Palveluiden kustannusarvio'!U262</f>
        <v>147031.2610401476</v>
      </c>
      <c r="M269" s="458">
        <f t="shared" si="15"/>
        <v>-126429.34000000001</v>
      </c>
      <c r="N269" s="500">
        <f t="shared" si="16"/>
        <v>20601.921040147587</v>
      </c>
      <c r="P269" s="503">
        <f>Taulukko3[[#This Row],[Vieraskieliset (2023)]]*$P$9</f>
        <v>2277.36</v>
      </c>
      <c r="Q269" s="459"/>
      <c r="R269" s="530">
        <f t="shared" si="17"/>
        <v>275737.96104014758</v>
      </c>
    </row>
    <row r="270" spans="1:18">
      <c r="A270" s="474">
        <v>846</v>
      </c>
      <c r="B270" s="474" t="s">
        <v>268</v>
      </c>
      <c r="C270" s="459">
        <v>2285</v>
      </c>
      <c r="D270" s="459">
        <v>254</v>
      </c>
      <c r="E270" s="459">
        <v>114</v>
      </c>
      <c r="G270" s="523">
        <f>Taulukko3[[#This Row],[Väestö, 18-64-vuotiaat (2023)]]*Taulukko412[Perushinnat, €]</f>
        <v>190751.80000000002</v>
      </c>
      <c r="H270" s="491">
        <f>Taulukko3[[#This Row],[Työttömät ja palveluissa olevat (2023)]]*Taulukko412[[ ]]</f>
        <v>186519.82</v>
      </c>
      <c r="I270" s="491">
        <f>Taulukko3[[#This Row],[Vieraskieliset (2023)]]*Taulukko412[[  ]]</f>
        <v>9489.3599999999988</v>
      </c>
      <c r="J270" s="500">
        <f t="shared" si="14"/>
        <v>386760.98</v>
      </c>
      <c r="K270" s="491"/>
      <c r="L270" s="497">
        <f>'TE25 Palveluiden kustannusarvio'!U263</f>
        <v>224236.80304430836</v>
      </c>
      <c r="M270" s="458">
        <f t="shared" si="15"/>
        <v>-193380.49</v>
      </c>
      <c r="N270" s="500">
        <f t="shared" si="16"/>
        <v>30856.313044308365</v>
      </c>
      <c r="P270" s="503">
        <f>Taulukko3[[#This Row],[Vieraskieliset (2023)]]*$P$9</f>
        <v>3605.8199999999997</v>
      </c>
      <c r="Q270" s="459"/>
      <c r="R270" s="530">
        <f t="shared" si="17"/>
        <v>421223.11304430832</v>
      </c>
    </row>
    <row r="271" spans="1:18">
      <c r="A271" s="474">
        <v>848</v>
      </c>
      <c r="B271" s="474" t="s">
        <v>269</v>
      </c>
      <c r="C271" s="459">
        <v>1964</v>
      </c>
      <c r="D271" s="459">
        <v>363</v>
      </c>
      <c r="E271" s="459">
        <v>240</v>
      </c>
      <c r="G271" s="523">
        <f>Taulukko3[[#This Row],[Väestö, 18-64-vuotiaat (2023)]]*Taulukko412[Perushinnat, €]</f>
        <v>163954.72</v>
      </c>
      <c r="H271" s="491">
        <f>Taulukko3[[#This Row],[Työttömät ja palveluissa olevat (2023)]]*Taulukko412[[ ]]</f>
        <v>266561.79000000004</v>
      </c>
      <c r="I271" s="491">
        <f>Taulukko3[[#This Row],[Vieraskieliset (2023)]]*Taulukko412[[  ]]</f>
        <v>19977.599999999999</v>
      </c>
      <c r="J271" s="500">
        <f t="shared" ref="J271:J306" si="18">G271+H271+I271</f>
        <v>450494.11</v>
      </c>
      <c r="K271" s="491"/>
      <c r="L271" s="497">
        <f>'TE25 Palveluiden kustannusarvio'!U264</f>
        <v>443116.3360212663</v>
      </c>
      <c r="M271" s="458">
        <f t="shared" ref="M271:M306" si="19">J271*-0.5</f>
        <v>-225247.05499999999</v>
      </c>
      <c r="N271" s="500">
        <f t="shared" ref="N271:N306" si="20">L271+M271</f>
        <v>217869.2810212663</v>
      </c>
      <c r="P271" s="503">
        <f>Taulukko3[[#This Row],[Vieraskieliset (2023)]]*$P$9</f>
        <v>7591.2</v>
      </c>
      <c r="Q271" s="459"/>
      <c r="R271" s="530">
        <f t="shared" ref="R271:R306" si="21">J271+N271+P271</f>
        <v>675954.5910212663</v>
      </c>
    </row>
    <row r="272" spans="1:18">
      <c r="A272" s="474">
        <v>849</v>
      </c>
      <c r="B272" s="474" t="s">
        <v>270</v>
      </c>
      <c r="C272" s="459">
        <v>1381</v>
      </c>
      <c r="D272" s="459">
        <v>122</v>
      </c>
      <c r="E272" s="459">
        <v>64</v>
      </c>
      <c r="G272" s="523">
        <f>Taulukko3[[#This Row],[Väestö, 18-64-vuotiaat (2023)]]*Taulukko412[Perushinnat, €]</f>
        <v>115285.88</v>
      </c>
      <c r="H272" s="491">
        <f>Taulukko3[[#This Row],[Työttömät ja palveluissa olevat (2023)]]*Taulukko412[[ ]]</f>
        <v>89588.260000000009</v>
      </c>
      <c r="I272" s="491">
        <f>Taulukko3[[#This Row],[Vieraskieliset (2023)]]*Taulukko412[[  ]]</f>
        <v>5327.36</v>
      </c>
      <c r="J272" s="500">
        <f t="shared" si="18"/>
        <v>210201.5</v>
      </c>
      <c r="K272" s="491"/>
      <c r="L272" s="497">
        <f>'TE25 Palveluiden kustannusarvio'!U265</f>
        <v>101517.42932190798</v>
      </c>
      <c r="M272" s="458">
        <f t="shared" si="19"/>
        <v>-105100.75</v>
      </c>
      <c r="N272" s="500">
        <f t="shared" si="20"/>
        <v>-3583.3206780920154</v>
      </c>
      <c r="P272" s="503">
        <f>Taulukko3[[#This Row],[Vieraskieliset (2023)]]*$P$9</f>
        <v>2024.32</v>
      </c>
      <c r="Q272" s="459"/>
      <c r="R272" s="530">
        <f t="shared" si="21"/>
        <v>208642.49932190799</v>
      </c>
    </row>
    <row r="273" spans="1:18">
      <c r="A273" s="474">
        <v>850</v>
      </c>
      <c r="B273" s="474" t="s">
        <v>271</v>
      </c>
      <c r="C273" s="459">
        <v>1161</v>
      </c>
      <c r="D273" s="459">
        <v>114</v>
      </c>
      <c r="E273" s="459">
        <v>39</v>
      </c>
      <c r="G273" s="523">
        <f>Taulukko3[[#This Row],[Väestö, 18-64-vuotiaat (2023)]]*Taulukko412[Perushinnat, €]</f>
        <v>96920.28</v>
      </c>
      <c r="H273" s="491">
        <f>Taulukko3[[#This Row],[Työttömät ja palveluissa olevat (2023)]]*Taulukko412[[ ]]</f>
        <v>83713.62000000001</v>
      </c>
      <c r="I273" s="491">
        <f>Taulukko3[[#This Row],[Vieraskieliset (2023)]]*Taulukko412[[  ]]</f>
        <v>3246.3599999999997</v>
      </c>
      <c r="J273" s="500">
        <f t="shared" si="18"/>
        <v>183880.26</v>
      </c>
      <c r="K273" s="491"/>
      <c r="L273" s="497">
        <f>'TE25 Palveluiden kustannusarvio'!U266</f>
        <v>97444.926839034248</v>
      </c>
      <c r="M273" s="458">
        <f t="shared" si="19"/>
        <v>-91940.13</v>
      </c>
      <c r="N273" s="500">
        <f t="shared" si="20"/>
        <v>5504.796839034243</v>
      </c>
      <c r="P273" s="503">
        <f>Taulukko3[[#This Row],[Vieraskieliset (2023)]]*$P$9</f>
        <v>1233.57</v>
      </c>
      <c r="Q273" s="459"/>
      <c r="R273" s="530">
        <f t="shared" si="21"/>
        <v>190618.62683903426</v>
      </c>
    </row>
    <row r="274" spans="1:18">
      <c r="A274" s="474">
        <v>851</v>
      </c>
      <c r="B274" s="474" t="s">
        <v>272</v>
      </c>
      <c r="C274" s="459">
        <v>11394</v>
      </c>
      <c r="D274" s="459">
        <v>1266</v>
      </c>
      <c r="E274" s="459">
        <v>706</v>
      </c>
      <c r="G274" s="523">
        <f>Taulukko3[[#This Row],[Väestö, 18-64-vuotiaat (2023)]]*Taulukko412[Perushinnat, €]</f>
        <v>951171.12</v>
      </c>
      <c r="H274" s="491">
        <f>Taulukko3[[#This Row],[Työttömät ja palveluissa olevat (2023)]]*Taulukko412[[ ]]</f>
        <v>929661.78</v>
      </c>
      <c r="I274" s="491">
        <f>Taulukko3[[#This Row],[Vieraskieliset (2023)]]*Taulukko412[[  ]]</f>
        <v>58767.439999999995</v>
      </c>
      <c r="J274" s="500">
        <f t="shared" si="18"/>
        <v>1939600.3399999999</v>
      </c>
      <c r="K274" s="491"/>
      <c r="L274" s="497">
        <f>'TE25 Palveluiden kustannusarvio'!U267</f>
        <v>1087096.3480875425</v>
      </c>
      <c r="M274" s="458">
        <f t="shared" si="19"/>
        <v>-969800.16999999993</v>
      </c>
      <c r="N274" s="500">
        <f t="shared" si="20"/>
        <v>117296.17808754253</v>
      </c>
      <c r="P274" s="503">
        <f>Taulukko3[[#This Row],[Vieraskieliset (2023)]]*$P$9</f>
        <v>22330.78</v>
      </c>
      <c r="Q274" s="459"/>
      <c r="R274" s="530">
        <f t="shared" si="21"/>
        <v>2079227.2980875424</v>
      </c>
    </row>
    <row r="275" spans="1:18">
      <c r="A275" s="474">
        <v>853</v>
      </c>
      <c r="B275" s="474" t="s">
        <v>273</v>
      </c>
      <c r="C275" s="459">
        <v>130708</v>
      </c>
      <c r="D275" s="459">
        <v>16907</v>
      </c>
      <c r="E275" s="459">
        <v>30862</v>
      </c>
      <c r="G275" s="523">
        <f>Taulukko3[[#This Row],[Väestö, 18-64-vuotiaat (2023)]]*Taulukko412[Perushinnat, €]</f>
        <v>10911503.84</v>
      </c>
      <c r="H275" s="491">
        <f>Taulukko3[[#This Row],[Työttömät ja palveluissa olevat (2023)]]*Taulukko412[[ ]]</f>
        <v>12415317.310000001</v>
      </c>
      <c r="I275" s="491">
        <f>Taulukko3[[#This Row],[Vieraskieliset (2023)]]*Taulukko412[[  ]]</f>
        <v>2568952.88</v>
      </c>
      <c r="J275" s="500">
        <f t="shared" si="18"/>
        <v>25895774.029999997</v>
      </c>
      <c r="K275" s="491"/>
      <c r="L275" s="497">
        <f>'TE25 Palveluiden kustannusarvio'!U268</f>
        <v>13866359.439742222</v>
      </c>
      <c r="M275" s="458">
        <f t="shared" si="19"/>
        <v>-12947887.014999999</v>
      </c>
      <c r="N275" s="500">
        <f t="shared" si="20"/>
        <v>918472.42474222369</v>
      </c>
      <c r="P275" s="503">
        <f>Taulukko3[[#This Row],[Vieraskieliset (2023)]]*$P$9</f>
        <v>976165.05999999994</v>
      </c>
      <c r="Q275" s="459"/>
      <c r="R275" s="530">
        <f t="shared" si="21"/>
        <v>27790411.514742222</v>
      </c>
    </row>
    <row r="276" spans="1:18">
      <c r="A276" s="474">
        <v>854</v>
      </c>
      <c r="B276" s="474" t="s">
        <v>274</v>
      </c>
      <c r="C276" s="459">
        <v>1462</v>
      </c>
      <c r="D276" s="459">
        <v>193</v>
      </c>
      <c r="E276" s="459">
        <v>70</v>
      </c>
      <c r="G276" s="523">
        <f>Taulukko3[[#This Row],[Väestö, 18-64-vuotiaat (2023)]]*Taulukko412[Perushinnat, €]</f>
        <v>122047.76000000001</v>
      </c>
      <c r="H276" s="491">
        <f>Taulukko3[[#This Row],[Työttömät ja palveluissa olevat (2023)]]*Taulukko412[[ ]]</f>
        <v>141725.69</v>
      </c>
      <c r="I276" s="491">
        <f>Taulukko3[[#This Row],[Vieraskieliset (2023)]]*Taulukko412[[  ]]</f>
        <v>5826.7999999999993</v>
      </c>
      <c r="J276" s="500">
        <f t="shared" si="18"/>
        <v>269600.25</v>
      </c>
      <c r="K276" s="491"/>
      <c r="L276" s="497">
        <f>'TE25 Palveluiden kustannusarvio'!U269</f>
        <v>202623.15018733172</v>
      </c>
      <c r="M276" s="458">
        <f t="shared" si="19"/>
        <v>-134800.125</v>
      </c>
      <c r="N276" s="500">
        <f t="shared" si="20"/>
        <v>67823.025187331717</v>
      </c>
      <c r="P276" s="503">
        <f>Taulukko3[[#This Row],[Vieraskieliset (2023)]]*$P$9</f>
        <v>2214.1</v>
      </c>
      <c r="Q276" s="459"/>
      <c r="R276" s="530">
        <f t="shared" si="21"/>
        <v>339637.37518733169</v>
      </c>
    </row>
    <row r="277" spans="1:18">
      <c r="A277" s="474">
        <v>857</v>
      </c>
      <c r="B277" s="474" t="s">
        <v>275</v>
      </c>
      <c r="C277" s="459">
        <v>1093</v>
      </c>
      <c r="D277" s="459">
        <v>133</v>
      </c>
      <c r="E277" s="459">
        <v>55</v>
      </c>
      <c r="G277" s="523">
        <f>Taulukko3[[#This Row],[Väestö, 18-64-vuotiaat (2023)]]*Taulukko412[Perushinnat, €]</f>
        <v>91243.64</v>
      </c>
      <c r="H277" s="491">
        <f>Taulukko3[[#This Row],[Työttömät ja palveluissa olevat (2023)]]*Taulukko412[[ ]]</f>
        <v>97665.89</v>
      </c>
      <c r="I277" s="491">
        <f>Taulukko3[[#This Row],[Vieraskieliset (2023)]]*Taulukko412[[  ]]</f>
        <v>4578.2</v>
      </c>
      <c r="J277" s="500">
        <f t="shared" si="18"/>
        <v>193487.73</v>
      </c>
      <c r="K277" s="491"/>
      <c r="L277" s="497">
        <f>'TE25 Palveluiden kustannusarvio'!U270</f>
        <v>83565.590664601477</v>
      </c>
      <c r="M277" s="458">
        <f t="shared" si="19"/>
        <v>-96743.865000000005</v>
      </c>
      <c r="N277" s="500">
        <f t="shared" si="20"/>
        <v>-13178.274335398528</v>
      </c>
      <c r="P277" s="503">
        <f>Taulukko3[[#This Row],[Vieraskieliset (2023)]]*$P$9</f>
        <v>1739.6499999999999</v>
      </c>
      <c r="Q277" s="459"/>
      <c r="R277" s="530">
        <f t="shared" si="21"/>
        <v>182049.10566460146</v>
      </c>
    </row>
    <row r="278" spans="1:18">
      <c r="A278" s="474">
        <v>858</v>
      </c>
      <c r="B278" s="474" t="s">
        <v>276</v>
      </c>
      <c r="C278" s="459">
        <v>24737</v>
      </c>
      <c r="D278" s="459">
        <v>1871</v>
      </c>
      <c r="E278" s="459">
        <v>3372</v>
      </c>
      <c r="G278" s="523">
        <f>Taulukko3[[#This Row],[Väestö, 18-64-vuotiaat (2023)]]*Taulukko412[Perushinnat, €]</f>
        <v>2065044.76</v>
      </c>
      <c r="H278" s="491">
        <f>Taulukko3[[#This Row],[Työttömät ja palveluissa olevat (2023)]]*Taulukko412[[ ]]</f>
        <v>1373931.4300000002</v>
      </c>
      <c r="I278" s="491">
        <f>Taulukko3[[#This Row],[Vieraskieliset (2023)]]*Taulukko412[[  ]]</f>
        <v>280685.27999999997</v>
      </c>
      <c r="J278" s="500">
        <f t="shared" si="18"/>
        <v>3719661.47</v>
      </c>
      <c r="K278" s="491"/>
      <c r="L278" s="497">
        <f>'TE25 Palveluiden kustannusarvio'!U271</f>
        <v>1398547.155382049</v>
      </c>
      <c r="M278" s="458">
        <f t="shared" si="19"/>
        <v>-1859830.7350000001</v>
      </c>
      <c r="N278" s="500">
        <f t="shared" si="20"/>
        <v>-461283.57961795107</v>
      </c>
      <c r="P278" s="503">
        <f>Taulukko3[[#This Row],[Vieraskieliset (2023)]]*$P$9</f>
        <v>106656.36</v>
      </c>
      <c r="Q278" s="459"/>
      <c r="R278" s="530">
        <f t="shared" si="21"/>
        <v>3365034.250382049</v>
      </c>
    </row>
    <row r="279" spans="1:18">
      <c r="A279" s="474">
        <v>859</v>
      </c>
      <c r="B279" s="474" t="s">
        <v>277</v>
      </c>
      <c r="C279" s="459">
        <v>3258</v>
      </c>
      <c r="D279" s="459">
        <v>292</v>
      </c>
      <c r="E279" s="459">
        <v>65</v>
      </c>
      <c r="G279" s="523">
        <f>Taulukko3[[#This Row],[Väestö, 18-64-vuotiaat (2023)]]*Taulukko412[Perushinnat, €]</f>
        <v>271977.84000000003</v>
      </c>
      <c r="H279" s="491">
        <f>Taulukko3[[#This Row],[Työttömät ja palveluissa olevat (2023)]]*Taulukko412[[ ]]</f>
        <v>214424.36000000002</v>
      </c>
      <c r="I279" s="491">
        <f>Taulukko3[[#This Row],[Vieraskieliset (2023)]]*Taulukko412[[  ]]</f>
        <v>5410.5999999999995</v>
      </c>
      <c r="J279" s="500">
        <f t="shared" si="18"/>
        <v>491812.80000000005</v>
      </c>
      <c r="K279" s="491"/>
      <c r="L279" s="497">
        <f>'TE25 Palveluiden kustannusarvio'!U272</f>
        <v>226052.15629812019</v>
      </c>
      <c r="M279" s="458">
        <f t="shared" si="19"/>
        <v>-245906.40000000002</v>
      </c>
      <c r="N279" s="500">
        <f t="shared" si="20"/>
        <v>-19854.243701879837</v>
      </c>
      <c r="P279" s="503">
        <f>Taulukko3[[#This Row],[Vieraskieliset (2023)]]*$P$9</f>
        <v>2055.9499999999998</v>
      </c>
      <c r="Q279" s="459"/>
      <c r="R279" s="530">
        <f t="shared" si="21"/>
        <v>474014.50629812019</v>
      </c>
    </row>
    <row r="280" spans="1:18">
      <c r="A280" s="474">
        <v>886</v>
      </c>
      <c r="B280" s="474" t="s">
        <v>278</v>
      </c>
      <c r="C280" s="459">
        <v>6569</v>
      </c>
      <c r="D280" s="459">
        <v>578</v>
      </c>
      <c r="E280" s="459">
        <v>354</v>
      </c>
      <c r="G280" s="523">
        <f>Taulukko3[[#This Row],[Väestö, 18-64-vuotiaat (2023)]]*Taulukko412[Perushinnat, €]</f>
        <v>548380.12</v>
      </c>
      <c r="H280" s="491">
        <f>Taulukko3[[#This Row],[Työttömät ja palveluissa olevat (2023)]]*Taulukko412[[ ]]</f>
        <v>424442.74000000005</v>
      </c>
      <c r="I280" s="491">
        <f>Taulukko3[[#This Row],[Vieraskieliset (2023)]]*Taulukko412[[  ]]</f>
        <v>29466.959999999999</v>
      </c>
      <c r="J280" s="500">
        <f t="shared" si="18"/>
        <v>1002289.8200000001</v>
      </c>
      <c r="K280" s="491"/>
      <c r="L280" s="497">
        <f>'TE25 Palveluiden kustannusarvio'!U273</f>
        <v>425747.13790462411</v>
      </c>
      <c r="M280" s="458">
        <f t="shared" si="19"/>
        <v>-501144.91000000003</v>
      </c>
      <c r="N280" s="500">
        <f t="shared" si="20"/>
        <v>-75397.772095375927</v>
      </c>
      <c r="P280" s="503">
        <f>Taulukko3[[#This Row],[Vieraskieliset (2023)]]*$P$9</f>
        <v>11197.02</v>
      </c>
      <c r="Q280" s="459"/>
      <c r="R280" s="530">
        <f t="shared" si="21"/>
        <v>938089.06790462416</v>
      </c>
    </row>
    <row r="281" spans="1:18">
      <c r="A281" s="474">
        <v>887</v>
      </c>
      <c r="B281" s="474" t="s">
        <v>279</v>
      </c>
      <c r="C281" s="459">
        <v>2272</v>
      </c>
      <c r="D281" s="459">
        <v>337</v>
      </c>
      <c r="E281" s="459">
        <v>144</v>
      </c>
      <c r="G281" s="523">
        <f>Taulukko3[[#This Row],[Väestö, 18-64-vuotiaat (2023)]]*Taulukko412[Perushinnat, €]</f>
        <v>189666.56</v>
      </c>
      <c r="H281" s="491">
        <f>Taulukko3[[#This Row],[Työttömät ja palveluissa olevat (2023)]]*Taulukko412[[ ]]</f>
        <v>247469.21000000002</v>
      </c>
      <c r="I281" s="491">
        <f>Taulukko3[[#This Row],[Vieraskieliset (2023)]]*Taulukko412[[  ]]</f>
        <v>11986.56</v>
      </c>
      <c r="J281" s="500">
        <f t="shared" si="18"/>
        <v>449122.33</v>
      </c>
      <c r="K281" s="491"/>
      <c r="L281" s="497">
        <f>'TE25 Palveluiden kustannusarvio'!U274</f>
        <v>248062.28357167641</v>
      </c>
      <c r="M281" s="458">
        <f t="shared" si="19"/>
        <v>-224561.16500000001</v>
      </c>
      <c r="N281" s="500">
        <f t="shared" si="20"/>
        <v>23501.118571676401</v>
      </c>
      <c r="P281" s="503">
        <f>Taulukko3[[#This Row],[Vieraskieliset (2023)]]*$P$9</f>
        <v>4554.72</v>
      </c>
      <c r="Q281" s="459"/>
      <c r="R281" s="530">
        <f t="shared" si="21"/>
        <v>477178.16857167636</v>
      </c>
    </row>
    <row r="282" spans="1:18">
      <c r="A282" s="474">
        <v>889</v>
      </c>
      <c r="B282" s="474" t="s">
        <v>280</v>
      </c>
      <c r="C282" s="459">
        <v>1210</v>
      </c>
      <c r="D282" s="459">
        <v>158</v>
      </c>
      <c r="E282" s="459">
        <v>77</v>
      </c>
      <c r="G282" s="523">
        <f>Taulukko3[[#This Row],[Väestö, 18-64-vuotiaat (2023)]]*Taulukko412[Perushinnat, €]</f>
        <v>101010.8</v>
      </c>
      <c r="H282" s="491">
        <f>Taulukko3[[#This Row],[Työttömät ja palveluissa olevat (2023)]]*Taulukko412[[ ]]</f>
        <v>116024.14</v>
      </c>
      <c r="I282" s="491">
        <f>Taulukko3[[#This Row],[Vieraskieliset (2023)]]*Taulukko412[[  ]]</f>
        <v>6409.48</v>
      </c>
      <c r="J282" s="500">
        <f t="shared" si="18"/>
        <v>223444.42</v>
      </c>
      <c r="K282" s="491"/>
      <c r="L282" s="497">
        <f>'TE25 Palveluiden kustannusarvio'!U275</f>
        <v>131700.70292402094</v>
      </c>
      <c r="M282" s="458">
        <f t="shared" si="19"/>
        <v>-111722.21</v>
      </c>
      <c r="N282" s="500">
        <f t="shared" si="20"/>
        <v>19978.492924020931</v>
      </c>
      <c r="P282" s="503">
        <f>Taulukko3[[#This Row],[Vieraskieliset (2023)]]*$P$9</f>
        <v>2435.5099999999998</v>
      </c>
      <c r="Q282" s="459"/>
      <c r="R282" s="530">
        <f t="shared" si="21"/>
        <v>245858.42292402097</v>
      </c>
    </row>
    <row r="283" spans="1:18">
      <c r="A283" s="474">
        <v>890</v>
      </c>
      <c r="B283" s="474" t="s">
        <v>281</v>
      </c>
      <c r="C283" s="459">
        <v>600</v>
      </c>
      <c r="D283" s="459">
        <v>56</v>
      </c>
      <c r="E283" s="459">
        <v>50</v>
      </c>
      <c r="G283" s="523">
        <f>Taulukko3[[#This Row],[Väestö, 18-64-vuotiaat (2023)]]*Taulukko412[Perushinnat, €]</f>
        <v>50088</v>
      </c>
      <c r="H283" s="491">
        <f>Taulukko3[[#This Row],[Työttömät ja palveluissa olevat (2023)]]*Taulukko412[[ ]]</f>
        <v>41122.480000000003</v>
      </c>
      <c r="I283" s="491">
        <f>Taulukko3[[#This Row],[Vieraskieliset (2023)]]*Taulukko412[[  ]]</f>
        <v>4162</v>
      </c>
      <c r="J283" s="500">
        <f t="shared" si="18"/>
        <v>95372.48000000001</v>
      </c>
      <c r="K283" s="491"/>
      <c r="L283" s="497">
        <f>'TE25 Palveluiden kustannusarvio'!U276</f>
        <v>32872.89038488728</v>
      </c>
      <c r="M283" s="458">
        <f t="shared" si="19"/>
        <v>-47686.240000000005</v>
      </c>
      <c r="N283" s="500">
        <f t="shared" si="20"/>
        <v>-14813.349615112726</v>
      </c>
      <c r="P283" s="503">
        <f>Taulukko3[[#This Row],[Vieraskieliset (2023)]]*$P$9</f>
        <v>1581.5</v>
      </c>
      <c r="Q283" s="459"/>
      <c r="R283" s="530">
        <f t="shared" si="21"/>
        <v>82140.630384887278</v>
      </c>
    </row>
    <row r="284" spans="1:18">
      <c r="A284" s="474">
        <v>892</v>
      </c>
      <c r="B284" s="474" t="s">
        <v>282</v>
      </c>
      <c r="C284" s="459">
        <v>1815</v>
      </c>
      <c r="D284" s="459">
        <v>224</v>
      </c>
      <c r="E284" s="459">
        <v>58</v>
      </c>
      <c r="G284" s="523">
        <f>Taulukko3[[#This Row],[Väestö, 18-64-vuotiaat (2023)]]*Taulukko412[Perushinnat, €]</f>
        <v>151516.20000000001</v>
      </c>
      <c r="H284" s="491">
        <f>Taulukko3[[#This Row],[Työttömät ja palveluissa olevat (2023)]]*Taulukko412[[ ]]</f>
        <v>164489.92000000001</v>
      </c>
      <c r="I284" s="491">
        <f>Taulukko3[[#This Row],[Vieraskieliset (2023)]]*Taulukko412[[  ]]</f>
        <v>4827.92</v>
      </c>
      <c r="J284" s="500">
        <f t="shared" si="18"/>
        <v>320834.03999999998</v>
      </c>
      <c r="K284" s="491"/>
      <c r="L284" s="497">
        <f>'TE25 Palveluiden kustannusarvio'!U277</f>
        <v>135552.45330441921</v>
      </c>
      <c r="M284" s="458">
        <f t="shared" si="19"/>
        <v>-160417.01999999999</v>
      </c>
      <c r="N284" s="500">
        <f t="shared" si="20"/>
        <v>-24864.566695580783</v>
      </c>
      <c r="P284" s="503">
        <f>Taulukko3[[#This Row],[Vieraskieliset (2023)]]*$P$9</f>
        <v>1834.54</v>
      </c>
      <c r="Q284" s="459"/>
      <c r="R284" s="530">
        <f t="shared" si="21"/>
        <v>297804.01330441918</v>
      </c>
    </row>
    <row r="285" spans="1:18">
      <c r="A285" s="474">
        <v>893</v>
      </c>
      <c r="B285" s="474" t="s">
        <v>283</v>
      </c>
      <c r="C285" s="459">
        <v>3905</v>
      </c>
      <c r="D285" s="459">
        <v>273</v>
      </c>
      <c r="E285" s="459">
        <v>733</v>
      </c>
      <c r="G285" s="523">
        <f>Taulukko3[[#This Row],[Väestö, 18-64-vuotiaat (2023)]]*Taulukko412[Perushinnat, €]</f>
        <v>325989.40000000002</v>
      </c>
      <c r="H285" s="491">
        <f>Taulukko3[[#This Row],[Työttömät ja palveluissa olevat (2023)]]*Taulukko412[[ ]]</f>
        <v>200472.09000000003</v>
      </c>
      <c r="I285" s="491">
        <f>Taulukko3[[#This Row],[Vieraskieliset (2023)]]*Taulukko412[[  ]]</f>
        <v>61014.92</v>
      </c>
      <c r="J285" s="500">
        <f t="shared" si="18"/>
        <v>587476.41</v>
      </c>
      <c r="K285" s="491"/>
      <c r="L285" s="497">
        <f>'TE25 Palveluiden kustannusarvio'!U278</f>
        <v>225046.46365621427</v>
      </c>
      <c r="M285" s="458">
        <f t="shared" si="19"/>
        <v>-293738.20500000002</v>
      </c>
      <c r="N285" s="500">
        <f t="shared" si="20"/>
        <v>-68691.741343785747</v>
      </c>
      <c r="P285" s="503">
        <f>Taulukko3[[#This Row],[Vieraskieliset (2023)]]*$P$9</f>
        <v>23184.79</v>
      </c>
      <c r="Q285" s="459"/>
      <c r="R285" s="530">
        <f t="shared" si="21"/>
        <v>541969.45865621429</v>
      </c>
    </row>
    <row r="286" spans="1:18">
      <c r="A286" s="474">
        <v>895</v>
      </c>
      <c r="B286" s="474" t="s">
        <v>284</v>
      </c>
      <c r="C286" s="459">
        <v>7881</v>
      </c>
      <c r="D286" s="459">
        <v>1068</v>
      </c>
      <c r="E286" s="459">
        <v>1209</v>
      </c>
      <c r="G286" s="523">
        <f>Taulukko3[[#This Row],[Väestö, 18-64-vuotiaat (2023)]]*Taulukko412[Perushinnat, €]</f>
        <v>657905.88</v>
      </c>
      <c r="H286" s="491">
        <f>Taulukko3[[#This Row],[Työttömät ja palveluissa olevat (2023)]]*Taulukko412[[ ]]</f>
        <v>784264.44000000006</v>
      </c>
      <c r="I286" s="491">
        <f>Taulukko3[[#This Row],[Vieraskieliset (2023)]]*Taulukko412[[  ]]</f>
        <v>100637.15999999999</v>
      </c>
      <c r="J286" s="500">
        <f t="shared" si="18"/>
        <v>1542807.48</v>
      </c>
      <c r="K286" s="491"/>
      <c r="L286" s="497">
        <f>'TE25 Palveluiden kustannusarvio'!U279</f>
        <v>873526.99529622146</v>
      </c>
      <c r="M286" s="458">
        <f t="shared" si="19"/>
        <v>-771403.74</v>
      </c>
      <c r="N286" s="500">
        <f t="shared" si="20"/>
        <v>102123.25529622147</v>
      </c>
      <c r="P286" s="503">
        <f>Taulukko3[[#This Row],[Vieraskieliset (2023)]]*$P$9</f>
        <v>38240.67</v>
      </c>
      <c r="Q286" s="459"/>
      <c r="R286" s="530">
        <f t="shared" si="21"/>
        <v>1683171.4052962214</v>
      </c>
    </row>
    <row r="287" spans="1:18">
      <c r="A287" s="474">
        <v>905</v>
      </c>
      <c r="B287" s="474" t="s">
        <v>285</v>
      </c>
      <c r="C287" s="459">
        <v>42721</v>
      </c>
      <c r="D287" s="459">
        <v>3943</v>
      </c>
      <c r="E287" s="459">
        <v>8312</v>
      </c>
      <c r="G287" s="523">
        <f>Taulukko3[[#This Row],[Väestö, 18-64-vuotiaat (2023)]]*Taulukko412[Perushinnat, €]</f>
        <v>3566349.08</v>
      </c>
      <c r="H287" s="491">
        <f>Taulukko3[[#This Row],[Työttömät ja palveluissa olevat (2023)]]*Taulukko412[[ ]]</f>
        <v>2895463.19</v>
      </c>
      <c r="I287" s="491">
        <f>Taulukko3[[#This Row],[Vieraskieliset (2023)]]*Taulukko412[[  ]]</f>
        <v>691890.88</v>
      </c>
      <c r="J287" s="500">
        <f t="shared" si="18"/>
        <v>7153703.1499999994</v>
      </c>
      <c r="K287" s="491"/>
      <c r="L287" s="497">
        <f>'TE25 Palveluiden kustannusarvio'!U280</f>
        <v>3591700.1313157505</v>
      </c>
      <c r="M287" s="458">
        <f t="shared" si="19"/>
        <v>-3576851.5749999997</v>
      </c>
      <c r="N287" s="500">
        <f t="shared" si="20"/>
        <v>14848.556315750815</v>
      </c>
      <c r="P287" s="503">
        <f>Taulukko3[[#This Row],[Vieraskieliset (2023)]]*$P$9</f>
        <v>262908.56</v>
      </c>
      <c r="Q287" s="459"/>
      <c r="R287" s="530">
        <f t="shared" si="21"/>
        <v>7431460.2663157498</v>
      </c>
    </row>
    <row r="288" spans="1:18">
      <c r="A288" s="474">
        <v>908</v>
      </c>
      <c r="B288" s="474" t="s">
        <v>286</v>
      </c>
      <c r="C288" s="459">
        <v>11040</v>
      </c>
      <c r="D288" s="459">
        <v>1373</v>
      </c>
      <c r="E288" s="459">
        <v>1055</v>
      </c>
      <c r="G288" s="523">
        <f>Taulukko3[[#This Row],[Väestö, 18-64-vuotiaat (2023)]]*Taulukko412[Perushinnat, €]</f>
        <v>921619.20000000007</v>
      </c>
      <c r="H288" s="491">
        <f>Taulukko3[[#This Row],[Työttömät ja palveluissa olevat (2023)]]*Taulukko412[[ ]]</f>
        <v>1008235.0900000001</v>
      </c>
      <c r="I288" s="491">
        <f>Taulukko3[[#This Row],[Vieraskieliset (2023)]]*Taulukko412[[  ]]</f>
        <v>87818.2</v>
      </c>
      <c r="J288" s="500">
        <f t="shared" si="18"/>
        <v>2017672.49</v>
      </c>
      <c r="K288" s="491"/>
      <c r="L288" s="497">
        <f>'TE25 Palveluiden kustannusarvio'!U281</f>
        <v>922358.83701770753</v>
      </c>
      <c r="M288" s="458">
        <f t="shared" si="19"/>
        <v>-1008836.245</v>
      </c>
      <c r="N288" s="500">
        <f t="shared" si="20"/>
        <v>-86477.407982292469</v>
      </c>
      <c r="P288" s="503">
        <f>Taulukko3[[#This Row],[Vieraskieliset (2023)]]*$P$9</f>
        <v>33369.65</v>
      </c>
      <c r="Q288" s="459"/>
      <c r="R288" s="530">
        <f t="shared" si="21"/>
        <v>1964564.7320177075</v>
      </c>
    </row>
    <row r="289" spans="1:18">
      <c r="A289" s="474">
        <v>915</v>
      </c>
      <c r="B289" s="474" t="s">
        <v>287</v>
      </c>
      <c r="C289" s="459">
        <v>10248</v>
      </c>
      <c r="D289" s="459">
        <v>1607</v>
      </c>
      <c r="E289" s="459">
        <v>957</v>
      </c>
      <c r="G289" s="523">
        <f>Taulukko3[[#This Row],[Väestö, 18-64-vuotiaat (2023)]]*Taulukko412[Perushinnat, €]</f>
        <v>855503.04</v>
      </c>
      <c r="H289" s="491">
        <f>Taulukko3[[#This Row],[Työttömät ja palveluissa olevat (2023)]]*Taulukko412[[ ]]</f>
        <v>1180068.31</v>
      </c>
      <c r="I289" s="491">
        <f>Taulukko3[[#This Row],[Vieraskieliset (2023)]]*Taulukko412[[  ]]</f>
        <v>79660.679999999993</v>
      </c>
      <c r="J289" s="500">
        <f t="shared" si="18"/>
        <v>2115232.0300000003</v>
      </c>
      <c r="K289" s="491"/>
      <c r="L289" s="497">
        <f>'TE25 Palveluiden kustannusarvio'!U282</f>
        <v>1158863.7889744677</v>
      </c>
      <c r="M289" s="458">
        <f t="shared" si="19"/>
        <v>-1057616.0150000001</v>
      </c>
      <c r="N289" s="500">
        <f t="shared" si="20"/>
        <v>101247.77397446753</v>
      </c>
      <c r="P289" s="503">
        <f>Taulukko3[[#This Row],[Vieraskieliset (2023)]]*$P$9</f>
        <v>30269.91</v>
      </c>
      <c r="Q289" s="459"/>
      <c r="R289" s="530">
        <f t="shared" si="21"/>
        <v>2246749.7139744679</v>
      </c>
    </row>
    <row r="290" spans="1:18">
      <c r="A290" s="474">
        <v>918</v>
      </c>
      <c r="B290" s="474" t="s">
        <v>288</v>
      </c>
      <c r="C290" s="459">
        <v>1184</v>
      </c>
      <c r="D290" s="459">
        <v>115</v>
      </c>
      <c r="E290" s="459">
        <v>123</v>
      </c>
      <c r="G290" s="523">
        <f>Taulukko3[[#This Row],[Väestö, 18-64-vuotiaat (2023)]]*Taulukko412[Perushinnat, €]</f>
        <v>98840.320000000007</v>
      </c>
      <c r="H290" s="491">
        <f>Taulukko3[[#This Row],[Työttömät ja palveluissa olevat (2023)]]*Taulukko412[[ ]]</f>
        <v>84447.950000000012</v>
      </c>
      <c r="I290" s="491">
        <f>Taulukko3[[#This Row],[Vieraskieliset (2023)]]*Taulukko412[[  ]]</f>
        <v>10238.519999999999</v>
      </c>
      <c r="J290" s="500">
        <f t="shared" si="18"/>
        <v>193526.79</v>
      </c>
      <c r="K290" s="491"/>
      <c r="L290" s="497">
        <f>'TE25 Palveluiden kustannusarvio'!U283</f>
        <v>96857.404550747699</v>
      </c>
      <c r="M290" s="458">
        <f t="shared" si="19"/>
        <v>-96763.395000000004</v>
      </c>
      <c r="N290" s="500">
        <f t="shared" si="20"/>
        <v>94.009550747694448</v>
      </c>
      <c r="P290" s="503">
        <f>Taulukko3[[#This Row],[Vieraskieliset (2023)]]*$P$9</f>
        <v>3890.49</v>
      </c>
      <c r="Q290" s="459"/>
      <c r="R290" s="530">
        <f t="shared" si="21"/>
        <v>197511.28955074769</v>
      </c>
    </row>
    <row r="291" spans="1:18">
      <c r="A291" s="474">
        <v>921</v>
      </c>
      <c r="B291" s="474" t="s">
        <v>289</v>
      </c>
      <c r="C291" s="459">
        <v>864</v>
      </c>
      <c r="D291" s="459">
        <v>104</v>
      </c>
      <c r="E291" s="459">
        <v>49</v>
      </c>
      <c r="G291" s="523">
        <f>Taulukko3[[#This Row],[Väestö, 18-64-vuotiaat (2023)]]*Taulukko412[Perushinnat, €]</f>
        <v>72126.720000000001</v>
      </c>
      <c r="H291" s="491">
        <f>Taulukko3[[#This Row],[Työttömät ja palveluissa olevat (2023)]]*Taulukko412[[ ]]</f>
        <v>76370.320000000007</v>
      </c>
      <c r="I291" s="491">
        <f>Taulukko3[[#This Row],[Vieraskieliset (2023)]]*Taulukko412[[  ]]</f>
        <v>4078.7599999999998</v>
      </c>
      <c r="J291" s="500">
        <f t="shared" si="18"/>
        <v>152575.80000000002</v>
      </c>
      <c r="K291" s="491"/>
      <c r="L291" s="497">
        <f>'TE25 Palveluiden kustannusarvio'!U284</f>
        <v>91091.818312415213</v>
      </c>
      <c r="M291" s="458">
        <f t="shared" si="19"/>
        <v>-76287.900000000009</v>
      </c>
      <c r="N291" s="500">
        <f t="shared" si="20"/>
        <v>14803.918312415204</v>
      </c>
      <c r="P291" s="503">
        <f>Taulukko3[[#This Row],[Vieraskieliset (2023)]]*$P$9</f>
        <v>1549.87</v>
      </c>
      <c r="Q291" s="459"/>
      <c r="R291" s="530">
        <f t="shared" si="21"/>
        <v>168929.58831241523</v>
      </c>
    </row>
    <row r="292" spans="1:18">
      <c r="A292" s="474">
        <v>922</v>
      </c>
      <c r="B292" s="474" t="s">
        <v>290</v>
      </c>
      <c r="C292" s="459">
        <v>2552</v>
      </c>
      <c r="D292" s="459">
        <v>196</v>
      </c>
      <c r="E292" s="459">
        <v>85</v>
      </c>
      <c r="G292" s="523">
        <f>Taulukko3[[#This Row],[Väestö, 18-64-vuotiaat (2023)]]*Taulukko412[Perushinnat, €]</f>
        <v>213040.96000000002</v>
      </c>
      <c r="H292" s="491">
        <f>Taulukko3[[#This Row],[Työttömät ja palveluissa olevat (2023)]]*Taulukko412[[ ]]</f>
        <v>143928.68000000002</v>
      </c>
      <c r="I292" s="491">
        <f>Taulukko3[[#This Row],[Vieraskieliset (2023)]]*Taulukko412[[  ]]</f>
        <v>7075.4</v>
      </c>
      <c r="J292" s="500">
        <f t="shared" si="18"/>
        <v>364045.04000000004</v>
      </c>
      <c r="K292" s="491"/>
      <c r="L292" s="497">
        <f>'TE25 Palveluiden kustannusarvio'!U285</f>
        <v>145108.01546873149</v>
      </c>
      <c r="M292" s="458">
        <f t="shared" si="19"/>
        <v>-182022.52000000002</v>
      </c>
      <c r="N292" s="500">
        <f t="shared" si="20"/>
        <v>-36914.504531268525</v>
      </c>
      <c r="P292" s="503">
        <f>Taulukko3[[#This Row],[Vieraskieliset (2023)]]*$P$9</f>
        <v>2688.5499999999997</v>
      </c>
      <c r="Q292" s="459"/>
      <c r="R292" s="530">
        <f t="shared" si="21"/>
        <v>329819.08546873153</v>
      </c>
    </row>
    <row r="293" spans="1:18">
      <c r="A293" s="474">
        <v>924</v>
      </c>
      <c r="B293" s="474" t="s">
        <v>291</v>
      </c>
      <c r="C293" s="459">
        <v>1447</v>
      </c>
      <c r="D293" s="459">
        <v>133</v>
      </c>
      <c r="E293" s="459">
        <v>87</v>
      </c>
      <c r="G293" s="523">
        <f>Taulukko3[[#This Row],[Väestö, 18-64-vuotiaat (2023)]]*Taulukko412[Perushinnat, €]</f>
        <v>120795.56000000001</v>
      </c>
      <c r="H293" s="491">
        <f>Taulukko3[[#This Row],[Työttömät ja palveluissa olevat (2023)]]*Taulukko412[[ ]]</f>
        <v>97665.89</v>
      </c>
      <c r="I293" s="491">
        <f>Taulukko3[[#This Row],[Vieraskieliset (2023)]]*Taulukko412[[  ]]</f>
        <v>7241.8799999999992</v>
      </c>
      <c r="J293" s="500">
        <f t="shared" si="18"/>
        <v>225703.33000000002</v>
      </c>
      <c r="K293" s="491"/>
      <c r="L293" s="497">
        <f>'TE25 Palveluiden kustannusarvio'!U286</f>
        <v>130110.89294726176</v>
      </c>
      <c r="M293" s="458">
        <f t="shared" si="19"/>
        <v>-112851.66500000001</v>
      </c>
      <c r="N293" s="500">
        <f t="shared" si="20"/>
        <v>17259.227947261752</v>
      </c>
      <c r="P293" s="503">
        <f>Taulukko3[[#This Row],[Vieraskieliset (2023)]]*$P$9</f>
        <v>2751.81</v>
      </c>
      <c r="Q293" s="459"/>
      <c r="R293" s="530">
        <f t="shared" si="21"/>
        <v>245714.36794726178</v>
      </c>
    </row>
    <row r="294" spans="1:18">
      <c r="A294" s="474">
        <v>925</v>
      </c>
      <c r="B294" s="474" t="s">
        <v>292</v>
      </c>
      <c r="C294" s="459">
        <v>1837</v>
      </c>
      <c r="D294" s="459">
        <v>163</v>
      </c>
      <c r="E294" s="459">
        <v>151</v>
      </c>
      <c r="G294" s="523">
        <f>Taulukko3[[#This Row],[Väestö, 18-64-vuotiaat (2023)]]*Taulukko412[Perushinnat, €]</f>
        <v>153352.76</v>
      </c>
      <c r="H294" s="491">
        <f>Taulukko3[[#This Row],[Työttömät ja palveluissa olevat (2023)]]*Taulukko412[[ ]]</f>
        <v>119695.79000000001</v>
      </c>
      <c r="I294" s="491">
        <f>Taulukko3[[#This Row],[Vieraskieliset (2023)]]*Taulukko412[[  ]]</f>
        <v>12569.24</v>
      </c>
      <c r="J294" s="500">
        <f t="shared" si="18"/>
        <v>285617.79000000004</v>
      </c>
      <c r="K294" s="491"/>
      <c r="L294" s="497">
        <f>'TE25 Palveluiden kustannusarvio'!U287</f>
        <v>125536.22696852828</v>
      </c>
      <c r="M294" s="458">
        <f t="shared" si="19"/>
        <v>-142808.89500000002</v>
      </c>
      <c r="N294" s="500">
        <f t="shared" si="20"/>
        <v>-17272.668031471738</v>
      </c>
      <c r="P294" s="503">
        <f>Taulukko3[[#This Row],[Vieraskieliset (2023)]]*$P$9</f>
        <v>4776.13</v>
      </c>
      <c r="Q294" s="459"/>
      <c r="R294" s="530">
        <f t="shared" si="21"/>
        <v>273121.25196852832</v>
      </c>
    </row>
    <row r="295" spans="1:18">
      <c r="A295" s="474">
        <v>927</v>
      </c>
      <c r="B295" s="474" t="s">
        <v>293</v>
      </c>
      <c r="C295" s="459">
        <v>16584</v>
      </c>
      <c r="D295" s="459">
        <v>1487</v>
      </c>
      <c r="E295" s="459">
        <v>2001</v>
      </c>
      <c r="G295" s="523">
        <f>Taulukko3[[#This Row],[Väestö, 18-64-vuotiaat (2023)]]*Taulukko412[Perushinnat, €]</f>
        <v>1384432.32</v>
      </c>
      <c r="H295" s="491">
        <f>Taulukko3[[#This Row],[Työttömät ja palveluissa olevat (2023)]]*Taulukko412[[ ]]</f>
        <v>1091948.71</v>
      </c>
      <c r="I295" s="491">
        <f>Taulukko3[[#This Row],[Vieraskieliset (2023)]]*Taulukko412[[  ]]</f>
        <v>166563.24</v>
      </c>
      <c r="J295" s="500">
        <f t="shared" si="18"/>
        <v>2642944.2700000005</v>
      </c>
      <c r="K295" s="491"/>
      <c r="L295" s="497">
        <f>'TE25 Palveluiden kustannusarvio'!U288</f>
        <v>1109887.9685664782</v>
      </c>
      <c r="M295" s="458">
        <f t="shared" si="19"/>
        <v>-1321472.1350000002</v>
      </c>
      <c r="N295" s="500">
        <f t="shared" si="20"/>
        <v>-211584.16643352201</v>
      </c>
      <c r="P295" s="503">
        <f>Taulukko3[[#This Row],[Vieraskieliset (2023)]]*$P$9</f>
        <v>63291.63</v>
      </c>
      <c r="Q295" s="459"/>
      <c r="R295" s="530">
        <f t="shared" si="21"/>
        <v>2494651.7335664784</v>
      </c>
    </row>
    <row r="296" spans="1:18">
      <c r="A296" s="474">
        <v>931</v>
      </c>
      <c r="B296" s="474" t="s">
        <v>294</v>
      </c>
      <c r="C296" s="459">
        <v>2777</v>
      </c>
      <c r="D296" s="459">
        <v>360</v>
      </c>
      <c r="E296" s="459">
        <v>152</v>
      </c>
      <c r="G296" s="523">
        <f>Taulukko3[[#This Row],[Väestö, 18-64-vuotiaat (2023)]]*Taulukko412[Perushinnat, €]</f>
        <v>231823.96000000002</v>
      </c>
      <c r="H296" s="491">
        <f>Taulukko3[[#This Row],[Työttömät ja palveluissa olevat (2023)]]*Taulukko412[[ ]]</f>
        <v>264358.8</v>
      </c>
      <c r="I296" s="491">
        <f>Taulukko3[[#This Row],[Vieraskieliset (2023)]]*Taulukko412[[  ]]</f>
        <v>12652.48</v>
      </c>
      <c r="J296" s="500">
        <f t="shared" si="18"/>
        <v>508835.24</v>
      </c>
      <c r="K296" s="491"/>
      <c r="L296" s="497">
        <f>'TE25 Palveluiden kustannusarvio'!U289</f>
        <v>300903.45522146835</v>
      </c>
      <c r="M296" s="458">
        <f t="shared" si="19"/>
        <v>-254417.62</v>
      </c>
      <c r="N296" s="500">
        <f t="shared" si="20"/>
        <v>46485.835221468355</v>
      </c>
      <c r="P296" s="503">
        <f>Taulukko3[[#This Row],[Vieraskieliset (2023)]]*$P$9</f>
        <v>4807.76</v>
      </c>
      <c r="Q296" s="459"/>
      <c r="R296" s="530">
        <f t="shared" si="21"/>
        <v>560128.83522146835</v>
      </c>
    </row>
    <row r="297" spans="1:18">
      <c r="A297" s="474">
        <v>934</v>
      </c>
      <c r="B297" s="474" t="s">
        <v>295</v>
      </c>
      <c r="C297" s="459">
        <v>1350</v>
      </c>
      <c r="D297" s="459">
        <v>112</v>
      </c>
      <c r="E297" s="459">
        <v>70</v>
      </c>
      <c r="G297" s="523">
        <f>Taulukko3[[#This Row],[Väestö, 18-64-vuotiaat (2023)]]*Taulukko412[Perushinnat, €]</f>
        <v>112698</v>
      </c>
      <c r="H297" s="491">
        <f>Taulukko3[[#This Row],[Työttömät ja palveluissa olevat (2023)]]*Taulukko412[[ ]]</f>
        <v>82244.960000000006</v>
      </c>
      <c r="I297" s="491">
        <f>Taulukko3[[#This Row],[Vieraskieliset (2023)]]*Taulukko412[[  ]]</f>
        <v>5826.7999999999993</v>
      </c>
      <c r="J297" s="500">
        <f t="shared" si="18"/>
        <v>200769.76</v>
      </c>
      <c r="K297" s="491"/>
      <c r="L297" s="497">
        <f>'TE25 Palveluiden kustannusarvio'!U290</f>
        <v>112929.71834073732</v>
      </c>
      <c r="M297" s="458">
        <f t="shared" si="19"/>
        <v>-100384.88</v>
      </c>
      <c r="N297" s="500">
        <f t="shared" si="20"/>
        <v>12544.838340737319</v>
      </c>
      <c r="P297" s="503">
        <f>Taulukko3[[#This Row],[Vieraskieliset (2023)]]*$P$9</f>
        <v>2214.1</v>
      </c>
      <c r="Q297" s="459"/>
      <c r="R297" s="530">
        <f t="shared" si="21"/>
        <v>215528.69834073735</v>
      </c>
    </row>
    <row r="298" spans="1:18">
      <c r="A298" s="474">
        <v>935</v>
      </c>
      <c r="B298" s="474" t="s">
        <v>296</v>
      </c>
      <c r="C298" s="459">
        <v>1500</v>
      </c>
      <c r="D298" s="459">
        <v>223</v>
      </c>
      <c r="E298" s="459">
        <v>202</v>
      </c>
      <c r="G298" s="523">
        <f>Taulukko3[[#This Row],[Väestö, 18-64-vuotiaat (2023)]]*Taulukko412[Perushinnat, €]</f>
        <v>125220</v>
      </c>
      <c r="H298" s="491">
        <f>Taulukko3[[#This Row],[Työttömät ja palveluissa olevat (2023)]]*Taulukko412[[ ]]</f>
        <v>163755.59</v>
      </c>
      <c r="I298" s="491">
        <f>Taulukko3[[#This Row],[Vieraskieliset (2023)]]*Taulukko412[[  ]]</f>
        <v>16814.48</v>
      </c>
      <c r="J298" s="500">
        <f t="shared" si="18"/>
        <v>305790.06999999995</v>
      </c>
      <c r="K298" s="491"/>
      <c r="L298" s="497">
        <f>'TE25 Palveluiden kustannusarvio'!U291</f>
        <v>187818.75686619614</v>
      </c>
      <c r="M298" s="458">
        <f t="shared" si="19"/>
        <v>-152895.03499999997</v>
      </c>
      <c r="N298" s="500">
        <f t="shared" si="20"/>
        <v>34923.721866196167</v>
      </c>
      <c r="P298" s="503">
        <f>Taulukko3[[#This Row],[Vieraskieliset (2023)]]*$P$9</f>
        <v>6389.26</v>
      </c>
      <c r="Q298" s="459"/>
      <c r="R298" s="530">
        <f t="shared" si="21"/>
        <v>347103.0518661961</v>
      </c>
    </row>
    <row r="299" spans="1:18">
      <c r="A299" s="474">
        <v>936</v>
      </c>
      <c r="B299" s="474" t="s">
        <v>297</v>
      </c>
      <c r="C299" s="459">
        <v>2955</v>
      </c>
      <c r="D299" s="459">
        <v>315</v>
      </c>
      <c r="E299" s="459">
        <v>214</v>
      </c>
      <c r="G299" s="523">
        <f>Taulukko3[[#This Row],[Väestö, 18-64-vuotiaat (2023)]]*Taulukko412[Perushinnat, €]</f>
        <v>246683.40000000002</v>
      </c>
      <c r="H299" s="491">
        <f>Taulukko3[[#This Row],[Työttömät ja palveluissa olevat (2023)]]*Taulukko412[[ ]]</f>
        <v>231313.95</v>
      </c>
      <c r="I299" s="491">
        <f>Taulukko3[[#This Row],[Vieraskieliset (2023)]]*Taulukko412[[  ]]</f>
        <v>17813.36</v>
      </c>
      <c r="J299" s="500">
        <f t="shared" si="18"/>
        <v>495810.71</v>
      </c>
      <c r="K299" s="491"/>
      <c r="L299" s="497">
        <f>'TE25 Palveluiden kustannusarvio'!U292</f>
        <v>254185.30728039419</v>
      </c>
      <c r="M299" s="458">
        <f t="shared" si="19"/>
        <v>-247905.35500000001</v>
      </c>
      <c r="N299" s="500">
        <f t="shared" si="20"/>
        <v>6279.95228039418</v>
      </c>
      <c r="P299" s="503">
        <f>Taulukko3[[#This Row],[Vieraskieliset (2023)]]*$P$9</f>
        <v>6768.82</v>
      </c>
      <c r="Q299" s="459"/>
      <c r="R299" s="530">
        <f t="shared" si="21"/>
        <v>508859.48228039424</v>
      </c>
    </row>
    <row r="300" spans="1:18">
      <c r="A300" s="474">
        <v>946</v>
      </c>
      <c r="B300" s="474" t="s">
        <v>298</v>
      </c>
      <c r="C300" s="459">
        <v>3195</v>
      </c>
      <c r="D300" s="459">
        <v>214</v>
      </c>
      <c r="E300" s="459">
        <v>431</v>
      </c>
      <c r="G300" s="523">
        <f>Taulukko3[[#This Row],[Väestö, 18-64-vuotiaat (2023)]]*Taulukko412[Perushinnat, €]</f>
        <v>266718.60000000003</v>
      </c>
      <c r="H300" s="491">
        <f>Taulukko3[[#This Row],[Työttömät ja palveluissa olevat (2023)]]*Taulukko412[[ ]]</f>
        <v>157146.62</v>
      </c>
      <c r="I300" s="491">
        <f>Taulukko3[[#This Row],[Vieraskieliset (2023)]]*Taulukko412[[  ]]</f>
        <v>35876.439999999995</v>
      </c>
      <c r="J300" s="500">
        <f t="shared" si="18"/>
        <v>459741.66000000003</v>
      </c>
      <c r="K300" s="491"/>
      <c r="L300" s="497">
        <f>'TE25 Palveluiden kustannusarvio'!U293</f>
        <v>157187.31373008245</v>
      </c>
      <c r="M300" s="458">
        <f t="shared" si="19"/>
        <v>-229870.83000000002</v>
      </c>
      <c r="N300" s="500">
        <f t="shared" si="20"/>
        <v>-72683.516269917571</v>
      </c>
      <c r="P300" s="503">
        <f>Taulukko3[[#This Row],[Vieraskieliset (2023)]]*$P$9</f>
        <v>13632.529999999999</v>
      </c>
      <c r="Q300" s="459"/>
      <c r="R300" s="530">
        <f t="shared" si="21"/>
        <v>400690.67373008246</v>
      </c>
    </row>
    <row r="301" spans="1:18">
      <c r="A301" s="474">
        <v>976</v>
      </c>
      <c r="B301" s="474" t="s">
        <v>299</v>
      </c>
      <c r="C301" s="459">
        <v>1763</v>
      </c>
      <c r="D301" s="459">
        <v>270</v>
      </c>
      <c r="E301" s="459">
        <v>140</v>
      </c>
      <c r="G301" s="523">
        <f>Taulukko3[[#This Row],[Väestö, 18-64-vuotiaat (2023)]]*Taulukko412[Perushinnat, €]</f>
        <v>147175.24000000002</v>
      </c>
      <c r="H301" s="491">
        <f>Taulukko3[[#This Row],[Työttömät ja palveluissa olevat (2023)]]*Taulukko412[[ ]]</f>
        <v>198269.1</v>
      </c>
      <c r="I301" s="491">
        <f>Taulukko3[[#This Row],[Vieraskieliset (2023)]]*Taulukko412[[  ]]</f>
        <v>11653.599999999999</v>
      </c>
      <c r="J301" s="500">
        <f t="shared" si="18"/>
        <v>357097.94</v>
      </c>
      <c r="K301" s="491"/>
      <c r="L301" s="497">
        <f>'TE25 Palveluiden kustannusarvio'!U294</f>
        <v>271803.99771257909</v>
      </c>
      <c r="M301" s="458">
        <f t="shared" si="19"/>
        <v>-178548.97</v>
      </c>
      <c r="N301" s="500">
        <f t="shared" si="20"/>
        <v>93255.027712579089</v>
      </c>
      <c r="P301" s="503">
        <f>Taulukko3[[#This Row],[Vieraskieliset (2023)]]*$P$9</f>
        <v>4428.2</v>
      </c>
      <c r="Q301" s="459"/>
      <c r="R301" s="530">
        <f t="shared" si="21"/>
        <v>454781.16771257907</v>
      </c>
    </row>
    <row r="302" spans="1:18">
      <c r="A302" s="474">
        <v>977</v>
      </c>
      <c r="B302" s="474" t="s">
        <v>300</v>
      </c>
      <c r="C302" s="459">
        <v>8287</v>
      </c>
      <c r="D302" s="459">
        <v>786</v>
      </c>
      <c r="E302" s="459">
        <v>329</v>
      </c>
      <c r="G302" s="523">
        <f>Taulukko3[[#This Row],[Väestö, 18-64-vuotiaat (2023)]]*Taulukko412[Perushinnat, €]</f>
        <v>691798.76</v>
      </c>
      <c r="H302" s="491">
        <f>Taulukko3[[#This Row],[Työttömät ja palveluissa olevat (2023)]]*Taulukko412[[ ]]</f>
        <v>577183.38</v>
      </c>
      <c r="I302" s="491">
        <f>Taulukko3[[#This Row],[Vieraskieliset (2023)]]*Taulukko412[[  ]]</f>
        <v>27385.96</v>
      </c>
      <c r="J302" s="500">
        <f t="shared" si="18"/>
        <v>1296368.1000000001</v>
      </c>
      <c r="K302" s="491"/>
      <c r="L302" s="497">
        <f>'TE25 Palveluiden kustannusarvio'!U295</f>
        <v>507499.81691835471</v>
      </c>
      <c r="M302" s="458">
        <f t="shared" si="19"/>
        <v>-648184.05000000005</v>
      </c>
      <c r="N302" s="500">
        <f t="shared" si="20"/>
        <v>-140684.23308164533</v>
      </c>
      <c r="P302" s="503">
        <f>Taulukko3[[#This Row],[Vieraskieliset (2023)]]*$P$9</f>
        <v>10406.27</v>
      </c>
      <c r="Q302" s="459"/>
      <c r="R302" s="530">
        <f t="shared" si="21"/>
        <v>1166090.1369183548</v>
      </c>
    </row>
    <row r="303" spans="1:18">
      <c r="A303" s="474">
        <v>980</v>
      </c>
      <c r="B303" s="474" t="s">
        <v>301</v>
      </c>
      <c r="C303" s="459">
        <v>18825</v>
      </c>
      <c r="D303" s="459">
        <v>1544</v>
      </c>
      <c r="E303" s="459">
        <v>1037</v>
      </c>
      <c r="G303" s="523">
        <f>Taulukko3[[#This Row],[Väestö, 18-64-vuotiaat (2023)]]*Taulukko412[Perushinnat, €]</f>
        <v>1571511</v>
      </c>
      <c r="H303" s="491">
        <f>Taulukko3[[#This Row],[Työttömät ja palveluissa olevat (2023)]]*Taulukko412[[ ]]</f>
        <v>1133805.52</v>
      </c>
      <c r="I303" s="491">
        <f>Taulukko3[[#This Row],[Vieraskieliset (2023)]]*Taulukko412[[  ]]</f>
        <v>86319.87999999999</v>
      </c>
      <c r="J303" s="500">
        <f t="shared" si="18"/>
        <v>2791636.4</v>
      </c>
      <c r="K303" s="491"/>
      <c r="L303" s="497">
        <f>'TE25 Palveluiden kustannusarvio'!U296</f>
        <v>1404073.7273907517</v>
      </c>
      <c r="M303" s="458">
        <f t="shared" si="19"/>
        <v>-1395818.2</v>
      </c>
      <c r="N303" s="500">
        <f t="shared" si="20"/>
        <v>8255.5273907517549</v>
      </c>
      <c r="P303" s="503">
        <f>Taulukko3[[#This Row],[Vieraskieliset (2023)]]*$P$9</f>
        <v>32800.31</v>
      </c>
      <c r="Q303" s="459"/>
      <c r="R303" s="530">
        <f t="shared" si="21"/>
        <v>2832692.2373907515</v>
      </c>
    </row>
    <row r="304" spans="1:18">
      <c r="A304" s="474">
        <v>981</v>
      </c>
      <c r="B304" s="474" t="s">
        <v>302</v>
      </c>
      <c r="C304" s="459">
        <v>1214</v>
      </c>
      <c r="D304" s="459">
        <v>117</v>
      </c>
      <c r="E304" s="459">
        <v>50</v>
      </c>
      <c r="G304" s="523">
        <f>Taulukko3[[#This Row],[Väestö, 18-64-vuotiaat (2023)]]*Taulukko412[Perushinnat, €]</f>
        <v>101344.72</v>
      </c>
      <c r="H304" s="491">
        <f>Taulukko3[[#This Row],[Työttömät ja palveluissa olevat (2023)]]*Taulukko412[[ ]]</f>
        <v>85916.61</v>
      </c>
      <c r="I304" s="491">
        <f>Taulukko3[[#This Row],[Vieraskieliset (2023)]]*Taulukko412[[  ]]</f>
        <v>4162</v>
      </c>
      <c r="J304" s="500">
        <f t="shared" si="18"/>
        <v>191423.33000000002</v>
      </c>
      <c r="K304" s="491"/>
      <c r="L304" s="497">
        <f>'TE25 Palveluiden kustannusarvio'!U297</f>
        <v>90156.056476419297</v>
      </c>
      <c r="M304" s="458">
        <f t="shared" si="19"/>
        <v>-95711.665000000008</v>
      </c>
      <c r="N304" s="500">
        <f t="shared" si="20"/>
        <v>-5555.6085235807113</v>
      </c>
      <c r="P304" s="503">
        <f>Taulukko3[[#This Row],[Vieraskieliset (2023)]]*$P$9</f>
        <v>1581.5</v>
      </c>
      <c r="Q304" s="459"/>
      <c r="R304" s="530">
        <f t="shared" si="21"/>
        <v>187449.2214764193</v>
      </c>
    </row>
    <row r="305" spans="1:18">
      <c r="A305" s="474">
        <v>989</v>
      </c>
      <c r="B305" s="474" t="s">
        <v>303</v>
      </c>
      <c r="C305" s="459">
        <v>2564</v>
      </c>
      <c r="D305" s="459">
        <v>309</v>
      </c>
      <c r="E305" s="459">
        <v>147</v>
      </c>
      <c r="G305" s="523">
        <f>Taulukko3[[#This Row],[Väestö, 18-64-vuotiaat (2023)]]*Taulukko412[Perushinnat, €]</f>
        <v>214042.72</v>
      </c>
      <c r="H305" s="491">
        <f>Taulukko3[[#This Row],[Työttömät ja palveluissa olevat (2023)]]*Taulukko412[[ ]]</f>
        <v>226907.97</v>
      </c>
      <c r="I305" s="491">
        <f>Taulukko3[[#This Row],[Vieraskieliset (2023)]]*Taulukko412[[  ]]</f>
        <v>12236.279999999999</v>
      </c>
      <c r="J305" s="500">
        <f t="shared" si="18"/>
        <v>453186.97</v>
      </c>
      <c r="K305" s="491"/>
      <c r="L305" s="497">
        <f>'TE25 Palveluiden kustannusarvio'!U298</f>
        <v>259249.04911484814</v>
      </c>
      <c r="M305" s="458">
        <f t="shared" si="19"/>
        <v>-226593.48499999999</v>
      </c>
      <c r="N305" s="500">
        <f t="shared" si="20"/>
        <v>32655.564114848152</v>
      </c>
      <c r="P305" s="503">
        <f>Taulukko3[[#This Row],[Vieraskieliset (2023)]]*$P$9</f>
        <v>4649.6099999999997</v>
      </c>
      <c r="Q305" s="459"/>
      <c r="R305" s="530">
        <f t="shared" si="21"/>
        <v>490492.14411484811</v>
      </c>
    </row>
    <row r="306" spans="1:18">
      <c r="A306" s="474">
        <v>992</v>
      </c>
      <c r="B306" s="474" t="s">
        <v>304</v>
      </c>
      <c r="C306" s="459">
        <v>9414</v>
      </c>
      <c r="D306" s="459">
        <v>1580</v>
      </c>
      <c r="E306" s="459">
        <v>495</v>
      </c>
      <c r="G306" s="524">
        <f>Taulukko3[[#This Row],[Väestö, 18-64-vuotiaat (2023)]]*Taulukko412[Perushinnat, €]</f>
        <v>785880.72000000009</v>
      </c>
      <c r="H306" s="525">
        <f>Taulukko3[[#This Row],[Työttömät ja palveluissa olevat (2023)]]*Taulukko412[[ ]]</f>
        <v>1160241.4000000001</v>
      </c>
      <c r="I306" s="525">
        <f>Taulukko3[[#This Row],[Vieraskieliset (2023)]]*Taulukko412[[  ]]</f>
        <v>41203.799999999996</v>
      </c>
      <c r="J306" s="526">
        <f t="shared" si="18"/>
        <v>1987325.9200000002</v>
      </c>
      <c r="K306" s="491"/>
      <c r="L306" s="527">
        <f>'TE25 Palveluiden kustannusarvio'!U299</f>
        <v>1184396.7039083724</v>
      </c>
      <c r="M306" s="528">
        <f t="shared" si="19"/>
        <v>-993662.96000000008</v>
      </c>
      <c r="N306" s="526">
        <f t="shared" si="20"/>
        <v>190733.74390837236</v>
      </c>
      <c r="P306" s="503">
        <f>Taulukko3[[#This Row],[Vieraskieliset (2023)]]*$P$9</f>
        <v>15656.85</v>
      </c>
      <c r="Q306" s="459"/>
      <c r="R306" s="531">
        <f t="shared" si="21"/>
        <v>2193716.5139083727</v>
      </c>
    </row>
  </sheetData>
  <pageMargins left="0.7" right="0.7" top="0.75" bottom="0.75" header="0.3" footer="0.3"/>
  <pageSetup paperSize="9" orientation="portrait" r:id="rId1"/>
  <legacyDrawing r:id="rId2"/>
  <tableParts count="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U299"/>
  <sheetViews>
    <sheetView zoomScale="110" zoomScaleNormal="110" workbookViewId="0"/>
  </sheetViews>
  <sheetFormatPr defaultRowHeight="14.25"/>
  <cols>
    <col min="1" max="1" width="5.75" customWidth="1"/>
    <col min="2" max="3" width="12.375" customWidth="1"/>
    <col min="4" max="4" width="21.125" customWidth="1"/>
    <col min="5" max="5" width="16" customWidth="1"/>
    <col min="6" max="6" width="14.125" customWidth="1"/>
    <col min="7" max="7" width="18.125" customWidth="1"/>
    <col min="8" max="16" width="12.375" customWidth="1"/>
    <col min="17" max="17" width="21" customWidth="1"/>
    <col min="18" max="18" width="16" customWidth="1"/>
    <col min="19" max="19" width="18.625" bestFit="1" customWidth="1"/>
    <col min="20" max="20" width="20.875" customWidth="1"/>
    <col min="21" max="21" width="18.375" customWidth="1"/>
  </cols>
  <sheetData>
    <row r="1" spans="1:21" ht="23.25">
      <c r="A1" s="314" t="s">
        <v>826</v>
      </c>
      <c r="S1" s="513"/>
      <c r="T1" s="458"/>
      <c r="U1" s="468"/>
    </row>
    <row r="2" spans="1:21">
      <c r="A2" s="451" t="s">
        <v>1192</v>
      </c>
      <c r="S2" s="513"/>
      <c r="T2" s="468">
        <f>'TE25 Palveluiden rah, koko maa'!B27</f>
        <v>589266000</v>
      </c>
    </row>
    <row r="3" spans="1:21" ht="15">
      <c r="A3" s="451" t="s">
        <v>1193</v>
      </c>
      <c r="S3" s="514"/>
      <c r="T3" s="458"/>
    </row>
    <row r="4" spans="1:21">
      <c r="A4" s="549" t="s">
        <v>1194</v>
      </c>
      <c r="R4" s="327"/>
    </row>
    <row r="5" spans="1:21" s="470" customFormat="1" ht="51">
      <c r="A5" s="462" t="s">
        <v>791</v>
      </c>
      <c r="B5" s="463" t="s">
        <v>3</v>
      </c>
      <c r="C5" s="469" t="s">
        <v>792</v>
      </c>
      <c r="D5" s="469" t="s">
        <v>822</v>
      </c>
      <c r="E5" s="469" t="s">
        <v>823</v>
      </c>
      <c r="F5" s="469" t="s">
        <v>824</v>
      </c>
      <c r="G5" s="469" t="s">
        <v>825</v>
      </c>
      <c r="H5" s="469" t="s">
        <v>827</v>
      </c>
      <c r="I5" s="469" t="s">
        <v>828</v>
      </c>
      <c r="J5" s="469" t="s">
        <v>829</v>
      </c>
      <c r="K5" s="469" t="s">
        <v>830</v>
      </c>
      <c r="L5" s="469" t="s">
        <v>831</v>
      </c>
      <c r="M5" s="469" t="s">
        <v>832</v>
      </c>
      <c r="N5" s="469" t="s">
        <v>833</v>
      </c>
      <c r="O5" s="469" t="s">
        <v>834</v>
      </c>
      <c r="P5" s="469" t="s">
        <v>805</v>
      </c>
      <c r="Q5" s="469" t="s">
        <v>1200</v>
      </c>
      <c r="R5" s="469" t="s">
        <v>1197</v>
      </c>
      <c r="S5" s="469" t="s">
        <v>835</v>
      </c>
      <c r="T5" s="469" t="s">
        <v>850</v>
      </c>
      <c r="U5" s="469" t="s">
        <v>861</v>
      </c>
    </row>
    <row r="6" spans="1:21" s="31" customFormat="1" ht="15">
      <c r="A6" s="464"/>
      <c r="B6" s="454" t="s">
        <v>797</v>
      </c>
      <c r="C6" s="471">
        <f t="shared" ref="C6:S6" si="0">SUM(C7:C299)</f>
        <v>5533611</v>
      </c>
      <c r="D6" s="471">
        <f t="shared" si="0"/>
        <v>225382762.35045242</v>
      </c>
      <c r="E6" s="471">
        <f t="shared" si="0"/>
        <v>48318905.289522178</v>
      </c>
      <c r="F6" s="472">
        <f t="shared" si="0"/>
        <v>273701667.63997453</v>
      </c>
      <c r="G6" s="471">
        <f t="shared" si="0"/>
        <v>68126526.507944882</v>
      </c>
      <c r="H6" s="471">
        <f t="shared" si="0"/>
        <v>40875915.904766999</v>
      </c>
      <c r="I6" s="471">
        <f t="shared" si="0"/>
        <v>51878077.769950069</v>
      </c>
      <c r="J6" s="471">
        <f t="shared" si="0"/>
        <v>31338709.971809343</v>
      </c>
      <c r="K6" s="471">
        <f t="shared" si="0"/>
        <v>155781133.1723505</v>
      </c>
      <c r="L6" s="471">
        <f t="shared" si="0"/>
        <v>78584641.812654316</v>
      </c>
      <c r="M6" s="471">
        <f t="shared" si="0"/>
        <v>37732309.757914282</v>
      </c>
      <c r="N6" s="471">
        <f t="shared" si="0"/>
        <v>15506752.569999998</v>
      </c>
      <c r="O6" s="472">
        <f t="shared" si="0"/>
        <v>411697540.95944542</v>
      </c>
      <c r="P6" s="472">
        <f t="shared" si="0"/>
        <v>685399208.59942019</v>
      </c>
      <c r="Q6" s="471">
        <f t="shared" si="0"/>
        <v>15559370.043976063</v>
      </c>
      <c r="R6" s="471">
        <f t="shared" si="0"/>
        <v>45150853.172832221</v>
      </c>
      <c r="S6" s="472">
        <f t="shared" si="0"/>
        <v>624688985.38261211</v>
      </c>
      <c r="T6" s="478">
        <f>SUM(T7:T299)</f>
        <v>589265999.99999964</v>
      </c>
      <c r="U6" s="480">
        <f>SUM(U7:U299)</f>
        <v>294632999.99999982</v>
      </c>
    </row>
    <row r="7" spans="1:21">
      <c r="A7" s="465">
        <v>5</v>
      </c>
      <c r="B7" s="456" t="s">
        <v>12</v>
      </c>
      <c r="C7" s="459">
        <v>9183</v>
      </c>
      <c r="D7" s="459">
        <v>257209.70527470423</v>
      </c>
      <c r="E7" s="459">
        <v>55142.155766951044</v>
      </c>
      <c r="F7" s="473">
        <f>Taulukko8[[#This Row],[Siirtyvän henkilöstön ELY-keskus ja TE-toimistokohtaiset toimintamenot]]+Taulukko8[[#This Row],[Valtakunnalliset toimintamenot]]</f>
        <v>312351.8610416553</v>
      </c>
      <c r="G7" s="459">
        <v>17136.593260708094</v>
      </c>
      <c r="H7" s="459">
        <v>10281.955956424856</v>
      </c>
      <c r="I7" s="459">
        <v>76516.338893731823</v>
      </c>
      <c r="J7" s="459">
        <v>122153.141750821</v>
      </c>
      <c r="K7" s="459">
        <v>389168.93239583331</v>
      </c>
      <c r="L7" s="459">
        <v>66828.216982662547</v>
      </c>
      <c r="M7" s="459">
        <v>44542.759825602297</v>
      </c>
      <c r="N7" s="459">
        <v>17696.505343632623</v>
      </c>
      <c r="O7" s="473">
        <f>SUM(Taulukko8[[#This Row],[Työvoimaviranomaisille siirtyvä kotoutumiskoulutus]:[Muut palvelut]])</f>
        <v>727187.85114870849</v>
      </c>
      <c r="P7" s="473">
        <f>Taulukko8[[#This Row],[Palvelut yhteensä]]+Taulukko8[[#This Row],[Toimintamenot yhteensä]]</f>
        <v>1039539.7121903638</v>
      </c>
      <c r="Q7" s="481">
        <v>0</v>
      </c>
      <c r="R7" s="481">
        <v>38187.55256152145</v>
      </c>
      <c r="S7" s="473">
        <f>Taulukko8[[#This Row],[Palvelut + toimintamenot]]-Taulukko8[[#This Row],[Poistuva velvoitetyöllistäminen]]-Taulukko8[[#This Row],[Poistuvaksi ehdotettu  palkkatuki]]</f>
        <v>1001352.1596288424</v>
      </c>
      <c r="T7" s="479">
        <f>(Taulukko8[[#This Row],[Palvelut + toimintamenot, huomioitu vuonna 2025 poistuvat tehtävät]]/$S$6)*$T$2</f>
        <v>944570.4910811662</v>
      </c>
      <c r="U7" s="481">
        <f>Taulukko8[[#This Row],[Skaalattu siirtyvän rahoituksen tasoon ]]*0.5</f>
        <v>472285.2455405831</v>
      </c>
    </row>
    <row r="8" spans="1:21">
      <c r="A8" s="465">
        <v>9</v>
      </c>
      <c r="B8" s="456" t="s">
        <v>13</v>
      </c>
      <c r="C8" s="459">
        <v>2447</v>
      </c>
      <c r="D8" s="459">
        <v>77164.399633931505</v>
      </c>
      <c r="E8" s="459">
        <v>16542.965747474766</v>
      </c>
      <c r="F8" s="473">
        <f>Taulukko8[[#This Row],[Siirtyvän henkilöstön ELY-keskus ja TE-toimistokohtaiset toimintamenot]]+Taulukko8[[#This Row],[Valtakunnalliset toimintamenot]]</f>
        <v>93707.365381406271</v>
      </c>
      <c r="G8" s="459">
        <v>0</v>
      </c>
      <c r="H8" s="459">
        <v>0</v>
      </c>
      <c r="I8" s="459">
        <v>21861.811112494808</v>
      </c>
      <c r="J8" s="459">
        <v>3214.5563618637107</v>
      </c>
      <c r="K8" s="459">
        <v>35684.943041129685</v>
      </c>
      <c r="L8" s="459">
        <v>23692.58610054871</v>
      </c>
      <c r="M8" s="459">
        <v>35878.816152958156</v>
      </c>
      <c r="N8" s="459">
        <v>5309.0539837975894</v>
      </c>
      <c r="O8" s="473">
        <f>SUM(Taulukko8[[#This Row],[Työvoimaviranomaisille siirtyvä kotoutumiskoulutus]:[Muut palvelut]])</f>
        <v>125641.76675279267</v>
      </c>
      <c r="P8" s="473">
        <f>Taulukko8[[#This Row],[Palvelut yhteensä]]+Taulukko8[[#This Row],[Toimintamenot yhteensä]]</f>
        <v>219349.13213419894</v>
      </c>
      <c r="Q8" s="481">
        <v>0</v>
      </c>
      <c r="R8" s="481">
        <v>23692.58610054871</v>
      </c>
      <c r="S8" s="473">
        <f>Taulukko8[[#This Row],[Palvelut + toimintamenot]]-Taulukko8[[#This Row],[Poistuva velvoitetyöllistäminen]]-Taulukko8[[#This Row],[Poistuvaksi ehdotettu  palkkatuki]]</f>
        <v>195656.54603365023</v>
      </c>
      <c r="T8" s="479">
        <f>(Taulukko8[[#This Row],[Palvelut + toimintamenot, huomioitu vuonna 2025 poistuvat tehtävät]]/$S$6)*$T$2</f>
        <v>184561.84269752944</v>
      </c>
      <c r="U8" s="481">
        <f>Taulukko8[[#This Row],[Skaalattu siirtyvän rahoituksen tasoon ]]*0.5</f>
        <v>92280.921348764721</v>
      </c>
    </row>
    <row r="9" spans="1:21">
      <c r="A9" s="465">
        <v>10</v>
      </c>
      <c r="B9" s="456" t="s">
        <v>14</v>
      </c>
      <c r="C9" s="459">
        <v>11102</v>
      </c>
      <c r="D9" s="459">
        <v>336561.54064339894</v>
      </c>
      <c r="E9" s="459">
        <v>72154.07707692172</v>
      </c>
      <c r="F9" s="473">
        <f>Taulukko8[[#This Row],[Siirtyvän henkilöstön ELY-keskus ja TE-toimistokohtaiset toimintamenot]]+Taulukko8[[#This Row],[Valtakunnalliset toimintamenot]]</f>
        <v>408715.61772032065</v>
      </c>
      <c r="G9" s="459">
        <v>34273.186521416188</v>
      </c>
      <c r="H9" s="459">
        <v>20563.911912849711</v>
      </c>
      <c r="I9" s="459">
        <v>32792.716668742214</v>
      </c>
      <c r="J9" s="459">
        <v>25716.450894909685</v>
      </c>
      <c r="K9" s="459">
        <v>341515.59373511904</v>
      </c>
      <c r="L9" s="459">
        <v>95468.881403803651</v>
      </c>
      <c r="M9" s="459">
        <v>72451.03854009349</v>
      </c>
      <c r="N9" s="459">
        <v>23156.058967899637</v>
      </c>
      <c r="O9" s="473">
        <f>SUM(Taulukko8[[#This Row],[Työvoimaviranomaisille siirtyvä kotoutumiskoulutus]:[Muut palvelut]])</f>
        <v>611664.65212341747</v>
      </c>
      <c r="P9" s="473">
        <f>Taulukko8[[#This Row],[Palvelut yhteensä]]+Taulukko8[[#This Row],[Toimintamenot yhteensä]]</f>
        <v>1020380.2698437381</v>
      </c>
      <c r="Q9" s="481">
        <v>19093.776280760732</v>
      </c>
      <c r="R9" s="481">
        <v>38187.552561521465</v>
      </c>
      <c r="S9" s="473">
        <f>Taulukko8[[#This Row],[Palvelut + toimintamenot]]-Taulukko8[[#This Row],[Poistuva velvoitetyöllistäminen]]-Taulukko8[[#This Row],[Poistuvaksi ehdotettu  palkkatuki]]</f>
        <v>963098.94100145588</v>
      </c>
      <c r="T9" s="479">
        <f>(Taulukko8[[#This Row],[Palvelut + toimintamenot, huomioitu vuonna 2025 poistuvat tehtävät]]/$S$6)*$T$2</f>
        <v>908486.42099966912</v>
      </c>
      <c r="U9" s="481">
        <f>Taulukko8[[#This Row],[Skaalattu siirtyvän rahoituksen tasoon ]]*0.5</f>
        <v>454243.21049983456</v>
      </c>
    </row>
    <row r="10" spans="1:21">
      <c r="A10" s="465">
        <v>16</v>
      </c>
      <c r="B10" s="456" t="s">
        <v>15</v>
      </c>
      <c r="C10" s="459">
        <v>8014</v>
      </c>
      <c r="D10" s="459">
        <v>266218.36917827994</v>
      </c>
      <c r="E10" s="459">
        <v>57073.487042699504</v>
      </c>
      <c r="F10" s="473">
        <f>Taulukko8[[#This Row],[Siirtyvän henkilöstön ELY-keskus ja TE-toimistokohtaiset toimintamenot]]+Taulukko8[[#This Row],[Valtakunnalliset toimintamenot]]</f>
        <v>323291.85622097948</v>
      </c>
      <c r="G10" s="459">
        <v>8568.296630354047</v>
      </c>
      <c r="H10" s="459">
        <v>5140.9779782124278</v>
      </c>
      <c r="I10" s="459">
        <v>43723.622224989616</v>
      </c>
      <c r="J10" s="459">
        <v>118938.58538895729</v>
      </c>
      <c r="K10" s="459">
        <v>255691.55789564361</v>
      </c>
      <c r="L10" s="459">
        <v>87515.670200690161</v>
      </c>
      <c r="M10" s="459">
        <v>35843.656724260356</v>
      </c>
      <c r="N10" s="459">
        <v>18316.318148667928</v>
      </c>
      <c r="O10" s="473">
        <f>SUM(Taulukko8[[#This Row],[Työvoimaviranomaisille siirtyvä kotoutumiskoulutus]:[Muut palvelut]])</f>
        <v>565170.38856142131</v>
      </c>
      <c r="P10" s="473">
        <f>Taulukko8[[#This Row],[Palvelut yhteensä]]+Taulukko8[[#This Row],[Toimintamenot yhteensä]]</f>
        <v>888462.24478240078</v>
      </c>
      <c r="Q10" s="481">
        <v>29171.890066896718</v>
      </c>
      <c r="R10" s="481">
        <v>29171.890066896718</v>
      </c>
      <c r="S10" s="473">
        <f>Taulukko8[[#This Row],[Palvelut + toimintamenot]]-Taulukko8[[#This Row],[Poistuva velvoitetyöllistäminen]]-Taulukko8[[#This Row],[Poistuvaksi ehdotettu  palkkatuki]]</f>
        <v>830118.46464860742</v>
      </c>
      <c r="T10" s="479">
        <f>(Taulukko8[[#This Row],[Palvelut + toimintamenot, huomioitu vuonna 2025 poistuvat tehtävät]]/$S$6)*$T$2</f>
        <v>783046.60180621431</v>
      </c>
      <c r="U10" s="481">
        <f>Taulukko8[[#This Row],[Skaalattu siirtyvän rahoituksen tasoon ]]*0.5</f>
        <v>391523.30090310716</v>
      </c>
    </row>
    <row r="11" spans="1:21">
      <c r="A11" s="465">
        <v>18</v>
      </c>
      <c r="B11" s="456" t="s">
        <v>16</v>
      </c>
      <c r="C11" s="459">
        <v>4763</v>
      </c>
      <c r="D11" s="459">
        <v>130130.10544560535</v>
      </c>
      <c r="E11" s="459">
        <v>27898.070707664847</v>
      </c>
      <c r="F11" s="473">
        <f>Taulukko8[[#This Row],[Siirtyvän henkilöstön ELY-keskus ja TE-toimistokohtaiset toimintamenot]]+Taulukko8[[#This Row],[Valtakunnalliset toimintamenot]]</f>
        <v>158028.17615327021</v>
      </c>
      <c r="G11" s="459">
        <v>0</v>
      </c>
      <c r="H11" s="459">
        <v>0</v>
      </c>
      <c r="I11" s="459">
        <v>21861.811112494808</v>
      </c>
      <c r="J11" s="459">
        <v>48218.345427955661</v>
      </c>
      <c r="K11" s="459">
        <v>109440.93216915471</v>
      </c>
      <c r="L11" s="459">
        <v>56236.531457461664</v>
      </c>
      <c r="M11" s="459">
        <v>16627.52576558345</v>
      </c>
      <c r="N11" s="459">
        <v>8953.1928973137001</v>
      </c>
      <c r="O11" s="473">
        <f>SUM(Taulukko8[[#This Row],[Työvoimaviranomaisille siirtyvä kotoutumiskoulutus]:[Muut palvelut]])</f>
        <v>261338.33882996396</v>
      </c>
      <c r="P11" s="473">
        <f>Taulukko8[[#This Row],[Palvelut yhteensä]]+Taulukko8[[#This Row],[Toimintamenot yhteensä]]</f>
        <v>419366.51498323417</v>
      </c>
      <c r="Q11" s="481">
        <v>11247.306291492334</v>
      </c>
      <c r="R11" s="481">
        <v>33741.918874477</v>
      </c>
      <c r="S11" s="473">
        <f>Taulukko8[[#This Row],[Palvelut + toimintamenot]]-Taulukko8[[#This Row],[Poistuva velvoitetyöllistäminen]]-Taulukko8[[#This Row],[Poistuvaksi ehdotettu  palkkatuki]]</f>
        <v>374377.28981726489</v>
      </c>
      <c r="T11" s="479">
        <f>(Taulukko8[[#This Row],[Palvelut + toimintamenot, huomioitu vuonna 2025 poistuvat tehtävät]]/$S$6)*$T$2</f>
        <v>353148.22771581548</v>
      </c>
      <c r="U11" s="481">
        <f>Taulukko8[[#This Row],[Skaalattu siirtyvän rahoituksen tasoon ]]*0.5</f>
        <v>176574.11385790774</v>
      </c>
    </row>
    <row r="12" spans="1:21">
      <c r="A12" s="465">
        <v>19</v>
      </c>
      <c r="B12" s="456" t="s">
        <v>17</v>
      </c>
      <c r="C12" s="459">
        <v>3965</v>
      </c>
      <c r="D12" s="459">
        <v>93030.004942805666</v>
      </c>
      <c r="E12" s="459">
        <v>19944.329153822651</v>
      </c>
      <c r="F12" s="473">
        <f>Taulukko8[[#This Row],[Siirtyvän henkilöstön ELY-keskus ja TE-toimistokohtaiset toimintamenot]]+Taulukko8[[#This Row],[Valtakunnalliset toimintamenot]]</f>
        <v>112974.33409662831</v>
      </c>
      <c r="G12" s="459">
        <v>8568.2966303540506</v>
      </c>
      <c r="H12" s="459">
        <v>5140.9779782124306</v>
      </c>
      <c r="I12" s="459">
        <v>10930.905556247404</v>
      </c>
      <c r="J12" s="459">
        <v>25716.450894909685</v>
      </c>
      <c r="K12" s="459">
        <v>61124.813882245704</v>
      </c>
      <c r="L12" s="459">
        <v>27913.010114359684</v>
      </c>
      <c r="M12" s="459">
        <v>43284.391661887079</v>
      </c>
      <c r="N12" s="459">
        <v>6400.6370903860252</v>
      </c>
      <c r="O12" s="473">
        <f>SUM(Taulukko8[[#This Row],[Työvoimaviranomaisille siirtyvä kotoutumiskoulutus]:[Muut palvelut]])</f>
        <v>180511.18717824802</v>
      </c>
      <c r="P12" s="473">
        <f>Taulukko8[[#This Row],[Palvelut yhteensä]]+Taulukko8[[#This Row],[Toimintamenot yhteensä]]</f>
        <v>293485.52127487632</v>
      </c>
      <c r="Q12" s="481">
        <v>6978.252528589921</v>
      </c>
      <c r="R12" s="481">
        <v>13956.505057179842</v>
      </c>
      <c r="S12" s="473">
        <f>Taulukko8[[#This Row],[Palvelut + toimintamenot]]-Taulukko8[[#This Row],[Poistuva velvoitetyöllistäminen]]-Taulukko8[[#This Row],[Poistuvaksi ehdotettu  palkkatuki]]</f>
        <v>272550.76368910656</v>
      </c>
      <c r="T12" s="479">
        <f>(Taulukko8[[#This Row],[Palvelut + toimintamenot, huomioitu vuonna 2025 poistuvat tehtävät]]/$S$6)*$T$2</f>
        <v>257095.77417577984</v>
      </c>
      <c r="U12" s="481">
        <f>Taulukko8[[#This Row],[Skaalattu siirtyvän rahoituksen tasoon ]]*0.5</f>
        <v>128547.88708788992</v>
      </c>
    </row>
    <row r="13" spans="1:21">
      <c r="A13" s="465">
        <v>20</v>
      </c>
      <c r="B13" s="456" t="s">
        <v>18</v>
      </c>
      <c r="C13" s="459">
        <v>16473</v>
      </c>
      <c r="D13" s="459">
        <v>620755.57218626328</v>
      </c>
      <c r="E13" s="459">
        <v>133081.29418421348</v>
      </c>
      <c r="F13" s="473">
        <f>Taulukko8[[#This Row],[Siirtyvän henkilöstön ELY-keskus ja TE-toimistokohtaiset toimintamenot]]+Taulukko8[[#This Row],[Valtakunnalliset toimintamenot]]</f>
        <v>753836.86637047678</v>
      </c>
      <c r="G13" s="459">
        <v>42841.483151770233</v>
      </c>
      <c r="H13" s="459">
        <v>25704.889891062139</v>
      </c>
      <c r="I13" s="459">
        <v>120239.96111872145</v>
      </c>
      <c r="J13" s="459">
        <v>19287.338171182266</v>
      </c>
      <c r="K13" s="459">
        <v>436996.70306305587</v>
      </c>
      <c r="L13" s="459">
        <v>167342.21421968221</v>
      </c>
      <c r="M13" s="459">
        <v>118952.2387515014</v>
      </c>
      <c r="N13" s="459">
        <v>42709.136066819701</v>
      </c>
      <c r="O13" s="473">
        <f>SUM(Taulukko8[[#This Row],[Työvoimaviranomaisille siirtyvä kotoutumiskoulutus]:[Muut palvelut]])</f>
        <v>931232.48128202511</v>
      </c>
      <c r="P13" s="473">
        <f>Taulukko8[[#This Row],[Palvelut yhteensä]]+Taulukko8[[#This Row],[Toimintamenot yhteensä]]</f>
        <v>1685069.3476525019</v>
      </c>
      <c r="Q13" s="481">
        <v>33468.442843936442</v>
      </c>
      <c r="R13" s="481">
        <v>93711.63996302204</v>
      </c>
      <c r="S13" s="473">
        <f>Taulukko8[[#This Row],[Palvelut + toimintamenot]]-Taulukko8[[#This Row],[Poistuva velvoitetyöllistäminen]]-Taulukko8[[#This Row],[Poistuvaksi ehdotettu  palkkatuki]]</f>
        <v>1557889.2648455435</v>
      </c>
      <c r="T13" s="479">
        <f>(Taulukko8[[#This Row],[Palvelut + toimintamenot, huomioitu vuonna 2025 poistuvat tehtävät]]/$S$6)*$T$2</f>
        <v>1469549.162894567</v>
      </c>
      <c r="U13" s="481">
        <f>Taulukko8[[#This Row],[Skaalattu siirtyvän rahoituksen tasoon ]]*0.5</f>
        <v>734774.5814472835</v>
      </c>
    </row>
    <row r="14" spans="1:21">
      <c r="A14" s="465">
        <v>46</v>
      </c>
      <c r="B14" s="456" t="s">
        <v>19</v>
      </c>
      <c r="C14" s="459">
        <v>1341</v>
      </c>
      <c r="D14" s="459">
        <v>51209.805017782302</v>
      </c>
      <c r="E14" s="459">
        <v>10978.664440635541</v>
      </c>
      <c r="F14" s="473">
        <f>Taulukko8[[#This Row],[Siirtyvän henkilöstön ELY-keskus ja TE-toimistokohtaiset toimintamenot]]+Taulukko8[[#This Row],[Valtakunnalliset toimintamenot]]</f>
        <v>62188.469458417843</v>
      </c>
      <c r="G14" s="459">
        <v>0</v>
      </c>
      <c r="H14" s="459">
        <v>0</v>
      </c>
      <c r="I14" s="459">
        <v>43723.622224989616</v>
      </c>
      <c r="J14" s="459">
        <v>6429.1127237274213</v>
      </c>
      <c r="K14" s="459">
        <v>23400.415618872546</v>
      </c>
      <c r="L14" s="459">
        <v>25381.338863232901</v>
      </c>
      <c r="M14" s="459">
        <v>5031.0266037735855</v>
      </c>
      <c r="N14" s="459">
        <v>3523.3296783093615</v>
      </c>
      <c r="O14" s="473">
        <f>SUM(Taulukko8[[#This Row],[Työvoimaviranomaisille siirtyvä kotoutumiskoulutus]:[Muut palvelut]])</f>
        <v>107488.84571290544</v>
      </c>
      <c r="P14" s="473">
        <f>Taulukko8[[#This Row],[Palvelut yhteensä]]+Taulukko8[[#This Row],[Toimintamenot yhteensä]]</f>
        <v>169677.31517132328</v>
      </c>
      <c r="Q14" s="481">
        <v>0</v>
      </c>
      <c r="R14" s="481">
        <v>16920.8925754886</v>
      </c>
      <c r="S14" s="473">
        <f>Taulukko8[[#This Row],[Palvelut + toimintamenot]]-Taulukko8[[#This Row],[Poistuva velvoitetyöllistäminen]]-Taulukko8[[#This Row],[Poistuvaksi ehdotettu  palkkatuki]]</f>
        <v>152756.42259583468</v>
      </c>
      <c r="T14" s="479">
        <f>(Taulukko8[[#This Row],[Palvelut + toimintamenot, huomioitu vuonna 2025 poistuvat tehtävät]]/$S$6)*$T$2</f>
        <v>144094.37051659374</v>
      </c>
      <c r="U14" s="481">
        <f>Taulukko8[[#This Row],[Skaalattu siirtyvän rahoituksen tasoon ]]*0.5</f>
        <v>72047.185258296871</v>
      </c>
    </row>
    <row r="15" spans="1:21">
      <c r="A15" s="465">
        <v>47</v>
      </c>
      <c r="B15" s="456" t="s">
        <v>20</v>
      </c>
      <c r="C15" s="459">
        <v>1811</v>
      </c>
      <c r="D15" s="459">
        <v>75866.818708276085</v>
      </c>
      <c r="E15" s="459">
        <v>16264.782583871749</v>
      </c>
      <c r="F15" s="473">
        <f>Taulukko8[[#This Row],[Siirtyvän henkilöstön ELY-keskus ja TE-toimistokohtaiset toimintamenot]]+Taulukko8[[#This Row],[Valtakunnalliset toimintamenot]]</f>
        <v>92131.60129214784</v>
      </c>
      <c r="G15" s="459">
        <v>8568.296630354047</v>
      </c>
      <c r="H15" s="459">
        <v>5140.9779782124278</v>
      </c>
      <c r="I15" s="459">
        <v>0</v>
      </c>
      <c r="J15" s="459">
        <v>22501.894533045976</v>
      </c>
      <c r="K15" s="459">
        <v>34014.821202865765</v>
      </c>
      <c r="L15" s="459">
        <v>19307.000280340773</v>
      </c>
      <c r="M15" s="459">
        <v>19951.157851851851</v>
      </c>
      <c r="N15" s="459">
        <v>5219.7780065939587</v>
      </c>
      <c r="O15" s="473">
        <f>SUM(Taulukko8[[#This Row],[Työvoimaviranomaisille siirtyvä kotoutumiskoulutus]:[Muut palvelut]])</f>
        <v>106135.62985291074</v>
      </c>
      <c r="P15" s="473">
        <f>Taulukko8[[#This Row],[Palvelut yhteensä]]+Taulukko8[[#This Row],[Toimintamenot yhteensä]]</f>
        <v>198267.23114505858</v>
      </c>
      <c r="Q15" s="481">
        <v>9653.5001401703867</v>
      </c>
      <c r="R15" s="481">
        <v>9653.5001401703867</v>
      </c>
      <c r="S15" s="473">
        <f>Taulukko8[[#This Row],[Palvelut + toimintamenot]]-Taulukko8[[#This Row],[Poistuva velvoitetyöllistäminen]]-Taulukko8[[#This Row],[Poistuvaksi ehdotettu  palkkatuki]]</f>
        <v>178960.2308647178</v>
      </c>
      <c r="T15" s="479">
        <f>(Taulukko8[[#This Row],[Palvelut + toimintamenot, huomioitu vuonna 2025 poistuvat tehtävät]]/$S$6)*$T$2</f>
        <v>168812.29198580983</v>
      </c>
      <c r="U15" s="481">
        <f>Taulukko8[[#This Row],[Skaalattu siirtyvän rahoituksen tasoon ]]*0.5</f>
        <v>84406.145992904916</v>
      </c>
    </row>
    <row r="16" spans="1:21">
      <c r="A16" s="465">
        <v>49</v>
      </c>
      <c r="B16" s="456" t="s">
        <v>21</v>
      </c>
      <c r="C16" s="459">
        <v>305274</v>
      </c>
      <c r="D16" s="459">
        <v>11928506.692192316</v>
      </c>
      <c r="E16" s="459">
        <v>2557304.6451940225</v>
      </c>
      <c r="F16" s="473">
        <f>Taulukko8[[#This Row],[Siirtyvän henkilöstön ELY-keskus ja TE-toimistokohtaiset toimintamenot]]+Taulukko8[[#This Row],[Valtakunnalliset toimintamenot]]</f>
        <v>14485811.337386338</v>
      </c>
      <c r="G16" s="459">
        <v>8182723.281988115</v>
      </c>
      <c r="H16" s="459">
        <v>4909633.969192869</v>
      </c>
      <c r="I16" s="459">
        <v>4744013.0114113735</v>
      </c>
      <c r="J16" s="459">
        <v>1118665.6139285713</v>
      </c>
      <c r="K16" s="459">
        <v>6332981.9415217526</v>
      </c>
      <c r="L16" s="459">
        <v>2238213.9520069743</v>
      </c>
      <c r="M16" s="459">
        <v>2209275.55742638</v>
      </c>
      <c r="N16" s="459">
        <v>820703.41083936999</v>
      </c>
      <c r="O16" s="473">
        <f>SUM(Taulukko8[[#This Row],[Työvoimaviranomaisille siirtyvä kotoutumiskoulutus]:[Muut palvelut]])</f>
        <v>22373487.456327289</v>
      </c>
      <c r="P16" s="473">
        <f>Taulukko8[[#This Row],[Palvelut yhteensä]]+Taulukko8[[#This Row],[Toimintamenot yhteensä]]</f>
        <v>36859298.793713629</v>
      </c>
      <c r="Q16" s="481">
        <v>506128.78311715502</v>
      </c>
      <c r="R16" s="481">
        <v>1405913.2864365417</v>
      </c>
      <c r="S16" s="473">
        <f>Taulukko8[[#This Row],[Palvelut + toimintamenot]]-Taulukko8[[#This Row],[Poistuva velvoitetyöllistäminen]]-Taulukko8[[#This Row],[Poistuvaksi ehdotettu  palkkatuki]]</f>
        <v>34947256.724159934</v>
      </c>
      <c r="T16" s="479">
        <f>(Taulukko8[[#This Row],[Palvelut + toimintamenot, huomioitu vuonna 2025 poistuvat tehtävät]]/$S$6)*$T$2</f>
        <v>32965572.729293123</v>
      </c>
      <c r="U16" s="481">
        <f>Taulukko8[[#This Row],[Skaalattu siirtyvän rahoituksen tasoon ]]*0.5</f>
        <v>16482786.364646561</v>
      </c>
    </row>
    <row r="17" spans="1:21">
      <c r="A17" s="465">
        <v>50</v>
      </c>
      <c r="B17" s="456" t="s">
        <v>22</v>
      </c>
      <c r="C17" s="459">
        <v>11276</v>
      </c>
      <c r="D17" s="459">
        <v>307651.67570803908</v>
      </c>
      <c r="E17" s="459">
        <v>65956.207234628833</v>
      </c>
      <c r="F17" s="473">
        <f>Taulukko8[[#This Row],[Siirtyvän henkilöstön ELY-keskus ja TE-toimistokohtaiset toimintamenot]]+Taulukko8[[#This Row],[Valtakunnalliset toimintamenot]]</f>
        <v>373607.88294266793</v>
      </c>
      <c r="G17" s="459">
        <v>8568.296630354047</v>
      </c>
      <c r="H17" s="459">
        <v>5140.9779782124278</v>
      </c>
      <c r="I17" s="459">
        <v>109309.05556247404</v>
      </c>
      <c r="J17" s="459">
        <v>38574.676342364532</v>
      </c>
      <c r="K17" s="459">
        <v>160138.14143872933</v>
      </c>
      <c r="L17" s="459">
        <v>52740.52258313998</v>
      </c>
      <c r="M17" s="459">
        <v>27242.466640540537</v>
      </c>
      <c r="N17" s="459">
        <v>21167.006576715983</v>
      </c>
      <c r="O17" s="473">
        <f>SUM(Taulukko8[[#This Row],[Työvoimaviranomaisille siirtyvä kotoutumiskoulutus]:[Muut palvelut]])</f>
        <v>414312.84712217684</v>
      </c>
      <c r="P17" s="473">
        <f>Taulukko8[[#This Row],[Palvelut yhteensä]]+Taulukko8[[#This Row],[Toimintamenot yhteensä]]</f>
        <v>787920.73006484471</v>
      </c>
      <c r="Q17" s="481">
        <v>26370.26129156999</v>
      </c>
      <c r="R17" s="481">
        <v>17580.174194379993</v>
      </c>
      <c r="S17" s="473">
        <f>Taulukko8[[#This Row],[Palvelut + toimintamenot]]-Taulukko8[[#This Row],[Poistuva velvoitetyöllistäminen]]-Taulukko8[[#This Row],[Poistuvaksi ehdotettu  palkkatuki]]</f>
        <v>743970.29457889474</v>
      </c>
      <c r="T17" s="479">
        <f>(Taulukko8[[#This Row],[Palvelut + toimintamenot, huomioitu vuonna 2025 poistuvat tehtävät]]/$S$6)*$T$2</f>
        <v>701783.46323301364</v>
      </c>
      <c r="U17" s="481">
        <f>Taulukko8[[#This Row],[Skaalattu siirtyvän rahoituksen tasoon ]]*0.5</f>
        <v>350891.73161650682</v>
      </c>
    </row>
    <row r="18" spans="1:21">
      <c r="A18" s="465">
        <v>51</v>
      </c>
      <c r="B18" s="456" t="s">
        <v>23</v>
      </c>
      <c r="C18" s="459">
        <v>9211</v>
      </c>
      <c r="D18" s="459">
        <v>240400.67530199344</v>
      </c>
      <c r="E18" s="459">
        <v>51538.535335689958</v>
      </c>
      <c r="F18" s="473">
        <f>Taulukko8[[#This Row],[Siirtyvän henkilöstön ELY-keskus ja TE-toimistokohtaiset toimintamenot]]+Taulukko8[[#This Row],[Valtakunnalliset toimintamenot]]</f>
        <v>291939.2106376834</v>
      </c>
      <c r="G18" s="459">
        <v>8568.296630354047</v>
      </c>
      <c r="H18" s="459">
        <v>5140.9779782124278</v>
      </c>
      <c r="I18" s="459">
        <v>65585.433337484428</v>
      </c>
      <c r="J18" s="459">
        <v>38574.676342364532</v>
      </c>
      <c r="K18" s="459">
        <v>131022.11572259672</v>
      </c>
      <c r="L18" s="459">
        <v>105481.04516627996</v>
      </c>
      <c r="M18" s="459">
        <v>48416.074954054049</v>
      </c>
      <c r="N18" s="459">
        <v>16540.012868297512</v>
      </c>
      <c r="O18" s="473">
        <f>SUM(Taulukko8[[#This Row],[Työvoimaviranomaisille siirtyvä kotoutumiskoulutus]:[Muut palvelut]])</f>
        <v>410760.33636928961</v>
      </c>
      <c r="P18" s="473">
        <f>Taulukko8[[#This Row],[Palvelut yhteensä]]+Taulukko8[[#This Row],[Toimintamenot yhteensä]]</f>
        <v>702699.54700697307</v>
      </c>
      <c r="Q18" s="481">
        <v>8790.0870971899967</v>
      </c>
      <c r="R18" s="481">
        <v>70320.696777519974</v>
      </c>
      <c r="S18" s="473">
        <f>Taulukko8[[#This Row],[Palvelut + toimintamenot]]-Taulukko8[[#This Row],[Poistuva velvoitetyöllistäminen]]-Taulukko8[[#This Row],[Poistuvaksi ehdotettu  palkkatuki]]</f>
        <v>623588.76313226309</v>
      </c>
      <c r="T18" s="479">
        <f>(Taulukko8[[#This Row],[Palvelut + toimintamenot, huomioitu vuonna 2025 poistuvat tehtävät]]/$S$6)*$T$2</f>
        <v>588228.16584613372</v>
      </c>
      <c r="U18" s="481">
        <f>Taulukko8[[#This Row],[Skaalattu siirtyvän rahoituksen tasoon ]]*0.5</f>
        <v>294114.08292306686</v>
      </c>
    </row>
    <row r="19" spans="1:21">
      <c r="A19" s="465">
        <v>52</v>
      </c>
      <c r="B19" s="456" t="s">
        <v>24</v>
      </c>
      <c r="C19" s="459">
        <v>2346</v>
      </c>
      <c r="D19" s="459">
        <v>45254.622833753572</v>
      </c>
      <c r="E19" s="459">
        <v>9701.9568480446342</v>
      </c>
      <c r="F19" s="473">
        <f>Taulukko8[[#This Row],[Siirtyvän henkilöstön ELY-keskus ja TE-toimistokohtaiset toimintamenot]]+Taulukko8[[#This Row],[Valtakunnalliset toimintamenot]]</f>
        <v>54956.579681798205</v>
      </c>
      <c r="G19" s="459">
        <v>8568.296630354047</v>
      </c>
      <c r="H19" s="459">
        <v>5140.9779782124278</v>
      </c>
      <c r="I19" s="459">
        <v>21861.811112494808</v>
      </c>
      <c r="J19" s="459">
        <v>3214.5563618637107</v>
      </c>
      <c r="K19" s="459">
        <v>47653.338660714282</v>
      </c>
      <c r="L19" s="459">
        <v>19093.776280760729</v>
      </c>
      <c r="M19" s="459">
        <v>15044.690411722402</v>
      </c>
      <c r="N19" s="459">
        <v>3113.6020856844398</v>
      </c>
      <c r="O19" s="473">
        <f>SUM(Taulukko8[[#This Row],[Työvoimaviranomaisille siirtyvä kotoutumiskoulutus]:[Muut palvelut]])</f>
        <v>115122.75289145279</v>
      </c>
      <c r="P19" s="473">
        <f>Taulukko8[[#This Row],[Palvelut yhteensä]]+Taulukko8[[#This Row],[Toimintamenot yhteensä]]</f>
        <v>170079.33257325098</v>
      </c>
      <c r="Q19" s="481">
        <v>0</v>
      </c>
      <c r="R19" s="481">
        <v>9546.8881403803643</v>
      </c>
      <c r="S19" s="473">
        <f>Taulukko8[[#This Row],[Palvelut + toimintamenot]]-Taulukko8[[#This Row],[Poistuva velvoitetyöllistäminen]]-Taulukko8[[#This Row],[Poistuvaksi ehdotettu  palkkatuki]]</f>
        <v>160532.44443287063</v>
      </c>
      <c r="T19" s="479">
        <f>(Taulukko8[[#This Row],[Palvelut + toimintamenot, huomioitu vuonna 2025 poistuvat tehtävät]]/$S$6)*$T$2</f>
        <v>151429.45307934508</v>
      </c>
      <c r="U19" s="481">
        <f>Taulukko8[[#This Row],[Skaalattu siirtyvän rahoituksen tasoon ]]*0.5</f>
        <v>75714.726539672542</v>
      </c>
    </row>
    <row r="20" spans="1:21">
      <c r="A20" s="465">
        <v>61</v>
      </c>
      <c r="B20" s="456" t="s">
        <v>25</v>
      </c>
      <c r="C20" s="459">
        <v>16459</v>
      </c>
      <c r="D20" s="459">
        <v>742606.1589732141</v>
      </c>
      <c r="E20" s="459">
        <v>159204.35213696182</v>
      </c>
      <c r="F20" s="473">
        <f>Taulukko8[[#This Row],[Siirtyvän henkilöstön ELY-keskus ja TE-toimistokohtaiset toimintamenot]]+Taulukko8[[#This Row],[Valtakunnalliset toimintamenot]]</f>
        <v>901810.51111017587</v>
      </c>
      <c r="G20" s="459">
        <v>291322.08543203759</v>
      </c>
      <c r="H20" s="459">
        <v>174793.25125922254</v>
      </c>
      <c r="I20" s="459">
        <v>120239.96111872145</v>
      </c>
      <c r="J20" s="459">
        <v>144655.03628386697</v>
      </c>
      <c r="K20" s="459">
        <v>525204.28108294366</v>
      </c>
      <c r="L20" s="459">
        <v>340338.71744712844</v>
      </c>
      <c r="M20" s="459">
        <v>92462.978324260359</v>
      </c>
      <c r="N20" s="459">
        <v>51092.682705921245</v>
      </c>
      <c r="O20" s="473">
        <f>SUM(Taulukko8[[#This Row],[Työvoimaviranomaisille siirtyvä kotoutumiskoulutus]:[Muut palvelut]])</f>
        <v>1448786.9082220646</v>
      </c>
      <c r="P20" s="473">
        <f>Taulukko8[[#This Row],[Palvelut yhteensä]]+Taulukko8[[#This Row],[Toimintamenot yhteensä]]</f>
        <v>2350597.4193322407</v>
      </c>
      <c r="Q20" s="481">
        <v>29171.890066896725</v>
      </c>
      <c r="R20" s="481">
        <v>145859.45033448361</v>
      </c>
      <c r="S20" s="473">
        <f>Taulukko8[[#This Row],[Palvelut + toimintamenot]]-Taulukko8[[#This Row],[Poistuva velvoitetyöllistäminen]]-Taulukko8[[#This Row],[Poistuvaksi ehdotettu  palkkatuki]]</f>
        <v>2175566.0789308604</v>
      </c>
      <c r="T20" s="479">
        <f>(Taulukko8[[#This Row],[Palvelut + toimintamenot, huomioitu vuonna 2025 poistuvat tehtävät]]/$S$6)*$T$2</f>
        <v>2052200.6167310211</v>
      </c>
      <c r="U20" s="481">
        <f>Taulukko8[[#This Row],[Skaalattu siirtyvän rahoituksen tasoon ]]*0.5</f>
        <v>1026100.3083655105</v>
      </c>
    </row>
    <row r="21" spans="1:21">
      <c r="A21" s="465">
        <v>69</v>
      </c>
      <c r="B21" s="456" t="s">
        <v>26</v>
      </c>
      <c r="C21" s="459">
        <v>6687</v>
      </c>
      <c r="D21" s="459">
        <v>205324.32486672976</v>
      </c>
      <c r="E21" s="459">
        <v>44018.657431503838</v>
      </c>
      <c r="F21" s="473">
        <f>Taulukko8[[#This Row],[Siirtyvän henkilöstön ELY-keskus ja TE-toimistokohtaiset toimintamenot]]+Taulukko8[[#This Row],[Valtakunnalliset toimintamenot]]</f>
        <v>249342.9822982336</v>
      </c>
      <c r="G21" s="459">
        <v>8568.296630354047</v>
      </c>
      <c r="H21" s="459">
        <v>5140.9779782124278</v>
      </c>
      <c r="I21" s="459">
        <v>10930.905556247404</v>
      </c>
      <c r="J21" s="459">
        <v>19287.338171182266</v>
      </c>
      <c r="K21" s="459">
        <v>115976.06488367148</v>
      </c>
      <c r="L21" s="459">
        <v>110565.40180256063</v>
      </c>
      <c r="M21" s="459">
        <v>56939.637673881676</v>
      </c>
      <c r="N21" s="459">
        <v>14126.694823981006</v>
      </c>
      <c r="O21" s="473">
        <f>SUM(Taulukko8[[#This Row],[Työvoimaviranomaisille siirtyvä kotoutumiskoulutus]:[Muut palvelut]])</f>
        <v>332967.02088973694</v>
      </c>
      <c r="P21" s="473">
        <f>Taulukko8[[#This Row],[Palvelut yhteensä]]+Taulukko8[[#This Row],[Toimintamenot yhteensä]]</f>
        <v>582310.00318797049</v>
      </c>
      <c r="Q21" s="481">
        <v>31590.114800731608</v>
      </c>
      <c r="R21" s="481">
        <v>39487.643500914513</v>
      </c>
      <c r="S21" s="473">
        <f>Taulukko8[[#This Row],[Palvelut + toimintamenot]]-Taulukko8[[#This Row],[Poistuva velvoitetyöllistäminen]]-Taulukko8[[#This Row],[Poistuvaksi ehdotettu  palkkatuki]]</f>
        <v>511232.24488632433</v>
      </c>
      <c r="T21" s="479">
        <f>(Taulukko8[[#This Row],[Palvelut + toimintamenot, huomioitu vuonna 2025 poistuvat tehtävät]]/$S$6)*$T$2</f>
        <v>482242.82333179424</v>
      </c>
      <c r="U21" s="481">
        <f>Taulukko8[[#This Row],[Skaalattu siirtyvän rahoituksen tasoon ]]*0.5</f>
        <v>241121.41166589712</v>
      </c>
    </row>
    <row r="22" spans="1:21">
      <c r="A22" s="465">
        <v>71</v>
      </c>
      <c r="B22" s="456" t="s">
        <v>27</v>
      </c>
      <c r="C22" s="459">
        <v>6591</v>
      </c>
      <c r="D22" s="459">
        <v>201342.29899854862</v>
      </c>
      <c r="E22" s="459">
        <v>43164.966897327613</v>
      </c>
      <c r="F22" s="473">
        <f>Taulukko8[[#This Row],[Siirtyvän henkilöstön ELY-keskus ja TE-toimistokohtaiset toimintamenot]]+Taulukko8[[#This Row],[Valtakunnalliset toimintamenot]]</f>
        <v>244507.26589587622</v>
      </c>
      <c r="G22" s="459">
        <v>8568.296630354047</v>
      </c>
      <c r="H22" s="459">
        <v>5140.9779782124278</v>
      </c>
      <c r="I22" s="459">
        <v>10930.905556247404</v>
      </c>
      <c r="J22" s="459">
        <v>3214.5563618637107</v>
      </c>
      <c r="K22" s="459">
        <v>133818.53640423631</v>
      </c>
      <c r="L22" s="459">
        <v>126360.45920292645</v>
      </c>
      <c r="M22" s="459">
        <v>7408.9973160173167</v>
      </c>
      <c r="N22" s="459">
        <v>13852.724049901972</v>
      </c>
      <c r="O22" s="473">
        <f>SUM(Taulukko8[[#This Row],[Työvoimaviranomaisille siirtyvä kotoutumiskoulutus]:[Muut palvelut]])</f>
        <v>300727.15686940565</v>
      </c>
      <c r="P22" s="473">
        <f>Taulukko8[[#This Row],[Palvelut yhteensä]]+Taulukko8[[#This Row],[Toimintamenot yhteensä]]</f>
        <v>545234.42276528187</v>
      </c>
      <c r="Q22" s="481">
        <v>15795.057400365806</v>
      </c>
      <c r="R22" s="481">
        <v>71077.758301646129</v>
      </c>
      <c r="S22" s="473">
        <f>Taulukko8[[#This Row],[Palvelut + toimintamenot]]-Taulukko8[[#This Row],[Poistuva velvoitetyöllistäminen]]-Taulukko8[[#This Row],[Poistuvaksi ehdotettu  palkkatuki]]</f>
        <v>458361.60706326994</v>
      </c>
      <c r="T22" s="479">
        <f>(Taulukko8[[#This Row],[Palvelut + toimintamenot, huomioitu vuonna 2025 poistuvat tehtävät]]/$S$6)*$T$2</f>
        <v>432370.21472743712</v>
      </c>
      <c r="U22" s="481">
        <f>Taulukko8[[#This Row],[Skaalattu siirtyvän rahoituksen tasoon ]]*0.5</f>
        <v>216185.10736371856</v>
      </c>
    </row>
    <row r="23" spans="1:21">
      <c r="A23" s="465">
        <v>72</v>
      </c>
      <c r="B23" s="456" t="s">
        <v>28</v>
      </c>
      <c r="C23" s="459">
        <v>960</v>
      </c>
      <c r="D23" s="459">
        <v>31981.203273149804</v>
      </c>
      <c r="E23" s="459">
        <v>6856.3217341238751</v>
      </c>
      <c r="F23" s="473">
        <f>Taulukko8[[#This Row],[Siirtyvän henkilöstön ELY-keskus ja TE-toimistokohtaiset toimintamenot]]+Taulukko8[[#This Row],[Valtakunnalliset toimintamenot]]</f>
        <v>38837.525007273682</v>
      </c>
      <c r="G23" s="459">
        <v>0</v>
      </c>
      <c r="H23" s="459">
        <v>0</v>
      </c>
      <c r="I23" s="459">
        <v>10930.905556247404</v>
      </c>
      <c r="J23" s="459">
        <v>0</v>
      </c>
      <c r="K23" s="459">
        <v>17842.471520564843</v>
      </c>
      <c r="L23" s="459">
        <v>47385.172201097419</v>
      </c>
      <c r="M23" s="459">
        <v>0</v>
      </c>
      <c r="N23" s="459">
        <v>2200.3661720876621</v>
      </c>
      <c r="O23" s="473">
        <f>SUM(Taulukko8[[#This Row],[Työvoimaviranomaisille siirtyvä kotoutumiskoulutus]:[Muut palvelut]])</f>
        <v>78358.915449997323</v>
      </c>
      <c r="P23" s="473">
        <f>Taulukko8[[#This Row],[Palvelut yhteensä]]+Taulukko8[[#This Row],[Toimintamenot yhteensä]]</f>
        <v>117196.440457271</v>
      </c>
      <c r="Q23" s="481">
        <v>7897.5287001829029</v>
      </c>
      <c r="R23" s="481">
        <v>7897.5287001829029</v>
      </c>
      <c r="S23" s="473">
        <f>Taulukko8[[#This Row],[Palvelut + toimintamenot]]-Taulukko8[[#This Row],[Poistuva velvoitetyöllistäminen]]-Taulukko8[[#This Row],[Poistuvaksi ehdotettu  palkkatuki]]</f>
        <v>101401.38305690521</v>
      </c>
      <c r="T23" s="479">
        <f>(Taulukko8[[#This Row],[Palvelut + toimintamenot, huomioitu vuonna 2025 poistuvat tehtävät]]/$S$6)*$T$2</f>
        <v>95651.418204233123</v>
      </c>
      <c r="U23" s="481">
        <f>Taulukko8[[#This Row],[Skaalattu siirtyvän rahoituksen tasoon ]]*0.5</f>
        <v>47825.709102116562</v>
      </c>
    </row>
    <row r="24" spans="1:21">
      <c r="A24" s="465">
        <v>74</v>
      </c>
      <c r="B24" s="456" t="s">
        <v>29</v>
      </c>
      <c r="C24" s="459">
        <v>1052</v>
      </c>
      <c r="D24" s="459">
        <v>27421.813415112811</v>
      </c>
      <c r="E24" s="459">
        <v>5878.852452839883</v>
      </c>
      <c r="F24" s="473">
        <f>Taulukko8[[#This Row],[Siirtyvän henkilöstön ELY-keskus ja TE-toimistokohtaiset toimintamenot]]+Taulukko8[[#This Row],[Valtakunnalliset toimintamenot]]</f>
        <v>33300.665867952695</v>
      </c>
      <c r="G24" s="459">
        <v>0</v>
      </c>
      <c r="H24" s="459">
        <v>0</v>
      </c>
      <c r="I24" s="459">
        <v>10930.905556247404</v>
      </c>
      <c r="J24" s="459">
        <v>0</v>
      </c>
      <c r="K24" s="459">
        <v>55484.507235294113</v>
      </c>
      <c r="L24" s="459">
        <v>9385.6891604649118</v>
      </c>
      <c r="M24" s="459">
        <v>0</v>
      </c>
      <c r="N24" s="459">
        <v>1886.6716833813248</v>
      </c>
      <c r="O24" s="473">
        <f>SUM(Taulukko8[[#This Row],[Työvoimaviranomaisille siirtyvä kotoutumiskoulutus]:[Muut palvelut]])</f>
        <v>77687.773635387755</v>
      </c>
      <c r="P24" s="473">
        <f>Taulukko8[[#This Row],[Palvelut yhteensä]]+Taulukko8[[#This Row],[Toimintamenot yhteensä]]</f>
        <v>110988.43950334046</v>
      </c>
      <c r="Q24" s="481">
        <v>0</v>
      </c>
      <c r="R24" s="481">
        <v>9385.6891604649118</v>
      </c>
      <c r="S24" s="473">
        <f>Taulukko8[[#This Row],[Palvelut + toimintamenot]]-Taulukko8[[#This Row],[Poistuva velvoitetyöllistäminen]]-Taulukko8[[#This Row],[Poistuvaksi ehdotettu  palkkatuki]]</f>
        <v>101602.75034287554</v>
      </c>
      <c r="T24" s="479">
        <f>(Taulukko8[[#This Row],[Palvelut + toimintamenot, huomioitu vuonna 2025 poistuvat tehtävät]]/$S$6)*$T$2</f>
        <v>95841.36695939154</v>
      </c>
      <c r="U24" s="481">
        <f>Taulukko8[[#This Row],[Skaalattu siirtyvän rahoituksen tasoon ]]*0.5</f>
        <v>47920.68347969577</v>
      </c>
    </row>
    <row r="25" spans="1:21">
      <c r="A25" s="465">
        <v>75</v>
      </c>
      <c r="B25" s="456" t="s">
        <v>30</v>
      </c>
      <c r="C25" s="459">
        <v>19549</v>
      </c>
      <c r="D25" s="459">
        <v>885628.74279023998</v>
      </c>
      <c r="E25" s="459">
        <v>189866.38950684745</v>
      </c>
      <c r="F25" s="473">
        <f>Taulukko8[[#This Row],[Siirtyvän henkilöstön ELY-keskus ja TE-toimistokohtaiset toimintamenot]]+Taulukko8[[#This Row],[Valtakunnalliset toimintamenot]]</f>
        <v>1075495.1322970875</v>
      </c>
      <c r="G25" s="459">
        <v>102819.55956424857</v>
      </c>
      <c r="H25" s="459">
        <v>61691.735738549141</v>
      </c>
      <c r="I25" s="459">
        <v>98378.150006226642</v>
      </c>
      <c r="J25" s="459">
        <v>48218.345427955661</v>
      </c>
      <c r="K25" s="459">
        <v>702022.63478768989</v>
      </c>
      <c r="L25" s="459">
        <v>625561.18074448046</v>
      </c>
      <c r="M25" s="459">
        <v>69638.030903846142</v>
      </c>
      <c r="N25" s="459">
        <v>60932.902055634324</v>
      </c>
      <c r="O25" s="473">
        <f>SUM(Taulukko8[[#This Row],[Työvoimaviranomaisille siirtyvä kotoutumiskoulutus]:[Muut palvelut]])</f>
        <v>1666442.9796643823</v>
      </c>
      <c r="P25" s="473">
        <f>Taulukko8[[#This Row],[Palvelut yhteensä]]+Taulukko8[[#This Row],[Toimintamenot yhteensä]]</f>
        <v>2741938.11196147</v>
      </c>
      <c r="Q25" s="481">
        <v>83408.157432597392</v>
      </c>
      <c r="R25" s="481">
        <v>427466.80684206163</v>
      </c>
      <c r="S25" s="473">
        <f>Taulukko8[[#This Row],[Palvelut + toimintamenot]]-Taulukko8[[#This Row],[Poistuva velvoitetyöllistäminen]]-Taulukko8[[#This Row],[Poistuvaksi ehdotettu  palkkatuki]]</f>
        <v>2231063.1476868107</v>
      </c>
      <c r="T25" s="479">
        <f>(Taulukko8[[#This Row],[Palvelut + toimintamenot, huomioitu vuonna 2025 poistuvat tehtävät]]/$S$6)*$T$2</f>
        <v>2104550.7245170805</v>
      </c>
      <c r="U25" s="481">
        <f>Taulukko8[[#This Row],[Skaalattu siirtyvän rahoituksen tasoon ]]*0.5</f>
        <v>1052275.3622585402</v>
      </c>
    </row>
    <row r="26" spans="1:21">
      <c r="A26" s="465">
        <v>77</v>
      </c>
      <c r="B26" s="456" t="s">
        <v>31</v>
      </c>
      <c r="C26" s="459">
        <v>4601</v>
      </c>
      <c r="D26" s="459">
        <v>175947.2117540123</v>
      </c>
      <c r="E26" s="459">
        <v>37720.616128922717</v>
      </c>
      <c r="F26" s="473">
        <f>Taulukko8[[#This Row],[Siirtyvän henkilöstön ELY-keskus ja TE-toimistokohtaiset toimintamenot]]+Taulukko8[[#This Row],[Valtakunnalliset toimintamenot]]</f>
        <v>213667.827882935</v>
      </c>
      <c r="G26" s="459">
        <v>0</v>
      </c>
      <c r="H26" s="459">
        <v>0</v>
      </c>
      <c r="I26" s="459">
        <v>32792.716668742214</v>
      </c>
      <c r="J26" s="459">
        <v>48218.345427955661</v>
      </c>
      <c r="K26" s="459">
        <v>93681.118679280626</v>
      </c>
      <c r="L26" s="459">
        <v>163215.84758577601</v>
      </c>
      <c r="M26" s="459">
        <v>56232.911254892817</v>
      </c>
      <c r="N26" s="459">
        <v>12105.494890547419</v>
      </c>
      <c r="O26" s="473">
        <f>SUM(Taulukko8[[#This Row],[Työvoimaviranomaisille siirtyvä kotoutumiskoulutus]:[Muut palvelut]])</f>
        <v>406246.43450719473</v>
      </c>
      <c r="P26" s="473">
        <f>Taulukko8[[#This Row],[Palvelut yhteensä]]+Taulukko8[[#This Row],[Toimintamenot yhteensä]]</f>
        <v>619914.26239012973</v>
      </c>
      <c r="Q26" s="481">
        <v>19201.864421856</v>
      </c>
      <c r="R26" s="481">
        <v>115211.18653113602</v>
      </c>
      <c r="S26" s="473">
        <f>Taulukko8[[#This Row],[Palvelut + toimintamenot]]-Taulukko8[[#This Row],[Poistuva velvoitetyöllistäminen]]-Taulukko8[[#This Row],[Poistuvaksi ehdotettu  palkkatuki]]</f>
        <v>485501.21143713768</v>
      </c>
      <c r="T26" s="479">
        <f>(Taulukko8[[#This Row],[Palvelut + toimintamenot, huomioitu vuonna 2025 poistuvat tehtävät]]/$S$6)*$T$2</f>
        <v>457970.86798879789</v>
      </c>
      <c r="U26" s="481">
        <f>Taulukko8[[#This Row],[Skaalattu siirtyvän rahoituksen tasoon ]]*0.5</f>
        <v>228985.43399439895</v>
      </c>
    </row>
    <row r="27" spans="1:21">
      <c r="A27" s="465">
        <v>78</v>
      </c>
      <c r="B27" s="456" t="s">
        <v>32</v>
      </c>
      <c r="C27" s="459">
        <v>7832</v>
      </c>
      <c r="D27" s="459">
        <v>316627.60247816931</v>
      </c>
      <c r="E27" s="459">
        <v>67880.52012780933</v>
      </c>
      <c r="F27" s="473">
        <f>Taulukko8[[#This Row],[Siirtyvän henkilöstön ELY-keskus ja TE-toimistokohtaiset toimintamenot]]+Taulukko8[[#This Row],[Valtakunnalliset toimintamenot]]</f>
        <v>384508.12260597863</v>
      </c>
      <c r="G27" s="459">
        <v>25704.889891062143</v>
      </c>
      <c r="H27" s="459">
        <v>15422.933934637285</v>
      </c>
      <c r="I27" s="459">
        <v>21861.811112494808</v>
      </c>
      <c r="J27" s="459">
        <v>12858.225447454843</v>
      </c>
      <c r="K27" s="459">
        <v>196993.67790447848</v>
      </c>
      <c r="L27" s="459">
        <v>157462.28808089264</v>
      </c>
      <c r="M27" s="459">
        <v>11810.378761408083</v>
      </c>
      <c r="N27" s="459">
        <v>21784.567006179634</v>
      </c>
      <c r="O27" s="473">
        <f>SUM(Taulukko8[[#This Row],[Työvoimaviranomaisille siirtyvä kotoutumiskoulutus]:[Muut palvelut]])</f>
        <v>438193.88224754581</v>
      </c>
      <c r="P27" s="473">
        <f>Taulukko8[[#This Row],[Palvelut yhteensä]]+Taulukko8[[#This Row],[Toimintamenot yhteensä]]</f>
        <v>822702.0048535245</v>
      </c>
      <c r="Q27" s="481">
        <v>22494.612582984661</v>
      </c>
      <c r="R27" s="481">
        <v>101225.75662343099</v>
      </c>
      <c r="S27" s="473">
        <f>Taulukko8[[#This Row],[Palvelut + toimintamenot]]-Taulukko8[[#This Row],[Poistuva velvoitetyöllistäminen]]-Taulukko8[[#This Row],[Poistuvaksi ehdotettu  palkkatuki]]</f>
        <v>698981.63564710889</v>
      </c>
      <c r="T27" s="479">
        <f>(Taulukko8[[#This Row],[Palvelut + toimintamenot, huomioitu vuonna 2025 poistuvat tehtävät]]/$S$6)*$T$2</f>
        <v>659345.88595147966</v>
      </c>
      <c r="U27" s="481">
        <f>Taulukko8[[#This Row],[Skaalattu siirtyvän rahoituksen tasoon ]]*0.5</f>
        <v>329672.94297573983</v>
      </c>
    </row>
    <row r="28" spans="1:21">
      <c r="A28" s="465">
        <v>79</v>
      </c>
      <c r="B28" s="456" t="s">
        <v>33</v>
      </c>
      <c r="C28" s="459">
        <v>6753</v>
      </c>
      <c r="D28" s="459">
        <v>268203.4299062895</v>
      </c>
      <c r="E28" s="459">
        <v>57499.056240229809</v>
      </c>
      <c r="F28" s="473">
        <f>Taulukko8[[#This Row],[Siirtyvän henkilöstön ELY-keskus ja TE-toimistokohtaiset toimintamenot]]+Taulukko8[[#This Row],[Valtakunnalliset toimintamenot]]</f>
        <v>325702.48614651931</v>
      </c>
      <c r="G28" s="459">
        <v>25704.889891062143</v>
      </c>
      <c r="H28" s="459">
        <v>15422.933934637285</v>
      </c>
      <c r="I28" s="459">
        <v>54654.527781237019</v>
      </c>
      <c r="J28" s="459">
        <v>28931.007256773395</v>
      </c>
      <c r="K28" s="459">
        <v>101906.09000646412</v>
      </c>
      <c r="L28" s="459">
        <v>70320.696777519974</v>
      </c>
      <c r="M28" s="459">
        <v>4030.9286999999999</v>
      </c>
      <c r="N28" s="459">
        <v>18452.894012876233</v>
      </c>
      <c r="O28" s="473">
        <f>SUM(Taulukko8[[#This Row],[Työvoimaviranomaisille siirtyvä kotoutumiskoulutus]:[Muut palvelut]])</f>
        <v>293719.07846950809</v>
      </c>
      <c r="P28" s="473">
        <f>Taulukko8[[#This Row],[Palvelut yhteensä]]+Taulukko8[[#This Row],[Toimintamenot yhteensä]]</f>
        <v>619421.5646160274</v>
      </c>
      <c r="Q28" s="481">
        <v>43950.435485949987</v>
      </c>
      <c r="R28" s="481">
        <v>17580.174194379993</v>
      </c>
      <c r="S28" s="473">
        <f>Taulukko8[[#This Row],[Palvelut + toimintamenot]]-Taulukko8[[#This Row],[Poistuva velvoitetyöllistäminen]]-Taulukko8[[#This Row],[Poistuvaksi ehdotettu  palkkatuki]]</f>
        <v>557890.95493569749</v>
      </c>
      <c r="T28" s="479">
        <f>(Taulukko8[[#This Row],[Palvelut + toimintamenot, huomioitu vuonna 2025 poistuvat tehtävät]]/$S$6)*$T$2</f>
        <v>526255.75149173941</v>
      </c>
      <c r="U28" s="481">
        <f>Taulukko8[[#This Row],[Skaalattu siirtyvän rahoituksen tasoon ]]*0.5</f>
        <v>263127.87574586971</v>
      </c>
    </row>
    <row r="29" spans="1:21">
      <c r="A29" s="465">
        <v>81</v>
      </c>
      <c r="B29" s="456" t="s">
        <v>34</v>
      </c>
      <c r="C29" s="459">
        <v>2574</v>
      </c>
      <c r="D29" s="459">
        <v>106627.81973482329</v>
      </c>
      <c r="E29" s="459">
        <v>22859.510058644166</v>
      </c>
      <c r="F29" s="473">
        <f>Taulukko8[[#This Row],[Siirtyvän henkilöstön ELY-keskus ja TE-toimistokohtaiset toimintamenot]]+Taulukko8[[#This Row],[Valtakunnalliset toimintamenot]]</f>
        <v>129487.32979346746</v>
      </c>
      <c r="G29" s="459">
        <v>0</v>
      </c>
      <c r="H29" s="459">
        <v>0</v>
      </c>
      <c r="I29" s="459">
        <v>10930.905556247404</v>
      </c>
      <c r="J29" s="459">
        <v>16072.781809318552</v>
      </c>
      <c r="K29" s="459">
        <v>131301.07027073592</v>
      </c>
      <c r="L29" s="459">
        <v>58343.780133793443</v>
      </c>
      <c r="M29" s="459">
        <v>24885.098381065091</v>
      </c>
      <c r="N29" s="459">
        <v>7336.1919982837107</v>
      </c>
      <c r="O29" s="473">
        <f>SUM(Taulukko8[[#This Row],[Työvoimaviranomaisille siirtyvä kotoutumiskoulutus]:[Muut palvelut]])</f>
        <v>248869.8281494441</v>
      </c>
      <c r="P29" s="473">
        <f>Taulukko8[[#This Row],[Palvelut yhteensä]]+Taulukko8[[#This Row],[Toimintamenot yhteensä]]</f>
        <v>378357.15794291155</v>
      </c>
      <c r="Q29" s="481">
        <v>9723.9633556322406</v>
      </c>
      <c r="R29" s="481">
        <v>19447.926711264481</v>
      </c>
      <c r="S29" s="473">
        <f>Taulukko8[[#This Row],[Palvelut + toimintamenot]]-Taulukko8[[#This Row],[Poistuva velvoitetyöllistäminen]]-Taulukko8[[#This Row],[Poistuvaksi ehdotettu  palkkatuki]]</f>
        <v>349185.26787601481</v>
      </c>
      <c r="T29" s="479">
        <f>(Taulukko8[[#This Row],[Palvelut + toimintamenot, huomioitu vuonna 2025 poistuvat tehtävät]]/$S$6)*$T$2</f>
        <v>329384.71923624707</v>
      </c>
      <c r="U29" s="481">
        <f>Taulukko8[[#This Row],[Skaalattu siirtyvän rahoituksen tasoon ]]*0.5</f>
        <v>164692.35961812353</v>
      </c>
    </row>
    <row r="30" spans="1:21">
      <c r="A30" s="465">
        <v>82</v>
      </c>
      <c r="B30" s="456" t="s">
        <v>35</v>
      </c>
      <c r="C30" s="459">
        <v>9359</v>
      </c>
      <c r="D30" s="459">
        <v>228844.46719575478</v>
      </c>
      <c r="E30" s="459">
        <v>49061.046289197955</v>
      </c>
      <c r="F30" s="473">
        <f>Taulukko8[[#This Row],[Siirtyvän henkilöstön ELY-keskus ja TE-toimistokohtaiset toimintamenot]]+Taulukko8[[#This Row],[Valtakunnalliset toimintamenot]]</f>
        <v>277905.51348495274</v>
      </c>
      <c r="G30" s="459">
        <v>25704.889891062143</v>
      </c>
      <c r="H30" s="459">
        <v>15422.933934637285</v>
      </c>
      <c r="I30" s="459">
        <v>43723.622224989616</v>
      </c>
      <c r="J30" s="459">
        <v>35360.119980500815</v>
      </c>
      <c r="K30" s="459">
        <v>207317.47937484615</v>
      </c>
      <c r="L30" s="459">
        <v>175031.34040138032</v>
      </c>
      <c r="M30" s="459">
        <v>78536.438286390534</v>
      </c>
      <c r="N30" s="459">
        <v>15744.924291504623</v>
      </c>
      <c r="O30" s="473">
        <f>SUM(Taulukko8[[#This Row],[Työvoimaviranomaisille siirtyvä kotoutumiskoulutus]:[Muut palvelut]])</f>
        <v>571136.85849424941</v>
      </c>
      <c r="P30" s="473">
        <f>Taulukko8[[#This Row],[Palvelut yhteensä]]+Taulukko8[[#This Row],[Toimintamenot yhteensä]]</f>
        <v>849042.37197920214</v>
      </c>
      <c r="Q30" s="481">
        <v>38895.853422528955</v>
      </c>
      <c r="R30" s="481">
        <v>48619.816778161206</v>
      </c>
      <c r="S30" s="473">
        <f>Taulukko8[[#This Row],[Palvelut + toimintamenot]]-Taulukko8[[#This Row],[Poistuva velvoitetyöllistäminen]]-Taulukko8[[#This Row],[Poistuvaksi ehdotettu  palkkatuki]]</f>
        <v>761526.70177851198</v>
      </c>
      <c r="T30" s="479">
        <f>(Taulukko8[[#This Row],[Palvelut + toimintamenot, huomioitu vuonna 2025 poistuvat tehtävät]]/$S$6)*$T$2</f>
        <v>718344.33446168329</v>
      </c>
      <c r="U30" s="481">
        <f>Taulukko8[[#This Row],[Skaalattu siirtyvän rahoituksen tasoon ]]*0.5</f>
        <v>359172.16723084165</v>
      </c>
    </row>
    <row r="31" spans="1:21">
      <c r="A31" s="465">
        <v>86</v>
      </c>
      <c r="B31" s="456" t="s">
        <v>36</v>
      </c>
      <c r="C31" s="459">
        <v>8031</v>
      </c>
      <c r="D31" s="459">
        <v>239406.65688646841</v>
      </c>
      <c r="E31" s="459">
        <v>51325.431719535351</v>
      </c>
      <c r="F31" s="473">
        <f>Taulukko8[[#This Row],[Siirtyvän henkilöstön ELY-keskus ja TE-toimistokohtaiset toimintamenot]]+Taulukko8[[#This Row],[Valtakunnalliset toimintamenot]]</f>
        <v>290732.08860600379</v>
      </c>
      <c r="G31" s="459">
        <v>17136.593260708094</v>
      </c>
      <c r="H31" s="459">
        <v>10281.955956424856</v>
      </c>
      <c r="I31" s="459">
        <v>21861.811112494808</v>
      </c>
      <c r="J31" s="459">
        <v>57862.01451354679</v>
      </c>
      <c r="K31" s="459">
        <v>117479.9049790795</v>
      </c>
      <c r="L31" s="459">
        <v>175031.34040138032</v>
      </c>
      <c r="M31" s="459">
        <v>46573.924705325451</v>
      </c>
      <c r="N31" s="459">
        <v>16471.622555485555</v>
      </c>
      <c r="O31" s="473">
        <f>SUM(Taulukko8[[#This Row],[Työvoimaviranomaisille siirtyvä kotoutumiskoulutus]:[Muut palvelut]])</f>
        <v>445562.57422373729</v>
      </c>
      <c r="P31" s="473">
        <f>Taulukko8[[#This Row],[Palvelut yhteensä]]+Taulukko8[[#This Row],[Toimintamenot yhteensä]]</f>
        <v>736294.66282974114</v>
      </c>
      <c r="Q31" s="481">
        <v>19447.926711264477</v>
      </c>
      <c r="R31" s="481">
        <v>68067.743489425688</v>
      </c>
      <c r="S31" s="473">
        <f>Taulukko8[[#This Row],[Palvelut + toimintamenot]]-Taulukko8[[#This Row],[Poistuva velvoitetyöllistäminen]]-Taulukko8[[#This Row],[Poistuvaksi ehdotettu  palkkatuki]]</f>
        <v>648778.99262905098</v>
      </c>
      <c r="T31" s="479">
        <f>(Taulukko8[[#This Row],[Palvelut + toimintamenot, huomioitu vuonna 2025 poistuvat tehtävät]]/$S$6)*$T$2</f>
        <v>611989.98352179292</v>
      </c>
      <c r="U31" s="481">
        <f>Taulukko8[[#This Row],[Skaalattu siirtyvän rahoituksen tasoon ]]*0.5</f>
        <v>305994.99176089646</v>
      </c>
    </row>
    <row r="32" spans="1:21">
      <c r="A32" s="465">
        <v>90</v>
      </c>
      <c r="B32" s="456" t="s">
        <v>37</v>
      </c>
      <c r="C32" s="459">
        <v>3061</v>
      </c>
      <c r="D32" s="459">
        <v>141222.04147752692</v>
      </c>
      <c r="E32" s="459">
        <v>30276.026328647509</v>
      </c>
      <c r="F32" s="473">
        <f>Taulukko8[[#This Row],[Siirtyvän henkilöstön ELY-keskus ja TE-toimistokohtaiset toimintamenot]]+Taulukko8[[#This Row],[Valtakunnalliset toimintamenot]]</f>
        <v>171498.06780617443</v>
      </c>
      <c r="G32" s="459">
        <v>17136.593260708094</v>
      </c>
      <c r="H32" s="459">
        <v>10281.955956424856</v>
      </c>
      <c r="I32" s="459">
        <v>10930.905556247404</v>
      </c>
      <c r="J32" s="459">
        <v>9643.6690855911329</v>
      </c>
      <c r="K32" s="459">
        <v>124579.17296089765</v>
      </c>
      <c r="L32" s="459">
        <v>141332.68342724559</v>
      </c>
      <c r="M32" s="459">
        <v>22837.148787483704</v>
      </c>
      <c r="N32" s="459">
        <v>9716.3386932722624</v>
      </c>
      <c r="O32" s="473">
        <f>SUM(Taulukko8[[#This Row],[Työvoimaviranomaisille siirtyvä kotoutumiskoulutus]:[Muut palvelut]])</f>
        <v>329321.87446716259</v>
      </c>
      <c r="P32" s="473">
        <f>Taulukko8[[#This Row],[Palvelut yhteensä]]+Taulukko8[[#This Row],[Toimintamenot yhteensä]]</f>
        <v>500819.94227333704</v>
      </c>
      <c r="Q32" s="481">
        <v>10871.744879018892</v>
      </c>
      <c r="R32" s="481">
        <v>65230.469274113355</v>
      </c>
      <c r="S32" s="473">
        <f>Taulukko8[[#This Row],[Palvelut + toimintamenot]]-Taulukko8[[#This Row],[Poistuva velvoitetyöllistäminen]]-Taulukko8[[#This Row],[Poistuvaksi ehdotettu  palkkatuki]]</f>
        <v>424717.72812020482</v>
      </c>
      <c r="T32" s="479">
        <f>(Taulukko8[[#This Row],[Palvelut + toimintamenot, huomioitu vuonna 2025 poistuvat tehtävät]]/$S$6)*$T$2</f>
        <v>400634.11174953432</v>
      </c>
      <c r="U32" s="481">
        <f>Taulukko8[[#This Row],[Skaalattu siirtyvän rahoituksen tasoon ]]*0.5</f>
        <v>200317.05587476716</v>
      </c>
    </row>
    <row r="33" spans="1:21">
      <c r="A33" s="465">
        <v>91</v>
      </c>
      <c r="B33" s="456" t="s">
        <v>38</v>
      </c>
      <c r="C33" s="459">
        <v>664028</v>
      </c>
      <c r="D33" s="459">
        <v>30956941.698527265</v>
      </c>
      <c r="E33" s="459">
        <v>6636734.4085460287</v>
      </c>
      <c r="F33" s="473">
        <f>Taulukko8[[#This Row],[Siirtyvän henkilöstön ELY-keskus ja TE-toimistokohtaiset toimintamenot]]+Taulukko8[[#This Row],[Valtakunnalliset toimintamenot]]</f>
        <v>37593676.107073292</v>
      </c>
      <c r="G33" s="459">
        <v>11293014.958806634</v>
      </c>
      <c r="H33" s="459">
        <v>6775808.9752839804</v>
      </c>
      <c r="I33" s="459">
        <v>5148456.5169925271</v>
      </c>
      <c r="J33" s="459">
        <v>2642365.3294519703</v>
      </c>
      <c r="K33" s="459">
        <v>13716596.831867391</v>
      </c>
      <c r="L33" s="459">
        <v>7805630.5662956787</v>
      </c>
      <c r="M33" s="459">
        <v>5811543.4591772836</v>
      </c>
      <c r="N33" s="459">
        <v>2129895.0737703312</v>
      </c>
      <c r="O33" s="473">
        <f>SUM(Taulukko8[[#This Row],[Työvoimaviranomaisille siirtyvä kotoutumiskoulutus]:[Muut palvelut]])</f>
        <v>44030296.752839163</v>
      </c>
      <c r="P33" s="473">
        <f>Taulukko8[[#This Row],[Palvelut yhteensä]]+Taulukko8[[#This Row],[Toimintamenot yhteensä]]</f>
        <v>81623972.859912455</v>
      </c>
      <c r="Q33" s="481">
        <v>1552128.2682259418</v>
      </c>
      <c r="R33" s="481">
        <v>5173760.8940864727</v>
      </c>
      <c r="S33" s="473">
        <f>Taulukko8[[#This Row],[Palvelut + toimintamenot]]-Taulukko8[[#This Row],[Poistuva velvoitetyöllistäminen]]-Taulukko8[[#This Row],[Poistuvaksi ehdotettu  palkkatuki]]</f>
        <v>74898083.697600037</v>
      </c>
      <c r="T33" s="479">
        <f>(Taulukko8[[#This Row],[Palvelut + toimintamenot, huomioitu vuonna 2025 poistuvat tehtävät]]/$S$6)*$T$2</f>
        <v>70650988.285183325</v>
      </c>
      <c r="U33" s="481">
        <f>Taulukko8[[#This Row],[Skaalattu siirtyvän rahoituksen tasoon ]]*0.5</f>
        <v>35325494.142591663</v>
      </c>
    </row>
    <row r="34" spans="1:21">
      <c r="A34" s="465">
        <v>92</v>
      </c>
      <c r="B34" s="456" t="s">
        <v>39</v>
      </c>
      <c r="C34" s="459">
        <v>242819</v>
      </c>
      <c r="D34" s="459">
        <v>11928810.254702447</v>
      </c>
      <c r="E34" s="459">
        <v>2557369.724741471</v>
      </c>
      <c r="F34" s="473">
        <f>Taulukko8[[#This Row],[Siirtyvän henkilöstön ELY-keskus ja TE-toimistokohtaiset toimintamenot]]+Taulukko8[[#This Row],[Valtakunnalliset toimintamenot]]</f>
        <v>14486179.979443919</v>
      </c>
      <c r="G34" s="459">
        <v>7060276.4234117344</v>
      </c>
      <c r="H34" s="459">
        <v>4236165.8540470405</v>
      </c>
      <c r="I34" s="459">
        <v>1880115.7556745536</v>
      </c>
      <c r="J34" s="459">
        <v>2340197.0314367814</v>
      </c>
      <c r="K34" s="459">
        <v>5807665.4671098096</v>
      </c>
      <c r="L34" s="459">
        <v>2564385.8344602515</v>
      </c>
      <c r="M34" s="459">
        <v>1908427.0737712884</v>
      </c>
      <c r="N34" s="459">
        <v>820724.29650376167</v>
      </c>
      <c r="O34" s="473">
        <f>SUM(Taulukko8[[#This Row],[Työvoimaviranomaisille siirtyvä kotoutumiskoulutus]:[Muut palvelut]])</f>
        <v>19557681.313003484</v>
      </c>
      <c r="P34" s="473">
        <f>Taulukko8[[#This Row],[Palvelut yhteensä]]+Taulukko8[[#This Row],[Toimintamenot yhteensä]]</f>
        <v>34043861.292447403</v>
      </c>
      <c r="Q34" s="481">
        <v>528623.39570013958</v>
      </c>
      <c r="R34" s="481">
        <v>888537.1970278942</v>
      </c>
      <c r="S34" s="473">
        <f>Taulukko8[[#This Row],[Palvelut + toimintamenot]]-Taulukko8[[#This Row],[Poistuva velvoitetyöllistäminen]]-Taulukko8[[#This Row],[Poistuvaksi ehdotettu  palkkatuki]]</f>
        <v>32626700.699719369</v>
      </c>
      <c r="T34" s="479">
        <f>(Taulukko8[[#This Row],[Palvelut + toimintamenot, huomioitu vuonna 2025 poistuvat tehtävät]]/$S$6)*$T$2</f>
        <v>30776603.821092401</v>
      </c>
      <c r="U34" s="481">
        <f>Taulukko8[[#This Row],[Skaalattu siirtyvän rahoituksen tasoon ]]*0.5</f>
        <v>15388301.9105462</v>
      </c>
    </row>
    <row r="35" spans="1:21">
      <c r="A35" s="465">
        <v>97</v>
      </c>
      <c r="B35" s="456" t="s">
        <v>40</v>
      </c>
      <c r="C35" s="459">
        <v>2091</v>
      </c>
      <c r="D35" s="459">
        <v>73881.757980266499</v>
      </c>
      <c r="E35" s="459">
        <v>15839.213386341447</v>
      </c>
      <c r="F35" s="473">
        <f>Taulukko8[[#This Row],[Siirtyvän henkilöstön ELY-keskus ja TE-toimistokohtaiset toimintamenot]]+Taulukko8[[#This Row],[Valtakunnalliset toimintamenot]]</f>
        <v>89720.971366607948</v>
      </c>
      <c r="G35" s="459">
        <v>17136.593260708094</v>
      </c>
      <c r="H35" s="459">
        <v>10281.955956424856</v>
      </c>
      <c r="I35" s="459">
        <v>43723.622224989616</v>
      </c>
      <c r="J35" s="459">
        <v>3214.5563618637107</v>
      </c>
      <c r="K35" s="459">
        <v>70201.246856617639</v>
      </c>
      <c r="L35" s="459">
        <v>33841.785150977201</v>
      </c>
      <c r="M35" s="459">
        <v>10341.67839324727</v>
      </c>
      <c r="N35" s="459">
        <v>5083.2021423856513</v>
      </c>
      <c r="O35" s="473">
        <f>SUM(Taulukko8[[#This Row],[Työvoimaviranomaisille siirtyvä kotoutumiskoulutus]:[Muut palvelut]])</f>
        <v>176688.04708650595</v>
      </c>
      <c r="P35" s="473">
        <f>Taulukko8[[#This Row],[Palvelut yhteensä]]+Taulukko8[[#This Row],[Toimintamenot yhteensä]]</f>
        <v>266409.01845311391</v>
      </c>
      <c r="Q35" s="481">
        <v>8460.4462877443002</v>
      </c>
      <c r="R35" s="481">
        <v>25381.338863232901</v>
      </c>
      <c r="S35" s="473">
        <f>Taulukko8[[#This Row],[Palvelut + toimintamenot]]-Taulukko8[[#This Row],[Poistuva velvoitetyöllistäminen]]-Taulukko8[[#This Row],[Poistuvaksi ehdotettu  palkkatuki]]</f>
        <v>232567.23330213671</v>
      </c>
      <c r="T35" s="479">
        <f>(Taulukko8[[#This Row],[Palvelut + toimintamenot, huomioitu vuonna 2025 poistuvat tehtävät]]/$S$6)*$T$2</f>
        <v>219379.5096532391</v>
      </c>
      <c r="U35" s="481">
        <f>Taulukko8[[#This Row],[Skaalattu siirtyvän rahoituksen tasoon ]]*0.5</f>
        <v>109689.75482661955</v>
      </c>
    </row>
    <row r="36" spans="1:21">
      <c r="A36" s="465">
        <v>98</v>
      </c>
      <c r="B36" s="456" t="s">
        <v>41</v>
      </c>
      <c r="C36" s="459">
        <v>22943</v>
      </c>
      <c r="D36" s="459">
        <v>793063.00992175133</v>
      </c>
      <c r="E36" s="459">
        <v>170021.59377853415</v>
      </c>
      <c r="F36" s="473">
        <f>Taulukko8[[#This Row],[Siirtyvän henkilöstön ELY-keskus ja TE-toimistokohtaiset toimintamenot]]+Taulukko8[[#This Row],[Valtakunnalliset toimintamenot]]</f>
        <v>963084.60370028554</v>
      </c>
      <c r="G36" s="459">
        <v>85682.966303540466</v>
      </c>
      <c r="H36" s="459">
        <v>51409.779782124278</v>
      </c>
      <c r="I36" s="459">
        <v>109309.05556247404</v>
      </c>
      <c r="J36" s="459">
        <v>305382.85437705251</v>
      </c>
      <c r="K36" s="459">
        <v>670326.51664533594</v>
      </c>
      <c r="L36" s="459">
        <v>476474.20442597981</v>
      </c>
      <c r="M36" s="459">
        <v>142461.46544852073</v>
      </c>
      <c r="N36" s="459">
        <v>54564.207746082626</v>
      </c>
      <c r="O36" s="473">
        <f>SUM(Taulukko8[[#This Row],[Työvoimaviranomaisille siirtyvä kotoutumiskoulutus]:[Muut palvelut]])</f>
        <v>1809928.0839875701</v>
      </c>
      <c r="P36" s="473">
        <f>Taulukko8[[#This Row],[Palvelut yhteensä]]+Taulukko8[[#This Row],[Toimintamenot yhteensä]]</f>
        <v>2773012.6876878557</v>
      </c>
      <c r="Q36" s="481">
        <v>87515.670200690176</v>
      </c>
      <c r="R36" s="481">
        <v>281994.93731333496</v>
      </c>
      <c r="S36" s="473">
        <f>Taulukko8[[#This Row],[Palvelut + toimintamenot]]-Taulukko8[[#This Row],[Poistuva velvoitetyöllistäminen]]-Taulukko8[[#This Row],[Poistuvaksi ehdotettu  palkkatuki]]</f>
        <v>2403502.0801738305</v>
      </c>
      <c r="T36" s="479">
        <f>(Taulukko8[[#This Row],[Palvelut + toimintamenot, huomioitu vuonna 2025 poistuvat tehtävät]]/$S$6)*$T$2</f>
        <v>2267211.5083128125</v>
      </c>
      <c r="U36" s="481">
        <f>Taulukko8[[#This Row],[Skaalattu siirtyvän rahoituksen tasoon ]]*0.5</f>
        <v>1133605.7541564063</v>
      </c>
    </row>
    <row r="37" spans="1:21">
      <c r="A37" s="465">
        <v>102</v>
      </c>
      <c r="B37" s="456" t="s">
        <v>42</v>
      </c>
      <c r="C37" s="459">
        <v>9745</v>
      </c>
      <c r="D37" s="459">
        <v>306482.06721312483</v>
      </c>
      <c r="E37" s="459">
        <v>65705.459566518781</v>
      </c>
      <c r="F37" s="473">
        <f>Taulukko8[[#This Row],[Siirtyvän henkilöstön ELY-keskus ja TE-toimistokohtaiset toimintamenot]]+Taulukko8[[#This Row],[Valtakunnalliset toimintamenot]]</f>
        <v>372187.52677964361</v>
      </c>
      <c r="G37" s="459">
        <v>42841.483151770233</v>
      </c>
      <c r="H37" s="459">
        <v>25704.889891062139</v>
      </c>
      <c r="I37" s="459">
        <v>87447.244449979233</v>
      </c>
      <c r="J37" s="459">
        <v>16072.781809318552</v>
      </c>
      <c r="K37" s="459">
        <v>116464.10286453042</v>
      </c>
      <c r="L37" s="459">
        <v>123061.21936065995</v>
      </c>
      <c r="M37" s="459">
        <v>31273.395340540537</v>
      </c>
      <c r="N37" s="459">
        <v>21086.535340383354</v>
      </c>
      <c r="O37" s="473">
        <f>SUM(Taulukko8[[#This Row],[Työvoimaviranomaisille siirtyvä kotoutumiskoulutus]:[Muut palvelut]])</f>
        <v>421110.16905647417</v>
      </c>
      <c r="P37" s="473">
        <f>Taulukko8[[#This Row],[Palvelut yhteensä]]+Taulukko8[[#This Row],[Toimintamenot yhteensä]]</f>
        <v>793297.69583611772</v>
      </c>
      <c r="Q37" s="481">
        <v>52740.522583139973</v>
      </c>
      <c r="R37" s="481">
        <v>61530.609680329973</v>
      </c>
      <c r="S37" s="473">
        <f>Taulukko8[[#This Row],[Palvelut + toimintamenot]]-Taulukko8[[#This Row],[Poistuva velvoitetyöllistäminen]]-Taulukko8[[#This Row],[Poistuvaksi ehdotettu  palkkatuki]]</f>
        <v>679026.56357264775</v>
      </c>
      <c r="T37" s="479">
        <f>(Taulukko8[[#This Row],[Palvelut + toimintamenot, huomioitu vuonna 2025 poistuvat tehtävät]]/$S$6)*$T$2</f>
        <v>640522.36612612638</v>
      </c>
      <c r="U37" s="481">
        <f>Taulukko8[[#This Row],[Skaalattu siirtyvän rahoituksen tasoon ]]*0.5</f>
        <v>320261.18306306319</v>
      </c>
    </row>
    <row r="38" spans="1:21">
      <c r="A38" s="465">
        <v>103</v>
      </c>
      <c r="B38" s="456" t="s">
        <v>43</v>
      </c>
      <c r="C38" s="459">
        <v>2161</v>
      </c>
      <c r="D38" s="459">
        <v>90214.611466498216</v>
      </c>
      <c r="E38" s="459">
        <v>19340.748252977577</v>
      </c>
      <c r="F38" s="473">
        <f>Taulukko8[[#This Row],[Siirtyvän henkilöstön ELY-keskus ja TE-toimistokohtaiset toimintamenot]]+Taulukko8[[#This Row],[Valtakunnalliset toimintamenot]]</f>
        <v>109555.35971947579</v>
      </c>
      <c r="G38" s="459">
        <v>0</v>
      </c>
      <c r="H38" s="459">
        <v>0</v>
      </c>
      <c r="I38" s="459">
        <v>0</v>
      </c>
      <c r="J38" s="459">
        <v>16072.781809318552</v>
      </c>
      <c r="K38" s="459">
        <v>48374.07852079744</v>
      </c>
      <c r="L38" s="459">
        <v>29171.890066896722</v>
      </c>
      <c r="M38" s="459">
        <v>0</v>
      </c>
      <c r="N38" s="459">
        <v>6206.9327912240178</v>
      </c>
      <c r="O38" s="473">
        <f>SUM(Taulukko8[[#This Row],[Työvoimaviranomaisille siirtyvä kotoutumiskoulutus]:[Muut palvelut]])</f>
        <v>99825.683188236726</v>
      </c>
      <c r="P38" s="473">
        <f>Taulukko8[[#This Row],[Palvelut yhteensä]]+Taulukko8[[#This Row],[Toimintamenot yhteensä]]</f>
        <v>209381.04290771252</v>
      </c>
      <c r="Q38" s="481">
        <v>9723.9633556322406</v>
      </c>
      <c r="R38" s="481">
        <v>9723.9633556322406</v>
      </c>
      <c r="S38" s="473">
        <f>Taulukko8[[#This Row],[Palvelut + toimintamenot]]-Taulukko8[[#This Row],[Poistuva velvoitetyöllistäminen]]-Taulukko8[[#This Row],[Poistuvaksi ehdotettu  palkkatuki]]</f>
        <v>189933.11619644804</v>
      </c>
      <c r="T38" s="479">
        <f>(Taulukko8[[#This Row],[Palvelut + toimintamenot, huomioitu vuonna 2025 poistuvat tehtävät]]/$S$6)*$T$2</f>
        <v>179162.95991687162</v>
      </c>
      <c r="U38" s="481">
        <f>Taulukko8[[#This Row],[Skaalattu siirtyvän rahoituksen tasoon ]]*0.5</f>
        <v>89581.479958435812</v>
      </c>
    </row>
    <row r="39" spans="1:21">
      <c r="A39" s="465">
        <v>105</v>
      </c>
      <c r="B39" s="456" t="s">
        <v>44</v>
      </c>
      <c r="C39" s="459">
        <v>2094</v>
      </c>
      <c r="D39" s="459">
        <v>87303.982692894977</v>
      </c>
      <c r="E39" s="459">
        <v>18716.750239207508</v>
      </c>
      <c r="F39" s="473">
        <f>Taulukko8[[#This Row],[Siirtyvän henkilöstön ELY-keskus ja TE-toimistokohtaiset toimintamenot]]+Taulukko8[[#This Row],[Valtakunnalliset toimintamenot]]</f>
        <v>106020.73293210249</v>
      </c>
      <c r="G39" s="459">
        <v>8568.296630354047</v>
      </c>
      <c r="H39" s="459">
        <v>5140.9779782124278</v>
      </c>
      <c r="I39" s="459">
        <v>0</v>
      </c>
      <c r="J39" s="459">
        <v>0</v>
      </c>
      <c r="K39" s="459">
        <v>88758.27402631579</v>
      </c>
      <c r="L39" s="459">
        <v>40391.880300948345</v>
      </c>
      <c r="M39" s="459">
        <v>13851.917892720307</v>
      </c>
      <c r="N39" s="459">
        <v>6006.6761267626616</v>
      </c>
      <c r="O39" s="473">
        <f>SUM(Taulukko8[[#This Row],[Työvoimaviranomaisille siirtyvä kotoutumiskoulutus]:[Muut palvelut]])</f>
        <v>154149.72632495954</v>
      </c>
      <c r="P39" s="473">
        <f>Taulukko8[[#This Row],[Palvelut yhteensä]]+Taulukko8[[#This Row],[Toimintamenot yhteensä]]</f>
        <v>260170.45925706203</v>
      </c>
      <c r="Q39" s="481">
        <v>24235.128180569005</v>
      </c>
      <c r="R39" s="481">
        <v>8078.3760601896693</v>
      </c>
      <c r="S39" s="473">
        <f>Taulukko8[[#This Row],[Palvelut + toimintamenot]]-Taulukko8[[#This Row],[Poistuva velvoitetyöllistäminen]]-Taulukko8[[#This Row],[Poistuvaksi ehdotettu  palkkatuki]]</f>
        <v>227856.95501630334</v>
      </c>
      <c r="T39" s="479">
        <f>(Taulukko8[[#This Row],[Palvelut + toimintamenot, huomioitu vuonna 2025 poistuvat tehtävät]]/$S$6)*$T$2</f>
        <v>214936.32767096057</v>
      </c>
      <c r="U39" s="481">
        <f>Taulukko8[[#This Row],[Skaalattu siirtyvän rahoituksen tasoon ]]*0.5</f>
        <v>107468.16383548029</v>
      </c>
    </row>
    <row r="40" spans="1:21">
      <c r="A40" s="465">
        <v>106</v>
      </c>
      <c r="B40" s="456" t="s">
        <v>45</v>
      </c>
      <c r="C40" s="459">
        <v>46797</v>
      </c>
      <c r="D40" s="459">
        <v>1940654.2945423648</v>
      </c>
      <c r="E40" s="459">
        <v>416049.08059424552</v>
      </c>
      <c r="F40" s="473">
        <f>Taulukko8[[#This Row],[Siirtyvän henkilöstön ELY-keskus ja TE-toimistokohtaiset toimintamenot]]+Taulukko8[[#This Row],[Valtakunnalliset toimintamenot]]</f>
        <v>2356703.3751366101</v>
      </c>
      <c r="G40" s="459">
        <v>548370.98434265901</v>
      </c>
      <c r="H40" s="459">
        <v>329022.59060559538</v>
      </c>
      <c r="I40" s="459">
        <v>316996.26113117475</v>
      </c>
      <c r="J40" s="459">
        <v>237877.17077791458</v>
      </c>
      <c r="K40" s="459">
        <v>984968.38952239242</v>
      </c>
      <c r="L40" s="459">
        <v>674838.37748953991</v>
      </c>
      <c r="M40" s="459">
        <v>262311.30762168847</v>
      </c>
      <c r="N40" s="459">
        <v>133520.6191260702</v>
      </c>
      <c r="O40" s="473">
        <f>SUM(Taulukko8[[#This Row],[Työvoimaviranomaisille siirtyvä kotoutumiskoulutus]:[Muut palvelut]])</f>
        <v>2939534.716274376</v>
      </c>
      <c r="P40" s="473">
        <f>Taulukko8[[#This Row],[Palvelut yhteensä]]+Taulukko8[[#This Row],[Toimintamenot yhteensä]]</f>
        <v>5296238.0914109861</v>
      </c>
      <c r="Q40" s="481">
        <v>146214.98178940031</v>
      </c>
      <c r="R40" s="481">
        <v>359913.80132775463</v>
      </c>
      <c r="S40" s="473">
        <f>Taulukko8[[#This Row],[Palvelut + toimintamenot]]-Taulukko8[[#This Row],[Poistuva velvoitetyöllistäminen]]-Taulukko8[[#This Row],[Poistuvaksi ehdotettu  palkkatuki]]</f>
        <v>4790109.3082938315</v>
      </c>
      <c r="T40" s="479">
        <f>(Taulukko8[[#This Row],[Palvelut + toimintamenot, huomioitu vuonna 2025 poistuvat tehtävät]]/$S$6)*$T$2</f>
        <v>4518486.1870619431</v>
      </c>
      <c r="U40" s="481">
        <f>Taulukko8[[#This Row],[Skaalattu siirtyvän rahoituksen tasoon ]]*0.5</f>
        <v>2259243.0935309716</v>
      </c>
    </row>
    <row r="41" spans="1:21">
      <c r="A41" s="465">
        <v>108</v>
      </c>
      <c r="B41" s="456" t="s">
        <v>46</v>
      </c>
      <c r="C41" s="459">
        <v>10257</v>
      </c>
      <c r="D41" s="459">
        <v>341097.12167711195</v>
      </c>
      <c r="E41" s="459">
        <v>73126.442079974455</v>
      </c>
      <c r="F41" s="473">
        <f>Taulukko8[[#This Row],[Siirtyvän henkilöstön ELY-keskus ja TE-toimistokohtaiset toimintamenot]]+Taulukko8[[#This Row],[Valtakunnalliset toimintamenot]]</f>
        <v>414223.56375708641</v>
      </c>
      <c r="G41" s="459">
        <v>17136.593260708094</v>
      </c>
      <c r="H41" s="459">
        <v>10281.955956424856</v>
      </c>
      <c r="I41" s="459">
        <v>32792.716668742214</v>
      </c>
      <c r="J41" s="459">
        <v>9643.6690855911329</v>
      </c>
      <c r="K41" s="459">
        <v>301924.99484356586</v>
      </c>
      <c r="L41" s="459">
        <v>247666.47704512966</v>
      </c>
      <c r="M41" s="459">
        <v>88848.332670492469</v>
      </c>
      <c r="N41" s="459">
        <v>23468.115365281137</v>
      </c>
      <c r="O41" s="473">
        <f>SUM(Taulukko8[[#This Row],[Työvoimaviranomaisille siirtyvä kotoutumiskoulutus]:[Muut palvelut]])</f>
        <v>714626.26163522736</v>
      </c>
      <c r="P41" s="473">
        <f>Taulukko8[[#This Row],[Palvelut yhteensä]]+Taulukko8[[#This Row],[Toimintamenot yhteensä]]</f>
        <v>1128849.8253923138</v>
      </c>
      <c r="Q41" s="481">
        <v>66936.885687872884</v>
      </c>
      <c r="R41" s="481">
        <v>140567.45994453304</v>
      </c>
      <c r="S41" s="473">
        <f>Taulukko8[[#This Row],[Palvelut + toimintamenot]]-Taulukko8[[#This Row],[Poistuva velvoitetyöllistäminen]]-Taulukko8[[#This Row],[Poistuvaksi ehdotettu  palkkatuki]]</f>
        <v>921345.47975990793</v>
      </c>
      <c r="T41" s="479">
        <f>(Taulukko8[[#This Row],[Palvelut + toimintamenot, huomioitu vuonna 2025 poistuvat tehtävät]]/$S$6)*$T$2</f>
        <v>869100.5895416477</v>
      </c>
      <c r="U41" s="481">
        <f>Taulukko8[[#This Row],[Skaalattu siirtyvän rahoituksen tasoon ]]*0.5</f>
        <v>434550.29477082385</v>
      </c>
    </row>
    <row r="42" spans="1:21">
      <c r="A42" s="465">
        <v>109</v>
      </c>
      <c r="B42" s="456" t="s">
        <v>47</v>
      </c>
      <c r="C42" s="459">
        <v>68043</v>
      </c>
      <c r="D42" s="459">
        <v>2767692.4967743969</v>
      </c>
      <c r="E42" s="459">
        <v>593354.47940877057</v>
      </c>
      <c r="F42" s="473">
        <f>Taulukko8[[#This Row],[Siirtyvän henkilöstön ELY-keskus ja TE-toimistokohtaiset toimintamenot]]+Taulukko8[[#This Row],[Valtakunnalliset toimintamenot]]</f>
        <v>3361046.9761831677</v>
      </c>
      <c r="G42" s="459">
        <v>496961.20456053474</v>
      </c>
      <c r="H42" s="459">
        <v>298176.72273632081</v>
      </c>
      <c r="I42" s="459">
        <v>404443.50558115396</v>
      </c>
      <c r="J42" s="459">
        <v>543260.02515496709</v>
      </c>
      <c r="K42" s="459">
        <v>1679271.5829362539</v>
      </c>
      <c r="L42" s="459">
        <v>845984.81194000493</v>
      </c>
      <c r="M42" s="459">
        <v>353185.68192662724</v>
      </c>
      <c r="N42" s="459">
        <v>190422.38319269562</v>
      </c>
      <c r="O42" s="473">
        <f>SUM(Taulukko8[[#This Row],[Työvoimaviranomaisille siirtyvä kotoutumiskoulutus]:[Muut palvelut]])</f>
        <v>4314744.7134680236</v>
      </c>
      <c r="P42" s="473">
        <f>Taulukko8[[#This Row],[Palvelut yhteensä]]+Taulukko8[[#This Row],[Toimintamenot yhteensä]]</f>
        <v>7675791.6896511912</v>
      </c>
      <c r="Q42" s="481">
        <v>184755.30375701259</v>
      </c>
      <c r="R42" s="481">
        <v>447302.31435908307</v>
      </c>
      <c r="S42" s="473">
        <f>Taulukko8[[#This Row],[Palvelut + toimintamenot]]-Taulukko8[[#This Row],[Poistuva velvoitetyöllistäminen]]-Taulukko8[[#This Row],[Poistuvaksi ehdotettu  palkkatuki]]</f>
        <v>7043734.0715350956</v>
      </c>
      <c r="T42" s="479">
        <f>(Taulukko8[[#This Row],[Palvelut + toimintamenot, huomioitu vuonna 2025 poistuvat tehtävät]]/$S$6)*$T$2</f>
        <v>6644319.1708510797</v>
      </c>
      <c r="U42" s="481">
        <f>Taulukko8[[#This Row],[Skaalattu siirtyvän rahoituksen tasoon ]]*0.5</f>
        <v>3322159.5854255399</v>
      </c>
    </row>
    <row r="43" spans="1:21">
      <c r="A43" s="465">
        <v>111</v>
      </c>
      <c r="B43" s="456" t="s">
        <v>48</v>
      </c>
      <c r="C43" s="459">
        <v>18131</v>
      </c>
      <c r="D43" s="459">
        <v>815092.12462748878</v>
      </c>
      <c r="E43" s="459">
        <v>174744.32721199634</v>
      </c>
      <c r="F43" s="473">
        <f>Taulukko8[[#This Row],[Siirtyvän henkilöstön ELY-keskus ja TE-toimistokohtaiset toimintamenot]]+Taulukko8[[#This Row],[Valtakunnalliset toimintamenot]]</f>
        <v>989836.45183948509</v>
      </c>
      <c r="G43" s="459">
        <v>179934.22923743498</v>
      </c>
      <c r="H43" s="459">
        <v>107960.53754246098</v>
      </c>
      <c r="I43" s="459">
        <v>32792.716668742214</v>
      </c>
      <c r="J43" s="459">
        <v>208946.16352114119</v>
      </c>
      <c r="K43" s="459">
        <v>601220.69018705387</v>
      </c>
      <c r="L43" s="459">
        <v>661229.50818299234</v>
      </c>
      <c r="M43" s="459">
        <v>86070.434210650885</v>
      </c>
      <c r="N43" s="459">
        <v>56079.85174438831</v>
      </c>
      <c r="O43" s="473">
        <f>SUM(Taulukko8[[#This Row],[Työvoimaviranomaisille siirtyvä kotoutumiskoulutus]:[Muut palvelut]])</f>
        <v>1754299.9020574295</v>
      </c>
      <c r="P43" s="473">
        <f>Taulukko8[[#This Row],[Palvelut yhteensä]]+Taulukko8[[#This Row],[Toimintamenot yhteensä]]</f>
        <v>2744136.3538969145</v>
      </c>
      <c r="Q43" s="481">
        <v>87515.670200690161</v>
      </c>
      <c r="R43" s="481">
        <v>398682.49758092186</v>
      </c>
      <c r="S43" s="473">
        <f>Taulukko8[[#This Row],[Palvelut + toimintamenot]]-Taulukko8[[#This Row],[Poistuva velvoitetyöllistäminen]]-Taulukko8[[#This Row],[Poistuvaksi ehdotettu  palkkatuki]]</f>
        <v>2257938.1861153026</v>
      </c>
      <c r="T43" s="479">
        <f>(Taulukko8[[#This Row],[Palvelut + toimintamenot, huomioitu vuonna 2025 poistuvat tehtävät]]/$S$6)*$T$2</f>
        <v>2129901.8140435014</v>
      </c>
      <c r="U43" s="481">
        <f>Taulukko8[[#This Row],[Skaalattu siirtyvän rahoituksen tasoon ]]*0.5</f>
        <v>1064950.9070217507</v>
      </c>
    </row>
    <row r="44" spans="1:21">
      <c r="A44" s="465">
        <v>139</v>
      </c>
      <c r="B44" s="456" t="s">
        <v>49</v>
      </c>
      <c r="C44" s="459">
        <v>9853</v>
      </c>
      <c r="D44" s="459">
        <v>414356.87412191514</v>
      </c>
      <c r="E44" s="459">
        <v>88832.306197524551</v>
      </c>
      <c r="F44" s="473">
        <f>Taulukko8[[#This Row],[Siirtyvän henkilöstön ELY-keskus ja TE-toimistokohtaiset toimintamenot]]+Taulukko8[[#This Row],[Valtakunnalliset toimintamenot]]</f>
        <v>503189.18031943968</v>
      </c>
      <c r="G44" s="459">
        <v>25704.889891062143</v>
      </c>
      <c r="H44" s="459">
        <v>15422.933934637285</v>
      </c>
      <c r="I44" s="459">
        <v>32792.716668742214</v>
      </c>
      <c r="J44" s="459">
        <v>16072.781809318552</v>
      </c>
      <c r="K44" s="459">
        <v>196267.18672621326</v>
      </c>
      <c r="L44" s="459">
        <v>229028.33230530418</v>
      </c>
      <c r="M44" s="459">
        <v>64348.634989898994</v>
      </c>
      <c r="N44" s="459">
        <v>28508.522371805415</v>
      </c>
      <c r="O44" s="473">
        <f>SUM(Taulukko8[[#This Row],[Työvoimaviranomaisille siirtyvä kotoutumiskoulutus]:[Muut palvelut]])</f>
        <v>582441.10880591988</v>
      </c>
      <c r="P44" s="473">
        <f>Taulukko8[[#This Row],[Palvelut yhteensä]]+Taulukko8[[#This Row],[Toimintamenot yhteensä]]</f>
        <v>1085630.2891253596</v>
      </c>
      <c r="Q44" s="481">
        <v>39487.643500914513</v>
      </c>
      <c r="R44" s="481">
        <v>126360.45920292645</v>
      </c>
      <c r="S44" s="473">
        <f>Taulukko8[[#This Row],[Palvelut + toimintamenot]]-Taulukko8[[#This Row],[Poistuva velvoitetyöllistäminen]]-Taulukko8[[#This Row],[Poistuvaksi ehdotettu  palkkatuki]]</f>
        <v>919782.18642151856</v>
      </c>
      <c r="T44" s="479">
        <f>(Taulukko8[[#This Row],[Palvelut + toimintamenot, huomioitu vuonna 2025 poistuvat tehtävät]]/$S$6)*$T$2</f>
        <v>867625.94274316903</v>
      </c>
      <c r="U44" s="481">
        <f>Taulukko8[[#This Row],[Skaalattu siirtyvän rahoituksen tasoon ]]*0.5</f>
        <v>433812.97137158451</v>
      </c>
    </row>
    <row r="45" spans="1:21">
      <c r="A45" s="465">
        <v>140</v>
      </c>
      <c r="B45" s="456" t="s">
        <v>50</v>
      </c>
      <c r="C45" s="459">
        <v>20801</v>
      </c>
      <c r="D45" s="459">
        <v>867084.64474492101</v>
      </c>
      <c r="E45" s="459">
        <v>185890.79479948417</v>
      </c>
      <c r="F45" s="473">
        <f>Taulukko8[[#This Row],[Siirtyvän henkilöstön ELY-keskus ja TE-toimistokohtaiset toimintamenot]]+Taulukko8[[#This Row],[Valtakunnalliset toimintamenot]]</f>
        <v>1052975.4395444051</v>
      </c>
      <c r="G45" s="459">
        <v>214207.41575885119</v>
      </c>
      <c r="H45" s="459">
        <v>128524.44945531071</v>
      </c>
      <c r="I45" s="459">
        <v>415374.41113740136</v>
      </c>
      <c r="J45" s="459">
        <v>61076.5708754105</v>
      </c>
      <c r="K45" s="459">
        <v>605294.5197285068</v>
      </c>
      <c r="L45" s="459">
        <v>204843.77928616464</v>
      </c>
      <c r="M45" s="459">
        <v>105012.79999406647</v>
      </c>
      <c r="N45" s="459">
        <v>59657.033675001694</v>
      </c>
      <c r="O45" s="473">
        <f>SUM(Taulukko8[[#This Row],[Työvoimaviranomaisille siirtyvä kotoutumiskoulutus]:[Muut palvelut]])</f>
        <v>1579783.5641518619</v>
      </c>
      <c r="P45" s="473">
        <f>Taulukko8[[#This Row],[Palvelut yhteensä]]+Taulukko8[[#This Row],[Toimintamenot yhteensä]]</f>
        <v>2632759.003696267</v>
      </c>
      <c r="Q45" s="481">
        <v>75868.066402283192</v>
      </c>
      <c r="R45" s="481">
        <v>121388.90624365311</v>
      </c>
      <c r="S45" s="473">
        <f>Taulukko8[[#This Row],[Palvelut + toimintamenot]]-Taulukko8[[#This Row],[Poistuva velvoitetyöllistäminen]]-Taulukko8[[#This Row],[Poistuvaksi ehdotettu  palkkatuki]]</f>
        <v>2435502.031050331</v>
      </c>
      <c r="T45" s="479">
        <f>(Taulukko8[[#This Row],[Palvelut + toimintamenot, huomioitu vuonna 2025 poistuvat tehtävät]]/$S$6)*$T$2</f>
        <v>2297396.9021558664</v>
      </c>
      <c r="U45" s="481">
        <f>Taulukko8[[#This Row],[Skaalattu siirtyvän rahoituksen tasoon ]]*0.5</f>
        <v>1148698.4510779332</v>
      </c>
    </row>
    <row r="46" spans="1:21">
      <c r="A46" s="465">
        <v>142</v>
      </c>
      <c r="B46" s="456" t="s">
        <v>51</v>
      </c>
      <c r="C46" s="459">
        <v>6504</v>
      </c>
      <c r="D46" s="459">
        <v>228588.52233427227</v>
      </c>
      <c r="E46" s="459">
        <v>49006.175298212038</v>
      </c>
      <c r="F46" s="473">
        <f>Taulukko8[[#This Row],[Siirtyvän henkilöstön ELY-keskus ja TE-toimistokohtaiset toimintamenot]]+Taulukko8[[#This Row],[Valtakunnalliset toimintamenot]]</f>
        <v>277594.69763248431</v>
      </c>
      <c r="G46" s="459">
        <v>17136.593260708094</v>
      </c>
      <c r="H46" s="459">
        <v>10281.955956424856</v>
      </c>
      <c r="I46" s="459">
        <v>65585.433337484428</v>
      </c>
      <c r="J46" s="459">
        <v>61076.5708754105</v>
      </c>
      <c r="K46" s="459">
        <v>248780.97524981538</v>
      </c>
      <c r="L46" s="459">
        <v>155583.41369011585</v>
      </c>
      <c r="M46" s="459">
        <v>28537.951162130179</v>
      </c>
      <c r="N46" s="459">
        <v>15727.314809762622</v>
      </c>
      <c r="O46" s="473">
        <f>SUM(Taulukko8[[#This Row],[Työvoimaviranomaisille siirtyvä kotoutumiskoulutus]:[Muut palvelut]])</f>
        <v>585573.61508114391</v>
      </c>
      <c r="P46" s="473">
        <f>Taulukko8[[#This Row],[Palvelut yhteensä]]+Taulukko8[[#This Row],[Toimintamenot yhteensä]]</f>
        <v>863168.31271362817</v>
      </c>
      <c r="Q46" s="481">
        <v>9723.9633556322406</v>
      </c>
      <c r="R46" s="481">
        <v>58343.780133793443</v>
      </c>
      <c r="S46" s="473">
        <f>Taulukko8[[#This Row],[Palvelut + toimintamenot]]-Taulukko8[[#This Row],[Poistuva velvoitetyöllistäminen]]-Taulukko8[[#This Row],[Poistuvaksi ehdotettu  palkkatuki]]</f>
        <v>795100.56922420242</v>
      </c>
      <c r="T46" s="479">
        <f>(Taulukko8[[#This Row],[Palvelut + toimintamenot, huomioitu vuonna 2025 poistuvat tehtävät]]/$S$6)*$T$2</f>
        <v>750014.39594377403</v>
      </c>
      <c r="U46" s="481">
        <f>Taulukko8[[#This Row],[Skaalattu siirtyvän rahoituksen tasoon ]]*0.5</f>
        <v>375007.19797188701</v>
      </c>
    </row>
    <row r="47" spans="1:21">
      <c r="A47" s="465">
        <v>143</v>
      </c>
      <c r="B47" s="456" t="s">
        <v>52</v>
      </c>
      <c r="C47" s="459">
        <v>6804</v>
      </c>
      <c r="D47" s="459">
        <v>224993.38986135539</v>
      </c>
      <c r="E47" s="459">
        <v>48235.429285293591</v>
      </c>
      <c r="F47" s="473">
        <f>Taulukko8[[#This Row],[Siirtyvän henkilöstön ELY-keskus ja TE-toimistokohtaiset toimintamenot]]+Taulukko8[[#This Row],[Valtakunnalliset toimintamenot]]</f>
        <v>273228.81914664898</v>
      </c>
      <c r="G47" s="459">
        <v>17136.593260708094</v>
      </c>
      <c r="H47" s="459">
        <v>10281.955956424856</v>
      </c>
      <c r="I47" s="459">
        <v>0</v>
      </c>
      <c r="J47" s="459">
        <v>22501.894533045976</v>
      </c>
      <c r="K47" s="459">
        <v>166853.28662407587</v>
      </c>
      <c r="L47" s="459">
        <v>220891.72276998052</v>
      </c>
      <c r="M47" s="459">
        <v>34389.530974909918</v>
      </c>
      <c r="N47" s="459">
        <v>15479.963019712195</v>
      </c>
      <c r="O47" s="473">
        <f>SUM(Taulukko8[[#This Row],[Työvoimaviranomaisille siirtyvä kotoutumiskoulutus]:[Muut palvelut]])</f>
        <v>470398.35387814936</v>
      </c>
      <c r="P47" s="473">
        <f>Taulukko8[[#This Row],[Palvelut yhteensä]]+Taulukko8[[#This Row],[Toimintamenot yhteensä]]</f>
        <v>743627.17302479828</v>
      </c>
      <c r="Q47" s="481">
        <v>33468.442843936442</v>
      </c>
      <c r="R47" s="481">
        <v>133873.77137574577</v>
      </c>
      <c r="S47" s="473">
        <f>Taulukko8[[#This Row],[Palvelut + toimintamenot]]-Taulukko8[[#This Row],[Poistuva velvoitetyöllistäminen]]-Taulukko8[[#This Row],[Poistuvaksi ehdotettu  palkkatuki]]</f>
        <v>576284.95880511613</v>
      </c>
      <c r="T47" s="479">
        <f>(Taulukko8[[#This Row],[Palvelut + toimintamenot, huomioitu vuonna 2025 poistuvat tehtävät]]/$S$6)*$T$2</f>
        <v>543606.72347578697</v>
      </c>
      <c r="U47" s="481">
        <f>Taulukko8[[#This Row],[Skaalattu siirtyvän rahoituksen tasoon ]]*0.5</f>
        <v>271803.36173789349</v>
      </c>
    </row>
    <row r="48" spans="1:21">
      <c r="A48" s="465">
        <v>145</v>
      </c>
      <c r="B48" s="456" t="s">
        <v>53</v>
      </c>
      <c r="C48" s="459">
        <v>12369</v>
      </c>
      <c r="D48" s="459">
        <v>310231.95704414742</v>
      </c>
      <c r="E48" s="459">
        <v>66509.383387940339</v>
      </c>
      <c r="F48" s="473">
        <f>Taulukko8[[#This Row],[Siirtyvän henkilöstön ELY-keskus ja TE-toimistokohtaiset toimintamenot]]+Taulukko8[[#This Row],[Valtakunnalliset toimintamenot]]</f>
        <v>376741.34043208777</v>
      </c>
      <c r="G48" s="459">
        <v>34273.186521416188</v>
      </c>
      <c r="H48" s="459">
        <v>20563.911912849711</v>
      </c>
      <c r="I48" s="459">
        <v>87447.244449979233</v>
      </c>
      <c r="J48" s="459">
        <v>25716.450894909685</v>
      </c>
      <c r="K48" s="459">
        <v>285920.03196428571</v>
      </c>
      <c r="L48" s="459">
        <v>105015.769544184</v>
      </c>
      <c r="M48" s="459">
        <v>45134.071235167205</v>
      </c>
      <c r="N48" s="459">
        <v>21344.534724045225</v>
      </c>
      <c r="O48" s="473">
        <f>SUM(Taulukko8[[#This Row],[Työvoimaviranomaisille siirtyvä kotoutumiskoulutus]:[Muut palvelut]])</f>
        <v>591142.01472542074</v>
      </c>
      <c r="P48" s="473">
        <f>Taulukko8[[#This Row],[Palvelut yhteensä]]+Taulukko8[[#This Row],[Toimintamenot yhteensä]]</f>
        <v>967883.35515750851</v>
      </c>
      <c r="Q48" s="481">
        <v>28640.664421141089</v>
      </c>
      <c r="R48" s="481">
        <v>28640.664421141089</v>
      </c>
      <c r="S48" s="473">
        <f>Taulukko8[[#This Row],[Palvelut + toimintamenot]]-Taulukko8[[#This Row],[Poistuva velvoitetyöllistäminen]]-Taulukko8[[#This Row],[Poistuvaksi ehdotettu  palkkatuki]]</f>
        <v>910602.02631522622</v>
      </c>
      <c r="T48" s="479">
        <f>(Taulukko8[[#This Row],[Palvelut + toimintamenot, huomioitu vuonna 2025 poistuvat tehtävät]]/$S$6)*$T$2</f>
        <v>858966.34356377705</v>
      </c>
      <c r="U48" s="481">
        <f>Taulukko8[[#This Row],[Skaalattu siirtyvän rahoituksen tasoon ]]*0.5</f>
        <v>429483.17178188852</v>
      </c>
    </row>
    <row r="49" spans="1:21">
      <c r="A49" s="465">
        <v>146</v>
      </c>
      <c r="B49" s="456" t="s">
        <v>54</v>
      </c>
      <c r="C49" s="459">
        <v>4492</v>
      </c>
      <c r="D49" s="459">
        <v>218963.8051013143</v>
      </c>
      <c r="E49" s="459">
        <v>46942.770823230036</v>
      </c>
      <c r="F49" s="473">
        <f>Taulukko8[[#This Row],[Siirtyvän henkilöstön ELY-keskus ja TE-toimistokohtaiset toimintamenot]]+Taulukko8[[#This Row],[Valtakunnalliset toimintamenot]]</f>
        <v>265906.57592454436</v>
      </c>
      <c r="G49" s="459">
        <v>25704.889891062143</v>
      </c>
      <c r="H49" s="459">
        <v>15422.933934637285</v>
      </c>
      <c r="I49" s="459">
        <v>43723.622224989616</v>
      </c>
      <c r="J49" s="459">
        <v>12858.225447454843</v>
      </c>
      <c r="K49" s="459">
        <v>260483.72528187689</v>
      </c>
      <c r="L49" s="459">
        <v>173947.91806430227</v>
      </c>
      <c r="M49" s="459">
        <v>29158.004054758803</v>
      </c>
      <c r="N49" s="459">
        <v>15065.116391697156</v>
      </c>
      <c r="O49" s="473">
        <f>SUM(Taulukko8[[#This Row],[Työvoimaviranomaisille siirtyvä kotoutumiskoulutus]:[Muut palvelut]])</f>
        <v>550659.54539971694</v>
      </c>
      <c r="P49" s="473">
        <f>Taulukko8[[#This Row],[Palvelut yhteensä]]+Taulukko8[[#This Row],[Toimintamenot yhteensä]]</f>
        <v>816566.1213242613</v>
      </c>
      <c r="Q49" s="481">
        <v>21743.489758037784</v>
      </c>
      <c r="R49" s="481">
        <v>130460.9385482267</v>
      </c>
      <c r="S49" s="473">
        <f>Taulukko8[[#This Row],[Palvelut + toimintamenot]]-Taulukko8[[#This Row],[Poistuva velvoitetyöllistäminen]]-Taulukko8[[#This Row],[Poistuvaksi ehdotettu  palkkatuki]]</f>
        <v>664361.69301799685</v>
      </c>
      <c r="T49" s="479">
        <f>(Taulukko8[[#This Row],[Palvelut + toimintamenot, huomioitu vuonna 2025 poistuvat tehtävät]]/$S$6)*$T$2</f>
        <v>626689.06697332603</v>
      </c>
      <c r="U49" s="481">
        <f>Taulukko8[[#This Row],[Skaalattu siirtyvän rahoituksen tasoon ]]*0.5</f>
        <v>313344.53348666301</v>
      </c>
    </row>
    <row r="50" spans="1:21">
      <c r="A50" s="465">
        <v>148</v>
      </c>
      <c r="B50" s="456" t="s">
        <v>55</v>
      </c>
      <c r="C50" s="459">
        <v>7047</v>
      </c>
      <c r="D50" s="459">
        <v>303958.33183478581</v>
      </c>
      <c r="E50" s="459">
        <v>65164.406074006489</v>
      </c>
      <c r="F50" s="473">
        <f>Taulukko8[[#This Row],[Siirtyvän henkilöstön ELY-keskus ja TE-toimistokohtaiset toimintamenot]]+Taulukko8[[#This Row],[Valtakunnalliset toimintamenot]]</f>
        <v>369122.73790879233</v>
      </c>
      <c r="G50" s="459">
        <v>34273.186521416188</v>
      </c>
      <c r="H50" s="459">
        <v>20563.911912849711</v>
      </c>
      <c r="I50" s="459">
        <v>54654.527781237019</v>
      </c>
      <c r="J50" s="459">
        <v>51432.901789819371</v>
      </c>
      <c r="K50" s="459">
        <v>127555.57951074663</v>
      </c>
      <c r="L50" s="459">
        <v>135149.0019623854</v>
      </c>
      <c r="M50" s="459">
        <v>134067.76533333334</v>
      </c>
      <c r="N50" s="459">
        <v>20912.897659950602</v>
      </c>
      <c r="O50" s="473">
        <f>SUM(Taulukko8[[#This Row],[Työvoimaviranomaisille siirtyvä kotoutumiskoulutus]:[Muut palvelut]])</f>
        <v>544336.5859503221</v>
      </c>
      <c r="P50" s="473">
        <f>Taulukko8[[#This Row],[Palvelut yhteensä]]+Taulukko8[[#This Row],[Toimintamenot yhteensä]]</f>
        <v>913459.32385911443</v>
      </c>
      <c r="Q50" s="481">
        <v>28960.500420511155</v>
      </c>
      <c r="R50" s="481">
        <v>77228.001121363079</v>
      </c>
      <c r="S50" s="473">
        <f>Taulukko8[[#This Row],[Palvelut + toimintamenot]]-Taulukko8[[#This Row],[Poistuva velvoitetyöllistäminen]]-Taulukko8[[#This Row],[Poistuvaksi ehdotettu  palkkatuki]]</f>
        <v>807270.82231724029</v>
      </c>
      <c r="T50" s="479">
        <f>(Taulukko8[[#This Row],[Palvelut + toimintamenot, huomioitu vuonna 2025 poistuvat tehtävät]]/$S$6)*$T$2</f>
        <v>761494.53490401129</v>
      </c>
      <c r="U50" s="481">
        <f>Taulukko8[[#This Row],[Skaalattu siirtyvän rahoituksen tasoon ]]*0.5</f>
        <v>380747.26745200565</v>
      </c>
    </row>
    <row r="51" spans="1:21">
      <c r="A51" s="465">
        <v>149</v>
      </c>
      <c r="B51" s="456" t="s">
        <v>56</v>
      </c>
      <c r="C51" s="459">
        <v>5384</v>
      </c>
      <c r="D51" s="459">
        <v>116960.84949141886</v>
      </c>
      <c r="E51" s="459">
        <v>25074.766811005797</v>
      </c>
      <c r="F51" s="473">
        <f>Taulukko8[[#This Row],[Siirtyvän henkilöstön ELY-keskus ja TE-toimistokohtaiset toimintamenot]]+Taulukko8[[#This Row],[Valtakunnalliset toimintamenot]]</f>
        <v>142035.61630242466</v>
      </c>
      <c r="G51" s="459">
        <v>0</v>
      </c>
      <c r="H51" s="459">
        <v>0</v>
      </c>
      <c r="I51" s="459">
        <v>10930.905556247404</v>
      </c>
      <c r="J51" s="459">
        <v>16072.781809318552</v>
      </c>
      <c r="K51" s="459">
        <v>109440.93216915471</v>
      </c>
      <c r="L51" s="459">
        <v>11247.306291492332</v>
      </c>
      <c r="M51" s="459">
        <v>48794.534920221668</v>
      </c>
      <c r="N51" s="459">
        <v>8047.1236332630851</v>
      </c>
      <c r="O51" s="473">
        <f>SUM(Taulukko8[[#This Row],[Työvoimaviranomaisille siirtyvä kotoutumiskoulutus]:[Muut palvelut]])</f>
        <v>204533.58437969774</v>
      </c>
      <c r="P51" s="473">
        <f>Taulukko8[[#This Row],[Palvelut yhteensä]]+Taulukko8[[#This Row],[Toimintamenot yhteensä]]</f>
        <v>346569.20068212238</v>
      </c>
      <c r="Q51" s="481">
        <v>0</v>
      </c>
      <c r="R51" s="481">
        <v>0</v>
      </c>
      <c r="S51" s="473">
        <f>Taulukko8[[#This Row],[Palvelut + toimintamenot]]-Taulukko8[[#This Row],[Poistuva velvoitetyöllistäminen]]-Taulukko8[[#This Row],[Poistuvaksi ehdotettu  palkkatuki]]</f>
        <v>346569.20068212238</v>
      </c>
      <c r="T51" s="479">
        <f>(Taulukko8[[#This Row],[Palvelut + toimintamenot, huomioitu vuonna 2025 poistuvat tehtävät]]/$S$6)*$T$2</f>
        <v>326916.99611778668</v>
      </c>
      <c r="U51" s="481">
        <f>Taulukko8[[#This Row],[Skaalattu siirtyvän rahoituksen tasoon ]]*0.5</f>
        <v>163458.49805889334</v>
      </c>
    </row>
    <row r="52" spans="1:21">
      <c r="A52" s="465">
        <v>151</v>
      </c>
      <c r="B52" s="456" t="s">
        <v>57</v>
      </c>
      <c r="C52" s="459">
        <v>1852</v>
      </c>
      <c r="D52" s="459">
        <v>43358.845196958813</v>
      </c>
      <c r="E52" s="459">
        <v>9295.5286938815134</v>
      </c>
      <c r="F52" s="473">
        <f>Taulukko8[[#This Row],[Siirtyvän henkilöstön ELY-keskus ja TE-toimistokohtaiset toimintamenot]]+Taulukko8[[#This Row],[Valtakunnalliset toimintamenot]]</f>
        <v>52654.373890840325</v>
      </c>
      <c r="G52" s="459">
        <v>0</v>
      </c>
      <c r="H52" s="459">
        <v>0</v>
      </c>
      <c r="I52" s="459">
        <v>0</v>
      </c>
      <c r="J52" s="459">
        <v>6429.1127237274213</v>
      </c>
      <c r="K52" s="459">
        <v>15884.446220238095</v>
      </c>
      <c r="L52" s="459">
        <v>28640.664421141093</v>
      </c>
      <c r="M52" s="459">
        <v>6136.1384466019417</v>
      </c>
      <c r="N52" s="459">
        <v>2983.1690639442718</v>
      </c>
      <c r="O52" s="473">
        <f>SUM(Taulukko8[[#This Row],[Työvoimaviranomaisille siirtyvä kotoutumiskoulutus]:[Muut palvelut]])</f>
        <v>60073.530875652825</v>
      </c>
      <c r="P52" s="473">
        <f>Taulukko8[[#This Row],[Palvelut yhteensä]]+Taulukko8[[#This Row],[Toimintamenot yhteensä]]</f>
        <v>112727.90476649316</v>
      </c>
      <c r="Q52" s="481">
        <v>0</v>
      </c>
      <c r="R52" s="481">
        <v>19093.776280760729</v>
      </c>
      <c r="S52" s="473">
        <f>Taulukko8[[#This Row],[Palvelut + toimintamenot]]-Taulukko8[[#This Row],[Poistuva velvoitetyöllistäminen]]-Taulukko8[[#This Row],[Poistuvaksi ehdotettu  palkkatuki]]</f>
        <v>93634.128485732421</v>
      </c>
      <c r="T52" s="479">
        <f>(Taulukko8[[#This Row],[Palvelut + toimintamenot, huomioitu vuonna 2025 poistuvat tehtävät]]/$S$6)*$T$2</f>
        <v>88324.605759583777</v>
      </c>
      <c r="U52" s="481">
        <f>Taulukko8[[#This Row],[Skaalattu siirtyvän rahoituksen tasoon ]]*0.5</f>
        <v>44162.302879791889</v>
      </c>
    </row>
    <row r="53" spans="1:21">
      <c r="A53" s="465">
        <v>152</v>
      </c>
      <c r="B53" s="456" t="s">
        <v>58</v>
      </c>
      <c r="C53" s="459">
        <v>4406</v>
      </c>
      <c r="D53" s="459">
        <v>116710.85683601737</v>
      </c>
      <c r="E53" s="459">
        <v>25021.171889577694</v>
      </c>
      <c r="F53" s="473">
        <f>Taulukko8[[#This Row],[Siirtyvän henkilöstön ELY-keskus ja TE-toimistokohtaiset toimintamenot]]+Taulukko8[[#This Row],[Valtakunnalliset toimintamenot]]</f>
        <v>141732.02872559507</v>
      </c>
      <c r="G53" s="459">
        <v>8568.296630354047</v>
      </c>
      <c r="H53" s="459">
        <v>5140.9779782124278</v>
      </c>
      <c r="I53" s="459">
        <v>43723.622224989616</v>
      </c>
      <c r="J53" s="459">
        <v>19287.338171182266</v>
      </c>
      <c r="K53" s="459">
        <v>87364.454211309523</v>
      </c>
      <c r="L53" s="459">
        <v>57281.328842282186</v>
      </c>
      <c r="M53" s="459">
        <v>30680.692233009708</v>
      </c>
      <c r="N53" s="459">
        <v>8029.9236743522943</v>
      </c>
      <c r="O53" s="473">
        <f>SUM(Taulukko8[[#This Row],[Työvoimaviranomaisille siirtyvä kotoutumiskoulutus]:[Muut palvelut]])</f>
        <v>251508.337335338</v>
      </c>
      <c r="P53" s="473">
        <f>Taulukko8[[#This Row],[Palvelut yhteensä]]+Taulukko8[[#This Row],[Toimintamenot yhteensä]]</f>
        <v>393240.3660609331</v>
      </c>
      <c r="Q53" s="481">
        <v>9546.8881403803643</v>
      </c>
      <c r="R53" s="481">
        <v>38187.552561521457</v>
      </c>
      <c r="S53" s="473">
        <f>Taulukko8[[#This Row],[Palvelut + toimintamenot]]-Taulukko8[[#This Row],[Poistuva velvoitetyöllistäminen]]-Taulukko8[[#This Row],[Poistuvaksi ehdotettu  palkkatuki]]</f>
        <v>345505.92535903124</v>
      </c>
      <c r="T53" s="479">
        <f>(Taulukko8[[#This Row],[Palvelut + toimintamenot, huomioitu vuonna 2025 poistuvat tehtävät]]/$S$6)*$T$2</f>
        <v>325914.01381587714</v>
      </c>
      <c r="U53" s="481">
        <f>Taulukko8[[#This Row],[Skaalattu siirtyvän rahoituksen tasoon ]]*0.5</f>
        <v>162957.00690793857</v>
      </c>
    </row>
    <row r="54" spans="1:21">
      <c r="A54" s="465">
        <v>153</v>
      </c>
      <c r="B54" s="456" t="s">
        <v>59</v>
      </c>
      <c r="C54" s="459">
        <v>25208</v>
      </c>
      <c r="D54" s="459">
        <v>1468123.5342879109</v>
      </c>
      <c r="E54" s="459">
        <v>314745.10857344535</v>
      </c>
      <c r="F54" s="473">
        <f>Taulukko8[[#This Row],[Siirtyvän henkilöstön ELY-keskus ja TE-toimistokohtaiset toimintamenot]]+Taulukko8[[#This Row],[Valtakunnalliset toimintamenot]]</f>
        <v>1782868.6428613563</v>
      </c>
      <c r="G54" s="459">
        <v>222775.71238920523</v>
      </c>
      <c r="H54" s="459">
        <v>133665.42743352315</v>
      </c>
      <c r="I54" s="459">
        <v>338858.07224366954</v>
      </c>
      <c r="J54" s="459">
        <v>196087.93807368635</v>
      </c>
      <c r="K54" s="459">
        <v>961230.99224776006</v>
      </c>
      <c r="L54" s="459">
        <v>510874.96427465905</v>
      </c>
      <c r="M54" s="459">
        <v>148307.6430576923</v>
      </c>
      <c r="N54" s="459">
        <v>101009.62536344053</v>
      </c>
      <c r="O54" s="473">
        <f>SUM(Taulukko8[[#This Row],[Työvoimaviranomaisille siirtyvä kotoutumiskoulutus]:[Muut palvelut]])</f>
        <v>2390034.6626944309</v>
      </c>
      <c r="P54" s="473">
        <f>Taulukko8[[#This Row],[Palvelut yhteensä]]+Taulukko8[[#This Row],[Toimintamenot yhteensä]]</f>
        <v>4172903.3055557869</v>
      </c>
      <c r="Q54" s="481">
        <v>72982.137753522722</v>
      </c>
      <c r="R54" s="481">
        <v>271076.51165594155</v>
      </c>
      <c r="S54" s="473">
        <f>Taulukko8[[#This Row],[Palvelut + toimintamenot]]-Taulukko8[[#This Row],[Poistuva velvoitetyöllistäminen]]-Taulukko8[[#This Row],[Poistuvaksi ehdotettu  palkkatuki]]</f>
        <v>3828844.6561463224</v>
      </c>
      <c r="T54" s="479">
        <f>(Taulukko8[[#This Row],[Palvelut + toimintamenot, huomioitu vuonna 2025 poistuvat tehtävät]]/$S$6)*$T$2</f>
        <v>3611730.0415771329</v>
      </c>
      <c r="U54" s="481">
        <f>Taulukko8[[#This Row],[Skaalattu siirtyvän rahoituksen tasoon ]]*0.5</f>
        <v>1805865.0207885664</v>
      </c>
    </row>
    <row r="55" spans="1:21">
      <c r="A55" s="465">
        <v>165</v>
      </c>
      <c r="B55" s="456" t="s">
        <v>60</v>
      </c>
      <c r="C55" s="459">
        <v>16280</v>
      </c>
      <c r="D55" s="459">
        <v>553275.41184609965</v>
      </c>
      <c r="E55" s="459">
        <v>118614.49360729882</v>
      </c>
      <c r="F55" s="473">
        <f>Taulukko8[[#This Row],[Siirtyvän henkilöstön ELY-keskus ja TE-toimistokohtaiset toimintamenot]]+Taulukko8[[#This Row],[Valtakunnalliset toimintamenot]]</f>
        <v>671889.90545339847</v>
      </c>
      <c r="G55" s="459">
        <v>68546.373042832376</v>
      </c>
      <c r="H55" s="459">
        <v>41127.823825699423</v>
      </c>
      <c r="I55" s="459">
        <v>87447.244449979233</v>
      </c>
      <c r="J55" s="459">
        <v>102865.80357963874</v>
      </c>
      <c r="K55" s="459">
        <v>421545.5413955205</v>
      </c>
      <c r="L55" s="459">
        <v>281994.93731333496</v>
      </c>
      <c r="M55" s="459">
        <v>85613.853486390537</v>
      </c>
      <c r="N55" s="459">
        <v>38066.375729399675</v>
      </c>
      <c r="O55" s="473">
        <f>SUM(Taulukko8[[#This Row],[Työvoimaviranomaisille siirtyvä kotoutumiskoulutus]:[Muut palvelut]])</f>
        <v>1058661.5797799632</v>
      </c>
      <c r="P55" s="473">
        <f>Taulukko8[[#This Row],[Palvelut yhteensä]]+Taulukko8[[#This Row],[Toimintamenot yhteensä]]</f>
        <v>1730551.4852333618</v>
      </c>
      <c r="Q55" s="481">
        <v>29171.890066896718</v>
      </c>
      <c r="R55" s="481">
        <v>184755.30375701256</v>
      </c>
      <c r="S55" s="473">
        <f>Taulukko8[[#This Row],[Palvelut + toimintamenot]]-Taulukko8[[#This Row],[Poistuva velvoitetyöllistäminen]]-Taulukko8[[#This Row],[Poistuvaksi ehdotettu  palkkatuki]]</f>
        <v>1516624.2914094524</v>
      </c>
      <c r="T55" s="479">
        <f>(Taulukko8[[#This Row],[Palvelut + toimintamenot, huomioitu vuonna 2025 poistuvat tehtävät]]/$S$6)*$T$2</f>
        <v>1430624.1195437571</v>
      </c>
      <c r="U55" s="481">
        <f>Taulukko8[[#This Row],[Skaalattu siirtyvän rahoituksen tasoon ]]*0.5</f>
        <v>715312.05977187853</v>
      </c>
    </row>
    <row r="56" spans="1:21">
      <c r="A56" s="465">
        <v>167</v>
      </c>
      <c r="B56" s="456" t="s">
        <v>61</v>
      </c>
      <c r="C56" s="459">
        <v>77513</v>
      </c>
      <c r="D56" s="459">
        <v>4323694.401642018</v>
      </c>
      <c r="E56" s="459">
        <v>926939.47893375228</v>
      </c>
      <c r="F56" s="473">
        <f>Taulukko8[[#This Row],[Siirtyvän henkilöstön ELY-keskus ja TE-toimistokohtaiset toimintamenot]]+Taulukko8[[#This Row],[Valtakunnalliset toimintamenot]]</f>
        <v>5250633.8805757705</v>
      </c>
      <c r="G56" s="459">
        <v>1285244.4945531071</v>
      </c>
      <c r="H56" s="459">
        <v>771146.69673186424</v>
      </c>
      <c r="I56" s="459">
        <v>1497534.0612058945</v>
      </c>
      <c r="J56" s="459">
        <v>189658.82534995893</v>
      </c>
      <c r="K56" s="459">
        <v>4439548.7091519888</v>
      </c>
      <c r="L56" s="459">
        <v>1402455.0893934371</v>
      </c>
      <c r="M56" s="459">
        <v>452093.47616688395</v>
      </c>
      <c r="N56" s="459">
        <v>297478.20363611053</v>
      </c>
      <c r="O56" s="473">
        <f>SUM(Taulukko8[[#This Row],[Työvoimaviranomaisille siirtyvä kotoutumiskoulutus]:[Muut palvelut]])</f>
        <v>9049915.0616361368</v>
      </c>
      <c r="P56" s="473">
        <f>Taulukko8[[#This Row],[Palvelut yhteensä]]+Taulukko8[[#This Row],[Toimintamenot yhteensä]]</f>
        <v>14300548.942211907</v>
      </c>
      <c r="Q56" s="481">
        <v>206563.15270135898</v>
      </c>
      <c r="R56" s="481">
        <v>902354.82495856809</v>
      </c>
      <c r="S56" s="473">
        <f>Taulukko8[[#This Row],[Palvelut + toimintamenot]]-Taulukko8[[#This Row],[Poistuva velvoitetyöllistäminen]]-Taulukko8[[#This Row],[Poistuvaksi ehdotettu  palkkatuki]]</f>
        <v>13191630.96455198</v>
      </c>
      <c r="T56" s="479">
        <f>(Taulukko8[[#This Row],[Palvelut + toimintamenot, huomioitu vuonna 2025 poistuvat tehtävät]]/$S$6)*$T$2</f>
        <v>12443599.605324585</v>
      </c>
      <c r="U56" s="481">
        <f>Taulukko8[[#This Row],[Skaalattu siirtyvän rahoituksen tasoon ]]*0.5</f>
        <v>6221799.8026622925</v>
      </c>
    </row>
    <row r="57" spans="1:21">
      <c r="A57" s="465">
        <v>169</v>
      </c>
      <c r="B57" s="456" t="s">
        <v>62</v>
      </c>
      <c r="C57" s="459">
        <v>4990</v>
      </c>
      <c r="D57" s="459">
        <v>157691.79570362141</v>
      </c>
      <c r="E57" s="459">
        <v>33806.910795113312</v>
      </c>
      <c r="F57" s="473">
        <f>Taulukko8[[#This Row],[Siirtyvän henkilöstön ELY-keskus ja TE-toimistokohtaiset toimintamenot]]+Taulukko8[[#This Row],[Valtakunnalliset toimintamenot]]</f>
        <v>191498.70649873471</v>
      </c>
      <c r="G57" s="459">
        <v>17136.593260708094</v>
      </c>
      <c r="H57" s="459">
        <v>10281.955956424856</v>
      </c>
      <c r="I57" s="459">
        <v>54654.527781237019</v>
      </c>
      <c r="J57" s="459">
        <v>48218.345427955661</v>
      </c>
      <c r="K57" s="459">
        <v>103658.73968742308</v>
      </c>
      <c r="L57" s="459">
        <v>58343.780133793443</v>
      </c>
      <c r="M57" s="459">
        <v>28309.660800000001</v>
      </c>
      <c r="N57" s="459">
        <v>10849.488367228443</v>
      </c>
      <c r="O57" s="473">
        <f>SUM(Taulukko8[[#This Row],[Työvoimaviranomaisille siirtyvä kotoutumiskoulutus]:[Muut palvelut]])</f>
        <v>314316.49815406249</v>
      </c>
      <c r="P57" s="473">
        <f>Taulukko8[[#This Row],[Palvelut yhteensä]]+Taulukko8[[#This Row],[Toimintamenot yhteensä]]</f>
        <v>505815.2046527972</v>
      </c>
      <c r="Q57" s="481">
        <v>38895.853422528962</v>
      </c>
      <c r="R57" s="481">
        <v>19447.926711264481</v>
      </c>
      <c r="S57" s="473">
        <f>Taulukko8[[#This Row],[Palvelut + toimintamenot]]-Taulukko8[[#This Row],[Poistuva velvoitetyöllistäminen]]-Taulukko8[[#This Row],[Poistuvaksi ehdotettu  palkkatuki]]</f>
        <v>447471.42451900378</v>
      </c>
      <c r="T57" s="479">
        <f>(Taulukko8[[#This Row],[Palvelut + toimintamenot, huomioitu vuonna 2025 poistuvat tehtävät]]/$S$6)*$T$2</f>
        <v>422097.559922744</v>
      </c>
      <c r="U57" s="481">
        <f>Taulukko8[[#This Row],[Skaalattu siirtyvän rahoituksen tasoon ]]*0.5</f>
        <v>211048.779961372</v>
      </c>
    </row>
    <row r="58" spans="1:21">
      <c r="A58" s="465">
        <v>171</v>
      </c>
      <c r="B58" s="456" t="s">
        <v>63</v>
      </c>
      <c r="C58" s="459">
        <v>4540</v>
      </c>
      <c r="D58" s="459">
        <v>206809.40028393632</v>
      </c>
      <c r="E58" s="459">
        <v>44337.03678617793</v>
      </c>
      <c r="F58" s="473">
        <f>Taulukko8[[#This Row],[Siirtyvän henkilöstön ELY-keskus ja TE-toimistokohtaiset toimintamenot]]+Taulukko8[[#This Row],[Valtakunnalliset toimintamenot]]</f>
        <v>251146.43707011425</v>
      </c>
      <c r="G58" s="459">
        <v>42841.483151770233</v>
      </c>
      <c r="H58" s="459">
        <v>25704.889891062139</v>
      </c>
      <c r="I58" s="459">
        <v>65585.433337484428</v>
      </c>
      <c r="J58" s="459">
        <v>16072.781809318552</v>
      </c>
      <c r="K58" s="459">
        <v>70179.074751131222</v>
      </c>
      <c r="L58" s="459">
        <v>113802.09960342481</v>
      </c>
      <c r="M58" s="459">
        <v>27084.606196598106</v>
      </c>
      <c r="N58" s="459">
        <v>14228.87077036773</v>
      </c>
      <c r="O58" s="473">
        <f>SUM(Taulukko8[[#This Row],[Työvoimaviranomaisille siirtyvä kotoutumiskoulutus]:[Muut palvelut]])</f>
        <v>332657.75635938696</v>
      </c>
      <c r="P58" s="473">
        <f>Taulukko8[[#This Row],[Palvelut yhteensä]]+Taulukko8[[#This Row],[Toimintamenot yhteensä]]</f>
        <v>583804.19342950126</v>
      </c>
      <c r="Q58" s="481">
        <v>22760.419920684963</v>
      </c>
      <c r="R58" s="481">
        <v>53107.646481598247</v>
      </c>
      <c r="S58" s="473">
        <f>Taulukko8[[#This Row],[Palvelut + toimintamenot]]-Taulukko8[[#This Row],[Poistuva velvoitetyöllistäminen]]-Taulukko8[[#This Row],[Poistuvaksi ehdotettu  palkkatuki]]</f>
        <v>507936.127027218</v>
      </c>
      <c r="T58" s="479">
        <f>(Taulukko8[[#This Row],[Palvelut + toimintamenot, huomioitu vuonna 2025 poistuvat tehtävät]]/$S$6)*$T$2</f>
        <v>479133.61181724427</v>
      </c>
      <c r="U58" s="481">
        <f>Taulukko8[[#This Row],[Skaalattu siirtyvän rahoituksen tasoon ]]*0.5</f>
        <v>239566.80590862213</v>
      </c>
    </row>
    <row r="59" spans="1:21">
      <c r="A59" s="465">
        <v>172</v>
      </c>
      <c r="B59" s="456" t="s">
        <v>64</v>
      </c>
      <c r="C59" s="459">
        <v>4171</v>
      </c>
      <c r="D59" s="459">
        <v>157432.87473909839</v>
      </c>
      <c r="E59" s="459">
        <v>33751.401769348486</v>
      </c>
      <c r="F59" s="473">
        <f>Taulukko8[[#This Row],[Siirtyvän henkilöstön ELY-keskus ja TE-toimistokohtaiset toimintamenot]]+Taulukko8[[#This Row],[Valtakunnalliset toimintamenot]]</f>
        <v>191184.27650844687</v>
      </c>
      <c r="G59" s="459">
        <v>8568.296630354047</v>
      </c>
      <c r="H59" s="459">
        <v>5140.9779782124278</v>
      </c>
      <c r="I59" s="459">
        <v>21861.811112494808</v>
      </c>
      <c r="J59" s="459">
        <v>28931.007256773395</v>
      </c>
      <c r="K59" s="459">
        <v>148328.43790886097</v>
      </c>
      <c r="L59" s="459">
        <v>48004.661054640004</v>
      </c>
      <c r="M59" s="459">
        <v>25778.140670549859</v>
      </c>
      <c r="N59" s="459">
        <v>10831.674124070838</v>
      </c>
      <c r="O59" s="473">
        <f>SUM(Taulukko8[[#This Row],[Työvoimaviranomaisille siirtyvä kotoutumiskoulutus]:[Muut palvelut]])</f>
        <v>288876.71010560234</v>
      </c>
      <c r="P59" s="473">
        <f>Taulukko8[[#This Row],[Palvelut yhteensä]]+Taulukko8[[#This Row],[Toimintamenot yhteensä]]</f>
        <v>480060.98661404918</v>
      </c>
      <c r="Q59" s="481">
        <v>9600.932210928002</v>
      </c>
      <c r="R59" s="481">
        <v>19201.864421856004</v>
      </c>
      <c r="S59" s="473">
        <f>Taulukko8[[#This Row],[Palvelut + toimintamenot]]-Taulukko8[[#This Row],[Poistuva velvoitetyöllistäminen]]-Taulukko8[[#This Row],[Poistuvaksi ehdotettu  palkkatuki]]</f>
        <v>451258.18998126517</v>
      </c>
      <c r="T59" s="479">
        <f>(Taulukko8[[#This Row],[Palvelut + toimintamenot, huomioitu vuonna 2025 poistuvat tehtävät]]/$S$6)*$T$2</f>
        <v>425669.5968708875</v>
      </c>
      <c r="U59" s="481">
        <f>Taulukko8[[#This Row],[Skaalattu siirtyvän rahoituksen tasoon ]]*0.5</f>
        <v>212834.79843544375</v>
      </c>
    </row>
    <row r="60" spans="1:21">
      <c r="A60" s="465">
        <v>176</v>
      </c>
      <c r="B60" s="456" t="s">
        <v>65</v>
      </c>
      <c r="C60" s="459">
        <v>4352</v>
      </c>
      <c r="D60" s="459">
        <v>232287.8184136065</v>
      </c>
      <c r="E60" s="459">
        <v>49799.2525283922</v>
      </c>
      <c r="F60" s="473">
        <f>Taulukko8[[#This Row],[Siirtyvän henkilöstön ELY-keskus ja TE-toimistokohtaiset toimintamenot]]+Taulukko8[[#This Row],[Valtakunnalliset toimintamenot]]</f>
        <v>282087.07094199868</v>
      </c>
      <c r="G60" s="459">
        <v>34273.186521416188</v>
      </c>
      <c r="H60" s="459">
        <v>20563.911912849711</v>
      </c>
      <c r="I60" s="459">
        <v>43723.622224989616</v>
      </c>
      <c r="J60" s="459">
        <v>19287.338171182266</v>
      </c>
      <c r="K60" s="459">
        <v>305785.24272220331</v>
      </c>
      <c r="L60" s="459">
        <v>97845.703911170029</v>
      </c>
      <c r="M60" s="459">
        <v>30707.837249022163</v>
      </c>
      <c r="N60" s="459">
        <v>15981.833249359213</v>
      </c>
      <c r="O60" s="473">
        <f>SUM(Taulukko8[[#This Row],[Työvoimaviranomaisille siirtyvä kotoutumiskoulutus]:[Muut palvelut]])</f>
        <v>533895.48944077629</v>
      </c>
      <c r="P60" s="473">
        <f>Taulukko8[[#This Row],[Palvelut yhteensä]]+Taulukko8[[#This Row],[Toimintamenot yhteensä]]</f>
        <v>815982.56038277503</v>
      </c>
      <c r="Q60" s="481">
        <v>21743.489758037784</v>
      </c>
      <c r="R60" s="481">
        <v>21743.489758037784</v>
      </c>
      <c r="S60" s="473">
        <f>Taulukko8[[#This Row],[Palvelut + toimintamenot]]-Taulukko8[[#This Row],[Poistuva velvoitetyöllistäminen]]-Taulukko8[[#This Row],[Poistuvaksi ehdotettu  palkkatuki]]</f>
        <v>772495.58086669957</v>
      </c>
      <c r="T60" s="479">
        <f>(Taulukko8[[#This Row],[Palvelut + toimintamenot, huomioitu vuonna 2025 poistuvat tehtävät]]/$S$6)*$T$2</f>
        <v>728691.22332321981</v>
      </c>
      <c r="U60" s="481">
        <f>Taulukko8[[#This Row],[Skaalattu siirtyvän rahoituksen tasoon ]]*0.5</f>
        <v>364345.6116616099</v>
      </c>
    </row>
    <row r="61" spans="1:21">
      <c r="A61" s="465">
        <v>177</v>
      </c>
      <c r="B61" s="456" t="s">
        <v>66</v>
      </c>
      <c r="C61" s="459">
        <v>1768</v>
      </c>
      <c r="D61" s="459">
        <v>52316.915348846116</v>
      </c>
      <c r="E61" s="459">
        <v>11216.013378388572</v>
      </c>
      <c r="F61" s="473">
        <f>Taulukko8[[#This Row],[Siirtyvän henkilöstön ELY-keskus ja TE-toimistokohtaiset toimintamenot]]+Taulukko8[[#This Row],[Valtakunnalliset toimintamenot]]</f>
        <v>63532.928727234685</v>
      </c>
      <c r="G61" s="459">
        <v>0</v>
      </c>
      <c r="H61" s="459">
        <v>0</v>
      </c>
      <c r="I61" s="459">
        <v>10930.905556247404</v>
      </c>
      <c r="J61" s="459">
        <v>0</v>
      </c>
      <c r="K61" s="459">
        <v>63563.156809171764</v>
      </c>
      <c r="L61" s="459">
        <v>13387.377137574576</v>
      </c>
      <c r="M61" s="459">
        <v>14808.055445082078</v>
      </c>
      <c r="N61" s="459">
        <v>3599.5009249142945</v>
      </c>
      <c r="O61" s="473">
        <f>SUM(Taulukko8[[#This Row],[Työvoimaviranomaisille siirtyvä kotoutumiskoulutus]:[Muut palvelut]])</f>
        <v>106288.99587299011</v>
      </c>
      <c r="P61" s="473">
        <f>Taulukko8[[#This Row],[Palvelut yhteensä]]+Taulukko8[[#This Row],[Toimintamenot yhteensä]]</f>
        <v>169821.9246002248</v>
      </c>
      <c r="Q61" s="481">
        <v>6693.6885687872882</v>
      </c>
      <c r="R61" s="481">
        <v>6693.6885687872882</v>
      </c>
      <c r="S61" s="473">
        <f>Taulukko8[[#This Row],[Palvelut + toimintamenot]]-Taulukko8[[#This Row],[Poistuva velvoitetyöllistäminen]]-Taulukko8[[#This Row],[Poistuvaksi ehdotettu  palkkatuki]]</f>
        <v>156434.5474626502</v>
      </c>
      <c r="T61" s="479">
        <f>(Taulukko8[[#This Row],[Palvelut + toimintamenot, huomioitu vuonna 2025 poistuvat tehtävät]]/$S$6)*$T$2</f>
        <v>147563.92733364154</v>
      </c>
      <c r="U61" s="481">
        <f>Taulukko8[[#This Row],[Skaalattu siirtyvän rahoituksen tasoon ]]*0.5</f>
        <v>73781.963666820768</v>
      </c>
    </row>
    <row r="62" spans="1:21">
      <c r="A62" s="465">
        <v>178</v>
      </c>
      <c r="B62" s="456" t="s">
        <v>67</v>
      </c>
      <c r="C62" s="459">
        <v>5769</v>
      </c>
      <c r="D62" s="459">
        <v>150947.94621386172</v>
      </c>
      <c r="E62" s="459">
        <v>32361.123986112314</v>
      </c>
      <c r="F62" s="473">
        <f>Taulukko8[[#This Row],[Siirtyvän henkilöstön ELY-keskus ja TE-toimistokohtaiset toimintamenot]]+Taulukko8[[#This Row],[Valtakunnalliset toimintamenot]]</f>
        <v>183309.07019997403</v>
      </c>
      <c r="G62" s="459">
        <v>51409.779782124286</v>
      </c>
      <c r="H62" s="459">
        <v>30845.867869274571</v>
      </c>
      <c r="I62" s="459">
        <v>76516.338893731823</v>
      </c>
      <c r="J62" s="459">
        <v>25716.450894909685</v>
      </c>
      <c r="K62" s="459">
        <v>148202.63225285948</v>
      </c>
      <c r="L62" s="459">
        <v>101525.3554529316</v>
      </c>
      <c r="M62" s="459">
        <v>15652.330182720954</v>
      </c>
      <c r="N62" s="459">
        <v>10385.498999468287</v>
      </c>
      <c r="O62" s="473">
        <f>SUM(Taulukko8[[#This Row],[Työvoimaviranomaisille siirtyvä kotoutumiskoulutus]:[Muut palvelut]])</f>
        <v>408844.4745458964</v>
      </c>
      <c r="P62" s="473">
        <f>Taulukko8[[#This Row],[Palvelut yhteensä]]+Taulukko8[[#This Row],[Toimintamenot yhteensä]]</f>
        <v>592153.5447458704</v>
      </c>
      <c r="Q62" s="481">
        <v>25381.338863232901</v>
      </c>
      <c r="R62" s="481">
        <v>50762.677726465801</v>
      </c>
      <c r="S62" s="473">
        <f>Taulukko8[[#This Row],[Palvelut + toimintamenot]]-Taulukko8[[#This Row],[Poistuva velvoitetyöllistäminen]]-Taulukko8[[#This Row],[Poistuvaksi ehdotettu  palkkatuki]]</f>
        <v>516009.52815617173</v>
      </c>
      <c r="T62" s="479">
        <f>(Taulukko8[[#This Row],[Palvelut + toimintamenot, huomioitu vuonna 2025 poistuvat tehtävät]]/$S$6)*$T$2</f>
        <v>486749.21078084729</v>
      </c>
      <c r="U62" s="481">
        <f>Taulukko8[[#This Row],[Skaalattu siirtyvän rahoituksen tasoon ]]*0.5</f>
        <v>243374.60539042365</v>
      </c>
    </row>
    <row r="63" spans="1:21">
      <c r="A63" s="465">
        <v>179</v>
      </c>
      <c r="B63" s="456" t="s">
        <v>68</v>
      </c>
      <c r="C63" s="459">
        <v>145887</v>
      </c>
      <c r="D63" s="459">
        <v>7986476.6727723852</v>
      </c>
      <c r="E63" s="459">
        <v>1712188.6604115125</v>
      </c>
      <c r="F63" s="473">
        <f>Taulukko8[[#This Row],[Siirtyvän henkilöstön ELY-keskus ja TE-toimistokohtaiset toimintamenot]]+Taulukko8[[#This Row],[Valtakunnalliset toimintamenot]]</f>
        <v>9698665.3331838977</v>
      </c>
      <c r="G63" s="459">
        <v>1902161.8519385983</v>
      </c>
      <c r="H63" s="459">
        <v>1141297.1111631589</v>
      </c>
      <c r="I63" s="459">
        <v>2164319.3001369862</v>
      </c>
      <c r="J63" s="459">
        <v>1398332.0174107142</v>
      </c>
      <c r="K63" s="459">
        <v>5652094.1603165977</v>
      </c>
      <c r="L63" s="459">
        <v>2381031.188310144</v>
      </c>
      <c r="M63" s="459">
        <v>1014398.4732073625</v>
      </c>
      <c r="N63" s="459">
        <v>549484.42542464763</v>
      </c>
      <c r="O63" s="473">
        <f>SUM(Taulukko8[[#This Row],[Työvoimaviranomaisille siirtyvä kotoutumiskoulutus]:[Muut palvelut]])</f>
        <v>14300956.675969612</v>
      </c>
      <c r="P63" s="473">
        <f>Taulukko8[[#This Row],[Palvelut yhteensä]]+Taulukko8[[#This Row],[Toimintamenot yhteensä]]</f>
        <v>23999622.009153508</v>
      </c>
      <c r="Q63" s="481">
        <v>556854.06823382399</v>
      </c>
      <c r="R63" s="481">
        <v>1536149.1537484799</v>
      </c>
      <c r="S63" s="473">
        <f>Taulukko8[[#This Row],[Palvelut + toimintamenot]]-Taulukko8[[#This Row],[Poistuva velvoitetyöllistäminen]]-Taulukko8[[#This Row],[Poistuvaksi ehdotettu  palkkatuki]]</f>
        <v>21906618.787171204</v>
      </c>
      <c r="T63" s="479">
        <f>(Taulukko8[[#This Row],[Palvelut + toimintamenot, huomioitu vuonna 2025 poistuvat tehtävät]]/$S$6)*$T$2</f>
        <v>20664404.092757892</v>
      </c>
      <c r="U63" s="481">
        <f>Taulukko8[[#This Row],[Skaalattu siirtyvän rahoituksen tasoon ]]*0.5</f>
        <v>10332202.046378946</v>
      </c>
    </row>
    <row r="64" spans="1:21">
      <c r="A64" s="465">
        <v>181</v>
      </c>
      <c r="B64" s="456" t="s">
        <v>69</v>
      </c>
      <c r="C64" s="459">
        <v>1683</v>
      </c>
      <c r="D64" s="459">
        <v>48308.104553300538</v>
      </c>
      <c r="E64" s="459">
        <v>10356.580531202191</v>
      </c>
      <c r="F64" s="473">
        <f>Taulukko8[[#This Row],[Siirtyvän henkilöstön ELY-keskus ja TE-toimistokohtaiset toimintamenot]]+Taulukko8[[#This Row],[Valtakunnalliset toimintamenot]]</f>
        <v>58664.685084502729</v>
      </c>
      <c r="G64" s="459">
        <v>8568.296630354047</v>
      </c>
      <c r="H64" s="459">
        <v>5140.9779782124278</v>
      </c>
      <c r="I64" s="459">
        <v>10930.905556247404</v>
      </c>
      <c r="J64" s="459">
        <v>0</v>
      </c>
      <c r="K64" s="459">
        <v>7279.0064290331511</v>
      </c>
      <c r="L64" s="459">
        <v>8790.0870971899967</v>
      </c>
      <c r="M64" s="459">
        <v>8061.8573999999999</v>
      </c>
      <c r="N64" s="459">
        <v>3323.6872980948192</v>
      </c>
      <c r="O64" s="473">
        <f>SUM(Taulukko8[[#This Row],[Työvoimaviranomaisille siirtyvä kotoutumiskoulutus]:[Muut palvelut]])</f>
        <v>43526.521758777795</v>
      </c>
      <c r="P64" s="473">
        <f>Taulukko8[[#This Row],[Palvelut yhteensä]]+Taulukko8[[#This Row],[Toimintamenot yhteensä]]</f>
        <v>102191.20684328052</v>
      </c>
      <c r="Q64" s="481">
        <v>0</v>
      </c>
      <c r="R64" s="481">
        <v>0</v>
      </c>
      <c r="S64" s="473">
        <f>Taulukko8[[#This Row],[Palvelut + toimintamenot]]-Taulukko8[[#This Row],[Poistuva velvoitetyöllistäminen]]-Taulukko8[[#This Row],[Poistuvaksi ehdotettu  palkkatuki]]</f>
        <v>102191.20684328052</v>
      </c>
      <c r="T64" s="479">
        <f>(Taulukko8[[#This Row],[Palvelut + toimintamenot, huomioitu vuonna 2025 poistuvat tehtävät]]/$S$6)*$T$2</f>
        <v>96396.45503726961</v>
      </c>
      <c r="U64" s="481">
        <f>Taulukko8[[#This Row],[Skaalattu siirtyvän rahoituksen tasoon ]]*0.5</f>
        <v>48198.227518634805</v>
      </c>
    </row>
    <row r="65" spans="1:21">
      <c r="A65" s="465">
        <v>182</v>
      </c>
      <c r="B65" s="456" t="s">
        <v>70</v>
      </c>
      <c r="C65" s="459">
        <v>19347</v>
      </c>
      <c r="D65" s="459">
        <v>958061.13858978578</v>
      </c>
      <c r="E65" s="459">
        <v>205394.87995586169</v>
      </c>
      <c r="F65" s="473">
        <f>Taulukko8[[#This Row],[Siirtyvän henkilöstön ELY-keskus ja TE-toimistokohtaiset toimintamenot]]+Taulukko8[[#This Row],[Valtakunnalliset toimintamenot]]</f>
        <v>1163456.0185456474</v>
      </c>
      <c r="G65" s="459">
        <v>299890.38206239167</v>
      </c>
      <c r="H65" s="459">
        <v>179934.22923743501</v>
      </c>
      <c r="I65" s="459">
        <v>120239.96111872145</v>
      </c>
      <c r="J65" s="459">
        <v>90007.578132183902</v>
      </c>
      <c r="K65" s="459">
        <v>593313.75163544388</v>
      </c>
      <c r="L65" s="459">
        <v>288027.96632784</v>
      </c>
      <c r="M65" s="459">
        <v>112428.03841332711</v>
      </c>
      <c r="N65" s="459">
        <v>65916.385388620503</v>
      </c>
      <c r="O65" s="473">
        <f>SUM(Taulukko8[[#This Row],[Työvoimaviranomaisille siirtyvä kotoutumiskoulutus]:[Muut palvelut]])</f>
        <v>1449867.9102535718</v>
      </c>
      <c r="P65" s="473">
        <f>Taulukko8[[#This Row],[Palvelut yhteensä]]+Taulukko8[[#This Row],[Toimintamenot yhteensä]]</f>
        <v>2613323.9287992194</v>
      </c>
      <c r="Q65" s="481">
        <v>144013.98316392</v>
      </c>
      <c r="R65" s="481">
        <v>115211.186531136</v>
      </c>
      <c r="S65" s="473">
        <f>Taulukko8[[#This Row],[Palvelut + toimintamenot]]-Taulukko8[[#This Row],[Poistuva velvoitetyöllistäminen]]-Taulukko8[[#This Row],[Poistuvaksi ehdotettu  palkkatuki]]</f>
        <v>2354098.7591041634</v>
      </c>
      <c r="T65" s="479">
        <f>(Taulukko8[[#This Row],[Palvelut + toimintamenot, huomioitu vuonna 2025 poistuvat tehtävät]]/$S$6)*$T$2</f>
        <v>2220609.6022849544</v>
      </c>
      <c r="U65" s="481">
        <f>Taulukko8[[#This Row],[Skaalattu siirtyvän rahoituksen tasoon ]]*0.5</f>
        <v>1110304.8011424772</v>
      </c>
    </row>
    <row r="66" spans="1:21">
      <c r="A66" s="465">
        <v>186</v>
      </c>
      <c r="B66" s="456" t="s">
        <v>71</v>
      </c>
      <c r="C66" s="459">
        <v>45630</v>
      </c>
      <c r="D66" s="459">
        <v>1652701.4448593562</v>
      </c>
      <c r="E66" s="459">
        <v>354316.02556119551</v>
      </c>
      <c r="F66" s="473">
        <f>Taulukko8[[#This Row],[Siirtyvän henkilöstön ELY-keskus ja TE-toimistokohtaiset toimintamenot]]+Taulukko8[[#This Row],[Valtakunnalliset toimintamenot]]</f>
        <v>2007017.4704205517</v>
      </c>
      <c r="G66" s="459">
        <v>522666.09445159684</v>
      </c>
      <c r="H66" s="459">
        <v>313599.65667095809</v>
      </c>
      <c r="I66" s="459">
        <v>295134.4500186799</v>
      </c>
      <c r="J66" s="459">
        <v>356815.75616687187</v>
      </c>
      <c r="K66" s="459">
        <v>758790.4630394727</v>
      </c>
      <c r="L66" s="459">
        <v>314924.57616178528</v>
      </c>
      <c r="M66" s="459">
        <v>359900.37746213184</v>
      </c>
      <c r="N66" s="459">
        <v>113708.92835924147</v>
      </c>
      <c r="O66" s="473">
        <f>SUM(Taulukko8[[#This Row],[Työvoimaviranomaisille siirtyvä kotoutumiskoulutus]:[Muut palvelut]])</f>
        <v>2512874.2078791414</v>
      </c>
      <c r="P66" s="473">
        <f>Taulukko8[[#This Row],[Palvelut yhteensä]]+Taulukko8[[#This Row],[Toimintamenot yhteensä]]</f>
        <v>4519891.6782996934</v>
      </c>
      <c r="Q66" s="481">
        <v>134967.67549790797</v>
      </c>
      <c r="R66" s="481">
        <v>112473.06291492331</v>
      </c>
      <c r="S66" s="473">
        <f>Taulukko8[[#This Row],[Palvelut + toimintamenot]]-Taulukko8[[#This Row],[Poistuva velvoitetyöllistäminen]]-Taulukko8[[#This Row],[Poistuvaksi ehdotettu  palkkatuki]]</f>
        <v>4272450.9398868615</v>
      </c>
      <c r="T66" s="479">
        <f>(Taulukko8[[#This Row],[Palvelut + toimintamenot, huomioitu vuonna 2025 poistuvat tehtävät]]/$S$6)*$T$2</f>
        <v>4030181.6335073924</v>
      </c>
      <c r="U66" s="481">
        <f>Taulukko8[[#This Row],[Skaalattu siirtyvän rahoituksen tasoon ]]*0.5</f>
        <v>2015090.8167536962</v>
      </c>
    </row>
    <row r="67" spans="1:21">
      <c r="A67" s="465">
        <v>202</v>
      </c>
      <c r="B67" s="456" t="s">
        <v>72</v>
      </c>
      <c r="C67" s="459">
        <v>35848</v>
      </c>
      <c r="D67" s="459">
        <v>894369.55742017122</v>
      </c>
      <c r="E67" s="459">
        <v>191740.29765249437</v>
      </c>
      <c r="F67" s="473">
        <f>Taulukko8[[#This Row],[Siirtyvän henkilöstön ELY-keskus ja TE-toimistokohtaiset toimintamenot]]+Taulukko8[[#This Row],[Valtakunnalliset toimintamenot]]</f>
        <v>1086109.8550726655</v>
      </c>
      <c r="G67" s="459">
        <v>188502.52586778902</v>
      </c>
      <c r="H67" s="459">
        <v>113101.51552067341</v>
      </c>
      <c r="I67" s="459">
        <v>251410.82779369029</v>
      </c>
      <c r="J67" s="459">
        <v>289310.07256773394</v>
      </c>
      <c r="K67" s="459">
        <v>781039.28849536169</v>
      </c>
      <c r="L67" s="459">
        <v>383803.88907244563</v>
      </c>
      <c r="M67" s="459">
        <v>248998.30557425605</v>
      </c>
      <c r="N67" s="459">
        <v>61534.286333265205</v>
      </c>
      <c r="O67" s="473">
        <f>SUM(Taulukko8[[#This Row],[Työvoimaviranomaisille siirtyvä kotoutumiskoulutus]:[Muut palvelut]])</f>
        <v>2129198.1853574263</v>
      </c>
      <c r="P67" s="473">
        <f>Taulukko8[[#This Row],[Palvelut yhteensä]]+Taulukko8[[#This Row],[Toimintamenot yhteensä]]</f>
        <v>3215308.0404300918</v>
      </c>
      <c r="Q67" s="481">
        <v>76760.777814489134</v>
      </c>
      <c r="R67" s="481">
        <v>258195.34355782706</v>
      </c>
      <c r="S67" s="473">
        <f>Taulukko8[[#This Row],[Palvelut + toimintamenot]]-Taulukko8[[#This Row],[Poistuva velvoitetyöllistäminen]]-Taulukko8[[#This Row],[Poistuvaksi ehdotettu  palkkatuki]]</f>
        <v>2880351.9190577753</v>
      </c>
      <c r="T67" s="479">
        <f>(Taulukko8[[#This Row],[Palvelut + toimintamenot, huomioitu vuonna 2025 poistuvat tehtävät]]/$S$6)*$T$2</f>
        <v>2717021.5797801106</v>
      </c>
      <c r="U67" s="481">
        <f>Taulukko8[[#This Row],[Skaalattu siirtyvän rahoituksen tasoon ]]*0.5</f>
        <v>1358510.7898900553</v>
      </c>
    </row>
    <row r="68" spans="1:21">
      <c r="A68" s="465">
        <v>204</v>
      </c>
      <c r="B68" s="456" t="s">
        <v>73</v>
      </c>
      <c r="C68" s="459">
        <v>2689</v>
      </c>
      <c r="D68" s="459">
        <v>111663.38607933934</v>
      </c>
      <c r="E68" s="459">
        <v>23939.064904553117</v>
      </c>
      <c r="F68" s="473">
        <f>Taulukko8[[#This Row],[Siirtyvän henkilöstön ELY-keskus ja TE-toimistokohtaiset toimintamenot]]+Taulukko8[[#This Row],[Valtakunnalliset toimintamenot]]</f>
        <v>135602.45098389246</v>
      </c>
      <c r="G68" s="459">
        <v>0</v>
      </c>
      <c r="H68" s="459">
        <v>0</v>
      </c>
      <c r="I68" s="459">
        <v>10930.905556247404</v>
      </c>
      <c r="J68" s="459">
        <v>9643.6690855911329</v>
      </c>
      <c r="K68" s="459">
        <v>43861.921719457016</v>
      </c>
      <c r="L68" s="459">
        <v>15173.61328045664</v>
      </c>
      <c r="M68" s="459">
        <v>15952.007082674052</v>
      </c>
      <c r="N68" s="459">
        <v>7682.6483134867931</v>
      </c>
      <c r="O68" s="473">
        <f>SUM(Taulukko8[[#This Row],[Työvoimaviranomaisille siirtyvä kotoutumiskoulutus]:[Muut palvelut]])</f>
        <v>103244.76503791304</v>
      </c>
      <c r="P68" s="473">
        <f>Taulukko8[[#This Row],[Palvelut yhteensä]]+Taulukko8[[#This Row],[Toimintamenot yhteensä]]</f>
        <v>238847.21602180548</v>
      </c>
      <c r="Q68" s="481">
        <v>0</v>
      </c>
      <c r="R68" s="481">
        <v>15173.61328045664</v>
      </c>
      <c r="S68" s="473">
        <f>Taulukko8[[#This Row],[Palvelut + toimintamenot]]-Taulukko8[[#This Row],[Poistuva velvoitetyöllistäminen]]-Taulukko8[[#This Row],[Poistuvaksi ehdotettu  palkkatuki]]</f>
        <v>223673.60274134885</v>
      </c>
      <c r="T68" s="479">
        <f>(Taulukko8[[#This Row],[Palvelut + toimintamenot, huomioitu vuonna 2025 poistuvat tehtävät]]/$S$6)*$T$2</f>
        <v>210990.19236309451</v>
      </c>
      <c r="U68" s="481">
        <f>Taulukko8[[#This Row],[Skaalattu siirtyvän rahoituksen tasoon ]]*0.5</f>
        <v>105495.09618154725</v>
      </c>
    </row>
    <row r="69" spans="1:21">
      <c r="A69" s="465">
        <v>205</v>
      </c>
      <c r="B69" s="456" t="s">
        <v>74</v>
      </c>
      <c r="C69" s="459">
        <v>36297</v>
      </c>
      <c r="D69" s="459">
        <v>1533603.7533848623</v>
      </c>
      <c r="E69" s="459">
        <v>328783.14977893519</v>
      </c>
      <c r="F69" s="473">
        <f>Taulukko8[[#This Row],[Siirtyvän henkilöstön ELY-keskus ja TE-toimistokohtaiset toimintamenot]]+Taulukko8[[#This Row],[Valtakunnalliset toimintamenot]]</f>
        <v>1862386.9031637975</v>
      </c>
      <c r="G69" s="459">
        <v>959649.22259965329</v>
      </c>
      <c r="H69" s="459">
        <v>575789.53355979198</v>
      </c>
      <c r="I69" s="459">
        <v>513752.56114362797</v>
      </c>
      <c r="J69" s="459">
        <v>115724.02902709358</v>
      </c>
      <c r="K69" s="459">
        <v>2169646.6984210527</v>
      </c>
      <c r="L69" s="459">
        <v>646270.08481517353</v>
      </c>
      <c r="M69" s="459">
        <v>193926.85049808427</v>
      </c>
      <c r="N69" s="459">
        <v>105514.78602957423</v>
      </c>
      <c r="O69" s="473">
        <f>SUM(Taulukko8[[#This Row],[Työvoimaviranomaisille siirtyvä kotoutumiskoulutus]:[Muut palvelut]])</f>
        <v>4320624.5434943987</v>
      </c>
      <c r="P69" s="473">
        <f>Taulukko8[[#This Row],[Palvelut yhteensä]]+Taulukko8[[#This Row],[Toimintamenot yhteensä]]</f>
        <v>6183011.4466581959</v>
      </c>
      <c r="Q69" s="481">
        <v>145410.76908341405</v>
      </c>
      <c r="R69" s="481">
        <v>258508.03392606942</v>
      </c>
      <c r="S69" s="473">
        <f>Taulukko8[[#This Row],[Palvelut + toimintamenot]]-Taulukko8[[#This Row],[Poistuva velvoitetyöllistäminen]]-Taulukko8[[#This Row],[Poistuvaksi ehdotettu  palkkatuki]]</f>
        <v>5779092.643648712</v>
      </c>
      <c r="T69" s="479">
        <f>(Taulukko8[[#This Row],[Palvelut + toimintamenot, huomioitu vuonna 2025 poistuvat tehtävät]]/$S$6)*$T$2</f>
        <v>5451389.2279796395</v>
      </c>
      <c r="U69" s="481">
        <f>Taulukko8[[#This Row],[Skaalattu siirtyvän rahoituksen tasoon ]]*0.5</f>
        <v>2725694.6139898198</v>
      </c>
    </row>
    <row r="70" spans="1:21">
      <c r="A70" s="465">
        <v>208</v>
      </c>
      <c r="B70" s="456" t="s">
        <v>75</v>
      </c>
      <c r="C70" s="459">
        <v>12335</v>
      </c>
      <c r="D70" s="459">
        <v>343001.82762302819</v>
      </c>
      <c r="E70" s="459">
        <v>73534.784338474303</v>
      </c>
      <c r="F70" s="473">
        <f>Taulukko8[[#This Row],[Siirtyvän henkilöstön ELY-keskus ja TE-toimistokohtaiset toimintamenot]]+Taulukko8[[#This Row],[Valtakunnalliset toimintamenot]]</f>
        <v>416536.61196150247</v>
      </c>
      <c r="G70" s="459">
        <v>0</v>
      </c>
      <c r="H70" s="459">
        <v>0</v>
      </c>
      <c r="I70" s="459">
        <v>43723.622224989616</v>
      </c>
      <c r="J70" s="459">
        <v>3214.5563618637107</v>
      </c>
      <c r="K70" s="459">
        <v>169503.47944536601</v>
      </c>
      <c r="L70" s="459">
        <v>94770.344402194838</v>
      </c>
      <c r="M70" s="459">
        <v>162243.74527849929</v>
      </c>
      <c r="N70" s="459">
        <v>23599.162671268121</v>
      </c>
      <c r="O70" s="473">
        <f>SUM(Taulukko8[[#This Row],[Työvoimaviranomaisille siirtyvä kotoutumiskoulutus]:[Muut palvelut]])</f>
        <v>497054.91038418154</v>
      </c>
      <c r="P70" s="473">
        <f>Taulukko8[[#This Row],[Palvelut yhteensä]]+Taulukko8[[#This Row],[Toimintamenot yhteensä]]</f>
        <v>913591.522345684</v>
      </c>
      <c r="Q70" s="481">
        <v>55282.700901280325</v>
      </c>
      <c r="R70" s="481">
        <v>39487.643500914521</v>
      </c>
      <c r="S70" s="473">
        <f>Taulukko8[[#This Row],[Palvelut + toimintamenot]]-Taulukko8[[#This Row],[Poistuva velvoitetyöllistäminen]]-Taulukko8[[#This Row],[Poistuvaksi ehdotettu  palkkatuki]]</f>
        <v>818821.17794348917</v>
      </c>
      <c r="T70" s="479">
        <f>(Taulukko8[[#This Row],[Palvelut + toimintamenot, huomioitu vuonna 2025 poistuvat tehtävät]]/$S$6)*$T$2</f>
        <v>772389.92767980741</v>
      </c>
      <c r="U70" s="481">
        <f>Taulukko8[[#This Row],[Skaalattu siirtyvän rahoituksen tasoon ]]*0.5</f>
        <v>386194.96383990371</v>
      </c>
    </row>
    <row r="71" spans="1:21">
      <c r="A71" s="465">
        <v>211</v>
      </c>
      <c r="B71" s="456" t="s">
        <v>76</v>
      </c>
      <c r="C71" s="459">
        <v>32959</v>
      </c>
      <c r="D71" s="459">
        <v>906919.78394193482</v>
      </c>
      <c r="E71" s="459">
        <v>194430.89031514098</v>
      </c>
      <c r="F71" s="473">
        <f>Taulukko8[[#This Row],[Siirtyvän henkilöstön ELY-keskus ja TE-toimistokohtaiset toimintamenot]]+Taulukko8[[#This Row],[Valtakunnalliset toimintamenot]]</f>
        <v>1101350.6742570759</v>
      </c>
      <c r="G71" s="459">
        <v>77114.669673186421</v>
      </c>
      <c r="H71" s="459">
        <v>46268.801803911854</v>
      </c>
      <c r="I71" s="459">
        <v>163963.58334371107</v>
      </c>
      <c r="J71" s="459">
        <v>61076.5708754105</v>
      </c>
      <c r="K71" s="459">
        <v>913720.37913184415</v>
      </c>
      <c r="L71" s="459">
        <v>147261.14851332034</v>
      </c>
      <c r="M71" s="459">
        <v>226510.98839383424</v>
      </c>
      <c r="N71" s="459">
        <v>62397.765222870054</v>
      </c>
      <c r="O71" s="473">
        <f>SUM(Taulukko8[[#This Row],[Työvoimaviranomaisille siirtyvä kotoutumiskoulutus]:[Muut palvelut]])</f>
        <v>1621199.2372849023</v>
      </c>
      <c r="P71" s="473">
        <f>Taulukko8[[#This Row],[Palvelut yhteensä]]+Taulukko8[[#This Row],[Toimintamenot yhteensä]]</f>
        <v>2722549.9115419779</v>
      </c>
      <c r="Q71" s="481">
        <v>46855.819981511013</v>
      </c>
      <c r="R71" s="481">
        <v>87017.951394234755</v>
      </c>
      <c r="S71" s="473">
        <f>Taulukko8[[#This Row],[Palvelut + toimintamenot]]-Taulukko8[[#This Row],[Poistuva velvoitetyöllistäminen]]-Taulukko8[[#This Row],[Poistuvaksi ehdotettu  palkkatuki]]</f>
        <v>2588676.1401662319</v>
      </c>
      <c r="T71" s="479">
        <f>(Taulukko8[[#This Row],[Palvelut + toimintamenot, huomioitu vuonna 2025 poistuvat tehtävät]]/$S$6)*$T$2</f>
        <v>2441885.2742807688</v>
      </c>
      <c r="U71" s="481">
        <f>Taulukko8[[#This Row],[Skaalattu siirtyvän rahoituksen tasoon ]]*0.5</f>
        <v>1220942.6371403844</v>
      </c>
    </row>
    <row r="72" spans="1:21">
      <c r="A72" s="465">
        <v>213</v>
      </c>
      <c r="B72" s="456" t="s">
        <v>77</v>
      </c>
      <c r="C72" s="459">
        <v>5154</v>
      </c>
      <c r="D72" s="459">
        <v>176009.7099178627</v>
      </c>
      <c r="E72" s="459">
        <v>37734.014859279741</v>
      </c>
      <c r="F72" s="473">
        <f>Taulukko8[[#This Row],[Siirtyvän henkilöstön ELY-keskus ja TE-toimistokohtaiset toimintamenot]]+Taulukko8[[#This Row],[Valtakunnalliset toimintamenot]]</f>
        <v>213743.72477714243</v>
      </c>
      <c r="G72" s="459">
        <v>42841.483151770233</v>
      </c>
      <c r="H72" s="459">
        <v>25704.889891062139</v>
      </c>
      <c r="I72" s="459">
        <v>76516.338893731823</v>
      </c>
      <c r="J72" s="459">
        <v>19287.338171182266</v>
      </c>
      <c r="K72" s="459">
        <v>210603.74056985293</v>
      </c>
      <c r="L72" s="459">
        <v>160748.4794671417</v>
      </c>
      <c r="M72" s="459">
        <v>31304.660365441909</v>
      </c>
      <c r="N72" s="459">
        <v>12109.794880275118</v>
      </c>
      <c r="O72" s="473">
        <f>SUM(Taulukko8[[#This Row],[Työvoimaviranomaisille siirtyvä kotoutumiskoulutus]:[Muut palvelut]])</f>
        <v>536275.24223868793</v>
      </c>
      <c r="P72" s="473">
        <f>Taulukko8[[#This Row],[Palvelut yhteensä]]+Taulukko8[[#This Row],[Toimintamenot yhteensä]]</f>
        <v>750018.96701583033</v>
      </c>
      <c r="Q72" s="481">
        <v>16920.8925754886</v>
      </c>
      <c r="R72" s="481">
        <v>50762.677726465801</v>
      </c>
      <c r="S72" s="473">
        <f>Taulukko8[[#This Row],[Palvelut + toimintamenot]]-Taulukko8[[#This Row],[Poistuva velvoitetyöllistäminen]]-Taulukko8[[#This Row],[Poistuvaksi ehdotettu  palkkatuki]]</f>
        <v>682335.39671387593</v>
      </c>
      <c r="T72" s="479">
        <f>(Taulukko8[[#This Row],[Palvelut + toimintamenot, huomioitu vuonna 2025 poistuvat tehtävät]]/$S$6)*$T$2</f>
        <v>643643.57190279732</v>
      </c>
      <c r="U72" s="481">
        <f>Taulukko8[[#This Row],[Skaalattu siirtyvän rahoituksen tasoon ]]*0.5</f>
        <v>321821.78595139866</v>
      </c>
    </row>
    <row r="73" spans="1:21">
      <c r="A73" s="465">
        <v>214</v>
      </c>
      <c r="B73" s="456" t="s">
        <v>78</v>
      </c>
      <c r="C73" s="459">
        <v>12528</v>
      </c>
      <c r="D73" s="459">
        <v>518008.59081624437</v>
      </c>
      <c r="E73" s="459">
        <v>111053.78147726272</v>
      </c>
      <c r="F73" s="473">
        <f>Taulukko8[[#This Row],[Siirtyvän henkilöstön ELY-keskus ja TE-toimistokohtaiset toimintamenot]]+Taulukko8[[#This Row],[Valtakunnalliset toimintamenot]]</f>
        <v>629062.3722935071</v>
      </c>
      <c r="G73" s="459">
        <v>145661.0427160188</v>
      </c>
      <c r="H73" s="459">
        <v>87396.62562961127</v>
      </c>
      <c r="I73" s="459">
        <v>109309.05556247404</v>
      </c>
      <c r="J73" s="459">
        <v>9643.6690855911329</v>
      </c>
      <c r="K73" s="459">
        <v>575041.50789361889</v>
      </c>
      <c r="L73" s="459">
        <v>96690.95806908996</v>
      </c>
      <c r="M73" s="459">
        <v>56477.93235405405</v>
      </c>
      <c r="N73" s="459">
        <v>35639.95295448447</v>
      </c>
      <c r="O73" s="473">
        <f>SUM(Taulukko8[[#This Row],[Työvoimaviranomaisille siirtyvä kotoutumiskoulutus]:[Muut palvelut]])</f>
        <v>970199.70154892385</v>
      </c>
      <c r="P73" s="473">
        <f>Taulukko8[[#This Row],[Palvelut yhteensä]]+Taulukko8[[#This Row],[Toimintamenot yhteensä]]</f>
        <v>1599262.073842431</v>
      </c>
      <c r="Q73" s="481">
        <v>61530.609680329973</v>
      </c>
      <c r="R73" s="481">
        <v>35160.348388759987</v>
      </c>
      <c r="S73" s="473">
        <f>Taulukko8[[#This Row],[Palvelut + toimintamenot]]-Taulukko8[[#This Row],[Poistuva velvoitetyöllistäminen]]-Taulukko8[[#This Row],[Poistuvaksi ehdotettu  palkkatuki]]</f>
        <v>1502571.1157733412</v>
      </c>
      <c r="T73" s="479">
        <f>(Taulukko8[[#This Row],[Palvelut + toimintamenot, huomioitu vuonna 2025 poistuvat tehtävät]]/$S$6)*$T$2</f>
        <v>1417367.8291526006</v>
      </c>
      <c r="U73" s="481">
        <f>Taulukko8[[#This Row],[Skaalattu siirtyvän rahoituksen tasoon ]]*0.5</f>
        <v>708683.9145763003</v>
      </c>
    </row>
    <row r="74" spans="1:21">
      <c r="A74" s="465">
        <v>216</v>
      </c>
      <c r="B74" s="456" t="s">
        <v>79</v>
      </c>
      <c r="C74" s="459">
        <v>1269</v>
      </c>
      <c r="D74" s="459">
        <v>54310.904385977177</v>
      </c>
      <c r="E74" s="459">
        <v>11643.496680255592</v>
      </c>
      <c r="F74" s="473">
        <f>Taulukko8[[#This Row],[Siirtyvän henkilöstön ELY-keskus ja TE-toimistokohtaiset toimintamenot]]+Taulukko8[[#This Row],[Valtakunnalliset toimintamenot]]</f>
        <v>65954.401066232764</v>
      </c>
      <c r="G74" s="459">
        <v>0</v>
      </c>
      <c r="H74" s="459">
        <v>0</v>
      </c>
      <c r="I74" s="459">
        <v>10930.905556247404</v>
      </c>
      <c r="J74" s="459">
        <v>12858.225447454843</v>
      </c>
      <c r="K74" s="459">
        <v>15613.519779880104</v>
      </c>
      <c r="L74" s="459">
        <v>57605.593265568001</v>
      </c>
      <c r="M74" s="459">
        <v>14067.673837837836</v>
      </c>
      <c r="N74" s="459">
        <v>3736.6910733694158</v>
      </c>
      <c r="O74" s="473">
        <f>SUM(Taulukko8[[#This Row],[Työvoimaviranomaisille siirtyvä kotoutumiskoulutus]:[Muut palvelut]])</f>
        <v>114812.6089603576</v>
      </c>
      <c r="P74" s="473">
        <f>Taulukko8[[#This Row],[Palvelut yhteensä]]+Taulukko8[[#This Row],[Toimintamenot yhteensä]]</f>
        <v>180767.01002659037</v>
      </c>
      <c r="Q74" s="481">
        <v>0</v>
      </c>
      <c r="R74" s="481">
        <v>28802.796632784</v>
      </c>
      <c r="S74" s="473">
        <f>Taulukko8[[#This Row],[Palvelut + toimintamenot]]-Taulukko8[[#This Row],[Poistuva velvoitetyöllistäminen]]-Taulukko8[[#This Row],[Poistuvaksi ehdotettu  palkkatuki]]</f>
        <v>151964.21339380636</v>
      </c>
      <c r="T74" s="479">
        <f>(Taulukko8[[#This Row],[Palvelut + toimintamenot, huomioitu vuonna 2025 poistuvat tehtävät]]/$S$6)*$T$2</f>
        <v>143347.08353288536</v>
      </c>
      <c r="U74" s="481">
        <f>Taulukko8[[#This Row],[Skaalattu siirtyvän rahoituksen tasoon ]]*0.5</f>
        <v>71673.541766442679</v>
      </c>
    </row>
    <row r="75" spans="1:21">
      <c r="A75" s="465">
        <v>217</v>
      </c>
      <c r="B75" s="456" t="s">
        <v>80</v>
      </c>
      <c r="C75" s="459">
        <v>5352</v>
      </c>
      <c r="D75" s="459">
        <v>152813.96282025153</v>
      </c>
      <c r="E75" s="459">
        <v>32761.171792486377</v>
      </c>
      <c r="F75" s="473">
        <f>Taulukko8[[#This Row],[Siirtyvän henkilöstön ELY-keskus ja TE-toimistokohtaiset toimintamenot]]+Taulukko8[[#This Row],[Valtakunnalliset toimintamenot]]</f>
        <v>185575.13461273792</v>
      </c>
      <c r="G75" s="459">
        <v>8568.296630354047</v>
      </c>
      <c r="H75" s="459">
        <v>5140.9779782124278</v>
      </c>
      <c r="I75" s="459">
        <v>32792.716668742214</v>
      </c>
      <c r="J75" s="459">
        <v>32145.563618637105</v>
      </c>
      <c r="K75" s="459">
        <v>166453.52170588233</v>
      </c>
      <c r="L75" s="459">
        <v>28157.067481394733</v>
      </c>
      <c r="M75" s="459">
        <v>11590.972400000001</v>
      </c>
      <c r="N75" s="459">
        <v>10513.884407052408</v>
      </c>
      <c r="O75" s="473">
        <f>SUM(Taulukko8[[#This Row],[Työvoimaviranomaisille siirtyvä kotoutumiskoulutus]:[Muut palvelut]])</f>
        <v>286794.70425992127</v>
      </c>
      <c r="P75" s="473">
        <f>Taulukko8[[#This Row],[Palvelut yhteensä]]+Taulukko8[[#This Row],[Toimintamenot yhteensä]]</f>
        <v>472369.83887265919</v>
      </c>
      <c r="Q75" s="481">
        <v>18771.37832092982</v>
      </c>
      <c r="R75" s="481">
        <v>9385.6891604649099</v>
      </c>
      <c r="S75" s="473">
        <f>Taulukko8[[#This Row],[Palvelut + toimintamenot]]-Taulukko8[[#This Row],[Poistuva velvoitetyöllistäminen]]-Taulukko8[[#This Row],[Poistuvaksi ehdotettu  palkkatuki]]</f>
        <v>444212.77139126445</v>
      </c>
      <c r="T75" s="479">
        <f>(Taulukko8[[#This Row],[Palvelut + toimintamenot, huomioitu vuonna 2025 poistuvat tehtävät]]/$S$6)*$T$2</f>
        <v>419023.68870218081</v>
      </c>
      <c r="U75" s="481">
        <f>Taulukko8[[#This Row],[Skaalattu siirtyvän rahoituksen tasoon ]]*0.5</f>
        <v>209511.8443510904</v>
      </c>
    </row>
    <row r="76" spans="1:21">
      <c r="A76" s="465">
        <v>218</v>
      </c>
      <c r="B76" s="456" t="s">
        <v>81</v>
      </c>
      <c r="C76" s="459">
        <v>1200</v>
      </c>
      <c r="D76" s="459">
        <v>35040.63719877776</v>
      </c>
      <c r="E76" s="459">
        <v>7512.221486839243</v>
      </c>
      <c r="F76" s="473">
        <f>Taulukko8[[#This Row],[Siirtyvän henkilöstön ELY-keskus ja TE-toimistokohtaiset toimintamenot]]+Taulukko8[[#This Row],[Valtakunnalliset toimintamenot]]</f>
        <v>42552.858685617</v>
      </c>
      <c r="G76" s="459">
        <v>8568.296630354047</v>
      </c>
      <c r="H76" s="459">
        <v>5140.9779782124278</v>
      </c>
      <c r="I76" s="459">
        <v>0</v>
      </c>
      <c r="J76" s="459">
        <v>0</v>
      </c>
      <c r="K76" s="459">
        <v>23826.669330357141</v>
      </c>
      <c r="L76" s="459">
        <v>9546.8881403803643</v>
      </c>
      <c r="M76" s="459">
        <v>0</v>
      </c>
      <c r="N76" s="459">
        <v>2410.8609073292509</v>
      </c>
      <c r="O76" s="473">
        <f>SUM(Taulukko8[[#This Row],[Työvoimaviranomaisille siirtyvä kotoutumiskoulutus]:[Muut palvelut]])</f>
        <v>40925.396356279183</v>
      </c>
      <c r="P76" s="473">
        <f>Taulukko8[[#This Row],[Palvelut yhteensä]]+Taulukko8[[#This Row],[Toimintamenot yhteensä]]</f>
        <v>83478.255041896191</v>
      </c>
      <c r="Q76" s="481">
        <v>0</v>
      </c>
      <c r="R76" s="481">
        <v>9546.8881403803643</v>
      </c>
      <c r="S76" s="473">
        <f>Taulukko8[[#This Row],[Palvelut + toimintamenot]]-Taulukko8[[#This Row],[Poistuva velvoitetyöllistäminen]]-Taulukko8[[#This Row],[Poistuvaksi ehdotettu  palkkatuki]]</f>
        <v>73931.366901515823</v>
      </c>
      <c r="T76" s="479">
        <f>(Taulukko8[[#This Row],[Palvelut + toimintamenot, huomioitu vuonna 2025 poistuvat tehtävät]]/$S$6)*$T$2</f>
        <v>69739.089159552896</v>
      </c>
      <c r="U76" s="481">
        <f>Taulukko8[[#This Row],[Skaalattu siirtyvän rahoituksen tasoon ]]*0.5</f>
        <v>34869.544579776448</v>
      </c>
    </row>
    <row r="77" spans="1:21">
      <c r="A77" s="465">
        <v>224</v>
      </c>
      <c r="B77" s="456" t="s">
        <v>82</v>
      </c>
      <c r="C77" s="459">
        <v>8603</v>
      </c>
      <c r="D77" s="459">
        <v>363328.611389603</v>
      </c>
      <c r="E77" s="459">
        <v>77892.561878402281</v>
      </c>
      <c r="F77" s="473">
        <f>Taulukko8[[#This Row],[Siirtyvän henkilöstön ELY-keskus ja TE-toimistokohtaiset toimintamenot]]+Taulukko8[[#This Row],[Valtakunnalliset toimintamenot]]</f>
        <v>441221.17326800525</v>
      </c>
      <c r="G77" s="459">
        <v>77114.669673186421</v>
      </c>
      <c r="H77" s="459">
        <v>46268.801803911854</v>
      </c>
      <c r="I77" s="459">
        <v>54654.527781237019</v>
      </c>
      <c r="J77" s="459">
        <v>45003.789066091951</v>
      </c>
      <c r="K77" s="459">
        <v>372099.16937512602</v>
      </c>
      <c r="L77" s="459">
        <v>314924.57616178528</v>
      </c>
      <c r="M77" s="459">
        <v>65422.060685805118</v>
      </c>
      <c r="N77" s="459">
        <v>24997.683139847937</v>
      </c>
      <c r="O77" s="473">
        <f>SUM(Taulukko8[[#This Row],[Työvoimaviranomaisille siirtyvä kotoutumiskoulutus]:[Muut palvelut]])</f>
        <v>923370.60801380523</v>
      </c>
      <c r="P77" s="473">
        <f>Taulukko8[[#This Row],[Palvelut yhteensä]]+Taulukko8[[#This Row],[Toimintamenot yhteensä]]</f>
        <v>1364591.7812818105</v>
      </c>
      <c r="Q77" s="481">
        <v>22494.612582984661</v>
      </c>
      <c r="R77" s="481">
        <v>191204.20695536962</v>
      </c>
      <c r="S77" s="473">
        <f>Taulukko8[[#This Row],[Palvelut + toimintamenot]]-Taulukko8[[#This Row],[Poistuva velvoitetyöllistäminen]]-Taulukko8[[#This Row],[Poistuvaksi ehdotettu  palkkatuki]]</f>
        <v>1150892.9617434563</v>
      </c>
      <c r="T77" s="479">
        <f>(Taulukko8[[#This Row],[Palvelut + toimintamenot, huomioitu vuonna 2025 poistuvat tehtävät]]/$S$6)*$T$2</f>
        <v>1085631.582857738</v>
      </c>
      <c r="U77" s="481">
        <f>Taulukko8[[#This Row],[Skaalattu siirtyvän rahoituksen tasoon ]]*0.5</f>
        <v>542815.79142886901</v>
      </c>
    </row>
    <row r="78" spans="1:21">
      <c r="A78" s="465">
        <v>226</v>
      </c>
      <c r="B78" s="456" t="s">
        <v>83</v>
      </c>
      <c r="C78" s="459">
        <v>3665</v>
      </c>
      <c r="D78" s="459">
        <v>152608.61171045745</v>
      </c>
      <c r="E78" s="459">
        <v>32717.147392741863</v>
      </c>
      <c r="F78" s="473">
        <f>Taulukko8[[#This Row],[Siirtyvän henkilöstön ELY-keskus ja TE-toimistokohtaiset toimintamenot]]+Taulukko8[[#This Row],[Valtakunnalliset toimintamenot]]</f>
        <v>185325.75910319932</v>
      </c>
      <c r="G78" s="459">
        <v>0</v>
      </c>
      <c r="H78" s="459">
        <v>0</v>
      </c>
      <c r="I78" s="459">
        <v>0</v>
      </c>
      <c r="J78" s="459">
        <v>28931.007256773395</v>
      </c>
      <c r="K78" s="459">
        <v>124908.15823904083</v>
      </c>
      <c r="L78" s="459">
        <v>105610.254320208</v>
      </c>
      <c r="M78" s="459">
        <v>30454.770584342961</v>
      </c>
      <c r="N78" s="459">
        <v>10499.755869375687</v>
      </c>
      <c r="O78" s="473">
        <f>SUM(Taulukko8[[#This Row],[Työvoimaviranomaisille siirtyvä kotoutumiskoulutus]:[Muut palvelut]])</f>
        <v>300403.94626974082</v>
      </c>
      <c r="P78" s="473">
        <f>Taulukko8[[#This Row],[Palvelut yhteensä]]+Taulukko8[[#This Row],[Toimintamenot yhteensä]]</f>
        <v>485729.70537294017</v>
      </c>
      <c r="Q78" s="481">
        <v>19201.864421856</v>
      </c>
      <c r="R78" s="481">
        <v>57605.593265567994</v>
      </c>
      <c r="S78" s="473">
        <f>Taulukko8[[#This Row],[Palvelut + toimintamenot]]-Taulukko8[[#This Row],[Poistuva velvoitetyöllistäminen]]-Taulukko8[[#This Row],[Poistuvaksi ehdotettu  palkkatuki]]</f>
        <v>408922.24768551614</v>
      </c>
      <c r="T78" s="479">
        <f>(Taulukko8[[#This Row],[Palvelut + toimintamenot, huomioitu vuonna 2025 poistuvat tehtävät]]/$S$6)*$T$2</f>
        <v>385734.31394354865</v>
      </c>
      <c r="U78" s="481">
        <f>Taulukko8[[#This Row],[Skaalattu siirtyvän rahoituksen tasoon ]]*0.5</f>
        <v>192867.15697177433</v>
      </c>
    </row>
    <row r="79" spans="1:21">
      <c r="A79" s="465">
        <v>230</v>
      </c>
      <c r="B79" s="456" t="s">
        <v>84</v>
      </c>
      <c r="C79" s="459">
        <v>2240</v>
      </c>
      <c r="D79" s="459">
        <v>81842.833613588271</v>
      </c>
      <c r="E79" s="459">
        <v>17545.956419914997</v>
      </c>
      <c r="F79" s="473">
        <f>Taulukko8[[#This Row],[Siirtyvän henkilöstön ELY-keskus ja TE-toimistokohtaiset toimintamenot]]+Taulukko8[[#This Row],[Valtakunnalliset toimintamenot]]</f>
        <v>99388.790033503261</v>
      </c>
      <c r="G79" s="459">
        <v>17136.593260708094</v>
      </c>
      <c r="H79" s="459">
        <v>10281.955956424856</v>
      </c>
      <c r="I79" s="459">
        <v>10930.905556247404</v>
      </c>
      <c r="J79" s="459">
        <v>0</v>
      </c>
      <c r="K79" s="459">
        <v>58232.051432265209</v>
      </c>
      <c r="L79" s="459">
        <v>35160.348388759987</v>
      </c>
      <c r="M79" s="459">
        <v>33311.324967567562</v>
      </c>
      <c r="N79" s="459">
        <v>5630.9389291281132</v>
      </c>
      <c r="O79" s="473">
        <f>SUM(Taulukko8[[#This Row],[Työvoimaviranomaisille siirtyvä kotoutumiskoulutus]:[Muut palvelut]])</f>
        <v>153547.52523039313</v>
      </c>
      <c r="P79" s="473">
        <f>Taulukko8[[#This Row],[Palvelut yhteensä]]+Taulukko8[[#This Row],[Toimintamenot yhteensä]]</f>
        <v>252936.31526389639</v>
      </c>
      <c r="Q79" s="481">
        <v>17580.174194379993</v>
      </c>
      <c r="R79" s="481">
        <v>0</v>
      </c>
      <c r="S79" s="473">
        <f>Taulukko8[[#This Row],[Palvelut + toimintamenot]]-Taulukko8[[#This Row],[Poistuva velvoitetyöllistäminen]]-Taulukko8[[#This Row],[Poistuvaksi ehdotettu  palkkatuki]]</f>
        <v>235356.14106951639</v>
      </c>
      <c r="T79" s="479">
        <f>(Taulukko8[[#This Row],[Palvelut + toimintamenot, huomioitu vuonna 2025 poistuvat tehtävät]]/$S$6)*$T$2</f>
        <v>222010.27242144477</v>
      </c>
      <c r="U79" s="481">
        <f>Taulukko8[[#This Row],[Skaalattu siirtyvän rahoituksen tasoon ]]*0.5</f>
        <v>111005.13621072238</v>
      </c>
    </row>
    <row r="80" spans="1:21">
      <c r="A80" s="465">
        <v>231</v>
      </c>
      <c r="B80" s="456" t="s">
        <v>85</v>
      </c>
      <c r="C80" s="459">
        <v>1256</v>
      </c>
      <c r="D80" s="459">
        <v>39594.074850733763</v>
      </c>
      <c r="E80" s="459">
        <v>8488.4146985654224</v>
      </c>
      <c r="F80" s="473">
        <f>Taulukko8[[#This Row],[Siirtyvän henkilöstön ELY-keskus ja TE-toimistokohtaiset toimintamenot]]+Taulukko8[[#This Row],[Valtakunnalliset toimintamenot]]</f>
        <v>48082.489549299185</v>
      </c>
      <c r="G80" s="459">
        <v>0</v>
      </c>
      <c r="H80" s="459">
        <v>0</v>
      </c>
      <c r="I80" s="459">
        <v>21861.811112494808</v>
      </c>
      <c r="J80" s="459">
        <v>6429.1127237274213</v>
      </c>
      <c r="K80" s="459">
        <v>7926.3581764705878</v>
      </c>
      <c r="L80" s="459">
        <v>37542.756641859647</v>
      </c>
      <c r="M80" s="459">
        <v>10500.079264516131</v>
      </c>
      <c r="N80" s="459">
        <v>2724.1458732043789</v>
      </c>
      <c r="O80" s="473">
        <f>SUM(Taulukko8[[#This Row],[Työvoimaviranomaisille siirtyvä kotoutumiskoulutus]:[Muut palvelut]])</f>
        <v>86984.263792272977</v>
      </c>
      <c r="P80" s="473">
        <f>Taulukko8[[#This Row],[Palvelut yhteensä]]+Taulukko8[[#This Row],[Toimintamenot yhteensä]]</f>
        <v>135066.75334157216</v>
      </c>
      <c r="Q80" s="481">
        <v>0</v>
      </c>
      <c r="R80" s="481">
        <v>18771.378320929824</v>
      </c>
      <c r="S80" s="473">
        <f>Taulukko8[[#This Row],[Palvelut + toimintamenot]]-Taulukko8[[#This Row],[Poistuva velvoitetyöllistäminen]]-Taulukko8[[#This Row],[Poistuvaksi ehdotettu  palkkatuki]]</f>
        <v>116295.37502064233</v>
      </c>
      <c r="T80" s="479">
        <f>(Taulukko8[[#This Row],[Palvelut + toimintamenot, huomioitu vuonna 2025 poistuvat tehtävät]]/$S$6)*$T$2</f>
        <v>109700.84643791335</v>
      </c>
      <c r="U80" s="481">
        <f>Taulukko8[[#This Row],[Skaalattu siirtyvän rahoituksen tasoon ]]*0.5</f>
        <v>54850.423218956676</v>
      </c>
    </row>
    <row r="81" spans="1:21">
      <c r="A81" s="465">
        <v>232</v>
      </c>
      <c r="B81" s="456" t="s">
        <v>86</v>
      </c>
      <c r="C81" s="459">
        <v>12750</v>
      </c>
      <c r="D81" s="459">
        <v>454507.48024122132</v>
      </c>
      <c r="E81" s="459">
        <v>97440.0333997454</v>
      </c>
      <c r="F81" s="473">
        <f>Taulukko8[[#This Row],[Siirtyvän henkilöstön ELY-keskus ja TE-toimistokohtaiset toimintamenot]]+Taulukko8[[#This Row],[Valtakunnalliset toimintamenot]]</f>
        <v>551947.51364096673</v>
      </c>
      <c r="G81" s="459">
        <v>77114.669673186421</v>
      </c>
      <c r="H81" s="459">
        <v>46268.801803911854</v>
      </c>
      <c r="I81" s="459">
        <v>54654.527781237019</v>
      </c>
      <c r="J81" s="459">
        <v>54647.45815168308</v>
      </c>
      <c r="K81" s="459">
        <v>325631.14751488093</v>
      </c>
      <c r="L81" s="459">
        <v>343687.97305369313</v>
      </c>
      <c r="M81" s="459">
        <v>35634.207860481838</v>
      </c>
      <c r="N81" s="459">
        <v>31270.958629727866</v>
      </c>
      <c r="O81" s="473">
        <f>SUM(Taulukko8[[#This Row],[Työvoimaviranomaisille siirtyvä kotoutumiskoulutus]:[Muut palvelut]])</f>
        <v>891795.07479561563</v>
      </c>
      <c r="P81" s="473">
        <f>Taulukko8[[#This Row],[Palvelut yhteensä]]+Taulukko8[[#This Row],[Toimintamenot yhteensä]]</f>
        <v>1443742.5884365824</v>
      </c>
      <c r="Q81" s="481">
        <v>9546.8881403803643</v>
      </c>
      <c r="R81" s="481">
        <v>181390.87466722695</v>
      </c>
      <c r="S81" s="473">
        <f>Taulukko8[[#This Row],[Palvelut + toimintamenot]]-Taulukko8[[#This Row],[Poistuva velvoitetyöllistäminen]]-Taulukko8[[#This Row],[Poistuvaksi ehdotettu  palkkatuki]]</f>
        <v>1252804.8256289749</v>
      </c>
      <c r="T81" s="479">
        <f>(Taulukko8[[#This Row],[Palvelut + toimintamenot, huomioitu vuonna 2025 poistuvat tehtävät]]/$S$6)*$T$2</f>
        <v>1181764.5350780855</v>
      </c>
      <c r="U81" s="481">
        <f>Taulukko8[[#This Row],[Skaalattu siirtyvän rahoituksen tasoon ]]*0.5</f>
        <v>590882.26753904275</v>
      </c>
    </row>
    <row r="82" spans="1:21">
      <c r="A82" s="465">
        <v>233</v>
      </c>
      <c r="B82" s="456" t="s">
        <v>87</v>
      </c>
      <c r="C82" s="459">
        <v>15116</v>
      </c>
      <c r="D82" s="459">
        <v>366626.13355847046</v>
      </c>
      <c r="E82" s="459">
        <v>78599.504413430128</v>
      </c>
      <c r="F82" s="473">
        <f>Taulukko8[[#This Row],[Siirtyvän henkilöstön ELY-keskus ja TE-toimistokohtaiset toimintamenot]]+Taulukko8[[#This Row],[Valtakunnalliset toimintamenot]]</f>
        <v>445225.63797190058</v>
      </c>
      <c r="G82" s="459">
        <v>94251.262933894512</v>
      </c>
      <c r="H82" s="459">
        <v>56550.757760336703</v>
      </c>
      <c r="I82" s="459">
        <v>76516.338893731823</v>
      </c>
      <c r="J82" s="459">
        <v>96436.690855911322</v>
      </c>
      <c r="K82" s="459">
        <v>373284.4861755952</v>
      </c>
      <c r="L82" s="459">
        <v>124109.54582494474</v>
      </c>
      <c r="M82" s="459">
        <v>60770.073056454516</v>
      </c>
      <c r="N82" s="459">
        <v>25224.558788337901</v>
      </c>
      <c r="O82" s="473">
        <f>SUM(Taulukko8[[#This Row],[Työvoimaviranomaisille siirtyvä kotoutumiskoulutus]:[Muut palvelut]])</f>
        <v>812892.45135531214</v>
      </c>
      <c r="P82" s="473">
        <f>Taulukko8[[#This Row],[Palvelut yhteensä]]+Taulukko8[[#This Row],[Toimintamenot yhteensä]]</f>
        <v>1258118.0893272127</v>
      </c>
      <c r="Q82" s="481">
        <v>19093.776280760729</v>
      </c>
      <c r="R82" s="481">
        <v>28640.664421141097</v>
      </c>
      <c r="S82" s="473">
        <f>Taulukko8[[#This Row],[Palvelut + toimintamenot]]-Taulukko8[[#This Row],[Poistuva velvoitetyöllistäminen]]-Taulukko8[[#This Row],[Poistuvaksi ehdotettu  palkkatuki]]</f>
        <v>1210383.6486253107</v>
      </c>
      <c r="T82" s="479">
        <f>(Taulukko8[[#This Row],[Palvelut + toimintamenot, huomioitu vuonna 2025 poistuvat tehtävät]]/$S$6)*$T$2</f>
        <v>1141748.8506764618</v>
      </c>
      <c r="U82" s="481">
        <f>Taulukko8[[#This Row],[Skaalattu siirtyvän rahoituksen tasoon ]]*0.5</f>
        <v>570874.42533823091</v>
      </c>
    </row>
    <row r="83" spans="1:21">
      <c r="A83" s="465">
        <v>235</v>
      </c>
      <c r="B83" s="456" t="s">
        <v>88</v>
      </c>
      <c r="C83" s="459">
        <v>10284</v>
      </c>
      <c r="D83" s="459">
        <v>221978.59748133484</v>
      </c>
      <c r="E83" s="459">
        <v>47589.100054261813</v>
      </c>
      <c r="F83" s="473">
        <f>Taulukko8[[#This Row],[Siirtyvän henkilöstön ELY-keskus ja TE-toimistokohtaiset toimintamenot]]+Taulukko8[[#This Row],[Valtakunnalliset toimintamenot]]</f>
        <v>269567.69753559667</v>
      </c>
      <c r="G83" s="459">
        <v>94251.262933894512</v>
      </c>
      <c r="H83" s="459">
        <v>56550.757760336703</v>
      </c>
      <c r="I83" s="459">
        <v>76516.338893731823</v>
      </c>
      <c r="J83" s="459">
        <v>41789.232704228241</v>
      </c>
      <c r="K83" s="459">
        <v>94848.807879934087</v>
      </c>
      <c r="L83" s="459">
        <v>78731.144040446321</v>
      </c>
      <c r="M83" s="459">
        <v>63869.040811215775</v>
      </c>
      <c r="N83" s="459">
        <v>15272.539705704676</v>
      </c>
      <c r="O83" s="473">
        <f>SUM(Taulukko8[[#This Row],[Työvoimaviranomaisille siirtyvä kotoutumiskoulutus]:[Muut palvelut]])</f>
        <v>427577.86179559759</v>
      </c>
      <c r="P83" s="473">
        <f>Taulukko8[[#This Row],[Palvelut yhteensä]]+Taulukko8[[#This Row],[Toimintamenot yhteensä]]</f>
        <v>697145.55933119426</v>
      </c>
      <c r="Q83" s="481">
        <v>11247.30629149233</v>
      </c>
      <c r="R83" s="481">
        <v>11247.30629149233</v>
      </c>
      <c r="S83" s="473">
        <f>Taulukko8[[#This Row],[Palvelut + toimintamenot]]-Taulukko8[[#This Row],[Poistuva velvoitetyöllistäminen]]-Taulukko8[[#This Row],[Poistuvaksi ehdotettu  palkkatuki]]</f>
        <v>674650.94674820965</v>
      </c>
      <c r="T83" s="479">
        <f>(Taulukko8[[#This Row],[Palvelut + toimintamenot, huomioitu vuonna 2025 poistuvat tehtävät]]/$S$6)*$T$2</f>
        <v>636394.86862896755</v>
      </c>
      <c r="U83" s="481">
        <f>Taulukko8[[#This Row],[Skaalattu siirtyvän rahoituksen tasoon ]]*0.5</f>
        <v>318197.43431448378</v>
      </c>
    </row>
    <row r="84" spans="1:21">
      <c r="A84" s="465">
        <v>236</v>
      </c>
      <c r="B84" s="456" t="s">
        <v>89</v>
      </c>
      <c r="C84" s="459">
        <v>4198</v>
      </c>
      <c r="D84" s="459">
        <v>111336.01474488499</v>
      </c>
      <c r="E84" s="459">
        <v>23868.881078873455</v>
      </c>
      <c r="F84" s="473">
        <f>Taulukko8[[#This Row],[Siirtyvän henkilöstön ELY-keskus ja TE-toimistokohtaiset toimintamenot]]+Taulukko8[[#This Row],[Valtakunnalliset toimintamenot]]</f>
        <v>135204.89582375844</v>
      </c>
      <c r="G84" s="459">
        <v>8568.296630354047</v>
      </c>
      <c r="H84" s="459">
        <v>5140.9779782124278</v>
      </c>
      <c r="I84" s="459">
        <v>120239.96111872145</v>
      </c>
      <c r="J84" s="459">
        <v>3214.5563618637107</v>
      </c>
      <c r="K84" s="459">
        <v>47558.149058823525</v>
      </c>
      <c r="L84" s="459">
        <v>18771.378320929824</v>
      </c>
      <c r="M84" s="459">
        <v>34772.917200000004</v>
      </c>
      <c r="N84" s="459">
        <v>7660.1245577702803</v>
      </c>
      <c r="O84" s="473">
        <f>SUM(Taulukko8[[#This Row],[Työvoimaviranomaisille siirtyvä kotoutumiskoulutus]:[Muut palvelut]])</f>
        <v>237358.06459632123</v>
      </c>
      <c r="P84" s="473">
        <f>Taulukko8[[#This Row],[Palvelut yhteensä]]+Taulukko8[[#This Row],[Toimintamenot yhteensä]]</f>
        <v>372562.96042007965</v>
      </c>
      <c r="Q84" s="481">
        <v>0</v>
      </c>
      <c r="R84" s="481">
        <v>0</v>
      </c>
      <c r="S84" s="473">
        <f>Taulukko8[[#This Row],[Palvelut + toimintamenot]]-Taulukko8[[#This Row],[Poistuva velvoitetyöllistäminen]]-Taulukko8[[#This Row],[Poistuvaksi ehdotettu  palkkatuki]]</f>
        <v>372562.96042007965</v>
      </c>
      <c r="T84" s="479">
        <f>(Taulukko8[[#This Row],[Palvelut + toimintamenot, huomioitu vuonna 2025 poistuvat tehtävät]]/$S$6)*$T$2</f>
        <v>351436.77985683497</v>
      </c>
      <c r="U84" s="481">
        <f>Taulukko8[[#This Row],[Skaalattu siirtyvän rahoituksen tasoon ]]*0.5</f>
        <v>175718.38992841748</v>
      </c>
    </row>
    <row r="85" spans="1:21">
      <c r="A85" s="465">
        <v>239</v>
      </c>
      <c r="B85" s="456" t="s">
        <v>90</v>
      </c>
      <c r="C85" s="459">
        <v>2029</v>
      </c>
      <c r="D85" s="459">
        <v>60450.604958516538</v>
      </c>
      <c r="E85" s="459">
        <v>12959.762429138671</v>
      </c>
      <c r="F85" s="473">
        <f>Taulukko8[[#This Row],[Siirtyvän henkilöstön ELY-keskus ja TE-toimistokohtaiset toimintamenot]]+Taulukko8[[#This Row],[Valtakunnalliset toimintamenot]]</f>
        <v>73410.367387655206</v>
      </c>
      <c r="G85" s="459">
        <v>8568.296630354047</v>
      </c>
      <c r="H85" s="459">
        <v>5140.9779782124278</v>
      </c>
      <c r="I85" s="459">
        <v>10930.905556247404</v>
      </c>
      <c r="J85" s="459">
        <v>6429.1127237274213</v>
      </c>
      <c r="K85" s="459">
        <v>17544.768687782806</v>
      </c>
      <c r="L85" s="459">
        <v>7586.8066402283202</v>
      </c>
      <c r="M85" s="459">
        <v>10385.707525712027</v>
      </c>
      <c r="N85" s="459">
        <v>4159.1138737618267</v>
      </c>
      <c r="O85" s="473">
        <f>SUM(Taulukko8[[#This Row],[Työvoimaviranomaisille siirtyvä kotoutumiskoulutus]:[Muut palvelut]])</f>
        <v>62177.392985672232</v>
      </c>
      <c r="P85" s="473">
        <f>Taulukko8[[#This Row],[Palvelut yhteensä]]+Taulukko8[[#This Row],[Toimintamenot yhteensä]]</f>
        <v>135587.76037332744</v>
      </c>
      <c r="Q85" s="481">
        <v>0</v>
      </c>
      <c r="R85" s="481">
        <v>7586.8066402283202</v>
      </c>
      <c r="S85" s="473">
        <f>Taulukko8[[#This Row],[Palvelut + toimintamenot]]-Taulukko8[[#This Row],[Poistuva velvoitetyöllistäminen]]-Taulukko8[[#This Row],[Poistuvaksi ehdotettu  palkkatuki]]</f>
        <v>128000.95373309913</v>
      </c>
      <c r="T85" s="479">
        <f>(Taulukko8[[#This Row],[Palvelut + toimintamenot, huomioitu vuonna 2025 poistuvat tehtävät]]/$S$6)*$T$2</f>
        <v>120742.66037569205</v>
      </c>
      <c r="U85" s="481">
        <f>Taulukko8[[#This Row],[Skaalattu siirtyvän rahoituksen tasoon ]]*0.5</f>
        <v>60371.330187846026</v>
      </c>
    </row>
    <row r="86" spans="1:21">
      <c r="A86" s="465">
        <v>240</v>
      </c>
      <c r="B86" s="456" t="s">
        <v>91</v>
      </c>
      <c r="C86" s="459">
        <v>19499</v>
      </c>
      <c r="D86" s="459">
        <v>983075.28464513877</v>
      </c>
      <c r="E86" s="459">
        <v>210757.5622725666</v>
      </c>
      <c r="F86" s="473">
        <f>Taulukko8[[#This Row],[Siirtyvän henkilöstön ELY-keskus ja TE-toimistokohtaiset toimintamenot]]+Taulukko8[[#This Row],[Valtakunnalliset toimintamenot]]</f>
        <v>1193832.8469177054</v>
      </c>
      <c r="G86" s="459">
        <v>411278.23825699429</v>
      </c>
      <c r="H86" s="459">
        <v>246766.94295419657</v>
      </c>
      <c r="I86" s="459">
        <v>284203.5444624325</v>
      </c>
      <c r="J86" s="459">
        <v>292524.62892959767</v>
      </c>
      <c r="K86" s="459">
        <v>935407.5830788085</v>
      </c>
      <c r="L86" s="459">
        <v>444061.0064478378</v>
      </c>
      <c r="M86" s="459">
        <v>90985.310666666672</v>
      </c>
      <c r="N86" s="459">
        <v>67637.405086777668</v>
      </c>
      <c r="O86" s="473">
        <f>SUM(Taulukko8[[#This Row],[Työvoimaviranomaisille siirtyvä kotoutumiskoulutus]:[Muut palvelut]])</f>
        <v>2361586.4216263173</v>
      </c>
      <c r="P86" s="473">
        <f>Taulukko8[[#This Row],[Palvelut yhteensä]]+Taulukko8[[#This Row],[Toimintamenot yhteensä]]</f>
        <v>3555419.2685440229</v>
      </c>
      <c r="Q86" s="481">
        <v>154456.00224272619</v>
      </c>
      <c r="R86" s="481">
        <v>115842.00168204465</v>
      </c>
      <c r="S86" s="473">
        <f>Taulukko8[[#This Row],[Palvelut + toimintamenot]]-Taulukko8[[#This Row],[Poistuva velvoitetyöllistäminen]]-Taulukko8[[#This Row],[Poistuvaksi ehdotettu  palkkatuki]]</f>
        <v>3285121.2646192522</v>
      </c>
      <c r="T86" s="479">
        <f>(Taulukko8[[#This Row],[Palvelut + toimintamenot, huomioitu vuonna 2025 poistuvat tehtävät]]/$S$6)*$T$2</f>
        <v>3098838.4818910728</v>
      </c>
      <c r="U86" s="481">
        <f>Taulukko8[[#This Row],[Skaalattu siirtyvän rahoituksen tasoon ]]*0.5</f>
        <v>1549419.2409455364</v>
      </c>
    </row>
    <row r="87" spans="1:21">
      <c r="A87" s="465">
        <v>241</v>
      </c>
      <c r="B87" s="456" t="s">
        <v>92</v>
      </c>
      <c r="C87" s="459">
        <v>7771</v>
      </c>
      <c r="D87" s="459">
        <v>244326.1552124052</v>
      </c>
      <c r="E87" s="459">
        <v>52380.103209066969</v>
      </c>
      <c r="F87" s="473">
        <f>Taulukko8[[#This Row],[Siirtyvän henkilöstön ELY-keskus ja TE-toimistokohtaiset toimintamenot]]+Taulukko8[[#This Row],[Valtakunnalliset toimintamenot]]</f>
        <v>296706.25842147216</v>
      </c>
      <c r="G87" s="459">
        <v>17136.593260708094</v>
      </c>
      <c r="H87" s="459">
        <v>10281.955956424856</v>
      </c>
      <c r="I87" s="459">
        <v>76516.338893731823</v>
      </c>
      <c r="J87" s="459">
        <v>51432.901789819371</v>
      </c>
      <c r="K87" s="459">
        <v>144562.99011217951</v>
      </c>
      <c r="L87" s="459">
        <v>270298.0039247708</v>
      </c>
      <c r="M87" s="459">
        <v>32721.906592592593</v>
      </c>
      <c r="N87" s="459">
        <v>16810.093175480059</v>
      </c>
      <c r="O87" s="473">
        <f>SUM(Taulukko8[[#This Row],[Työvoimaviranomaisille siirtyvä kotoutumiskoulutus]:[Muut palvelut]])</f>
        <v>602624.19044499903</v>
      </c>
      <c r="P87" s="473">
        <f>Taulukko8[[#This Row],[Palvelut yhteensä]]+Taulukko8[[#This Row],[Toimintamenot yhteensä]]</f>
        <v>899330.44886647118</v>
      </c>
      <c r="Q87" s="481">
        <v>77228.001121363079</v>
      </c>
      <c r="R87" s="481">
        <v>96535.001401703863</v>
      </c>
      <c r="S87" s="473">
        <f>Taulukko8[[#This Row],[Palvelut + toimintamenot]]-Taulukko8[[#This Row],[Poistuva velvoitetyöllistäminen]]-Taulukko8[[#This Row],[Poistuvaksi ehdotettu  palkkatuki]]</f>
        <v>725567.44634340424</v>
      </c>
      <c r="T87" s="479">
        <f>(Taulukko8[[#This Row],[Palvelut + toimintamenot, huomioitu vuonna 2025 poistuvat tehtävät]]/$S$6)*$T$2</f>
        <v>684424.1484026222</v>
      </c>
      <c r="U87" s="481">
        <f>Taulukko8[[#This Row],[Skaalattu siirtyvän rahoituksen tasoon ]]*0.5</f>
        <v>342212.0742013111</v>
      </c>
    </row>
    <row r="88" spans="1:21">
      <c r="A88" s="465">
        <v>244</v>
      </c>
      <c r="B88" s="456" t="s">
        <v>93</v>
      </c>
      <c r="C88" s="459">
        <v>19300</v>
      </c>
      <c r="D88" s="459">
        <v>591601.66680158291</v>
      </c>
      <c r="E88" s="459">
        <v>126831.10549005029</v>
      </c>
      <c r="F88" s="473">
        <f>Taulukko8[[#This Row],[Siirtyvän henkilöstön ELY-keskus ja TE-toimistokohtaiset toimintamenot]]+Taulukko8[[#This Row],[Valtakunnalliset toimintamenot]]</f>
        <v>718432.77229163318</v>
      </c>
      <c r="G88" s="459">
        <v>42841.483151770233</v>
      </c>
      <c r="H88" s="459">
        <v>25704.889891062139</v>
      </c>
      <c r="I88" s="459">
        <v>131170.86667496886</v>
      </c>
      <c r="J88" s="459">
        <v>22501.894533045976</v>
      </c>
      <c r="K88" s="459">
        <v>231952.12976734297</v>
      </c>
      <c r="L88" s="459">
        <v>284311.03320658451</v>
      </c>
      <c r="M88" s="459">
        <v>125198.75869841271</v>
      </c>
      <c r="N88" s="459">
        <v>40703.293239556464</v>
      </c>
      <c r="O88" s="473">
        <f>SUM(Taulukko8[[#This Row],[Työvoimaviranomaisille siirtyvä kotoutumiskoulutus]:[Muut palvelut]])</f>
        <v>861542.86601097358</v>
      </c>
      <c r="P88" s="473">
        <f>Taulukko8[[#This Row],[Palvelut yhteensä]]+Taulukko8[[#This Row],[Toimintamenot yhteensä]]</f>
        <v>1579975.6383026068</v>
      </c>
      <c r="Q88" s="481">
        <v>71077.758301646129</v>
      </c>
      <c r="R88" s="481">
        <v>181643.16010420676</v>
      </c>
      <c r="S88" s="473">
        <f>Taulukko8[[#This Row],[Palvelut + toimintamenot]]-Taulukko8[[#This Row],[Poistuva velvoitetyöllistäminen]]-Taulukko8[[#This Row],[Poistuvaksi ehdotettu  palkkatuki]]</f>
        <v>1327254.7198967538</v>
      </c>
      <c r="T88" s="479">
        <f>(Taulukko8[[#This Row],[Palvelut + toimintamenot, huomioitu vuonna 2025 poistuvat tehtävät]]/$S$6)*$T$2</f>
        <v>1251992.7485125307</v>
      </c>
      <c r="U88" s="481">
        <f>Taulukko8[[#This Row],[Skaalattu siirtyvän rahoituksen tasoon ]]*0.5</f>
        <v>625996.37425626535</v>
      </c>
    </row>
    <row r="89" spans="1:21">
      <c r="A89" s="465">
        <v>245</v>
      </c>
      <c r="B89" s="456" t="s">
        <v>94</v>
      </c>
      <c r="C89" s="459">
        <v>37676</v>
      </c>
      <c r="D89" s="459">
        <v>1709488.4669750244</v>
      </c>
      <c r="E89" s="459">
        <v>366490.36717750086</v>
      </c>
      <c r="F89" s="473">
        <f>Taulukko8[[#This Row],[Siirtyvän henkilöstön ELY-keskus ja TE-toimistokohtaiset toimintamenot]]+Taulukko8[[#This Row],[Valtakunnalliset toimintamenot]]</f>
        <v>2075978.8341525253</v>
      </c>
      <c r="G89" s="459">
        <v>616917.35738549137</v>
      </c>
      <c r="H89" s="459">
        <v>370150.41443129483</v>
      </c>
      <c r="I89" s="459">
        <v>218618.11112494807</v>
      </c>
      <c r="J89" s="459">
        <v>414677.7706804187</v>
      </c>
      <c r="K89" s="459">
        <v>824455.02234096546</v>
      </c>
      <c r="L89" s="459">
        <v>596107.23344909365</v>
      </c>
      <c r="M89" s="459">
        <v>241796.58984805102</v>
      </c>
      <c r="N89" s="459">
        <v>117615.98093039395</v>
      </c>
      <c r="O89" s="473">
        <f>SUM(Taulukko8[[#This Row],[Työvoimaviranomaisille siirtyvä kotoutumiskoulutus]:[Muut palvelut]])</f>
        <v>2783421.1228051656</v>
      </c>
      <c r="P89" s="473">
        <f>Taulukko8[[#This Row],[Palvelut yhteensä]]+Taulukko8[[#This Row],[Toimintamenot yhteensä]]</f>
        <v>4859399.9569576904</v>
      </c>
      <c r="Q89" s="481">
        <v>123720.36920641566</v>
      </c>
      <c r="R89" s="481">
        <v>247440.73841283133</v>
      </c>
      <c r="S89" s="473">
        <f>Taulukko8[[#This Row],[Palvelut + toimintamenot]]-Taulukko8[[#This Row],[Poistuva velvoitetyöllistäminen]]-Taulukko8[[#This Row],[Poistuvaksi ehdotettu  palkkatuki]]</f>
        <v>4488238.8493384439</v>
      </c>
      <c r="T89" s="479">
        <f>(Taulukko8[[#This Row],[Palvelut + toimintamenot, huomioitu vuonna 2025 poistuvat tehtävät]]/$S$6)*$T$2</f>
        <v>4233733.2907741126</v>
      </c>
      <c r="U89" s="481">
        <f>Taulukko8[[#This Row],[Skaalattu siirtyvän rahoituksen tasoon ]]*0.5</f>
        <v>2116866.6453870563</v>
      </c>
    </row>
    <row r="90" spans="1:21">
      <c r="A90" s="465">
        <v>249</v>
      </c>
      <c r="B90" s="456" t="s">
        <v>95</v>
      </c>
      <c r="C90" s="459">
        <v>9250</v>
      </c>
      <c r="D90" s="459">
        <v>388872.5037861641</v>
      </c>
      <c r="E90" s="459">
        <v>83368.814385752485</v>
      </c>
      <c r="F90" s="473">
        <f>Taulukko8[[#This Row],[Siirtyvän henkilöstön ELY-keskus ja TE-toimistokohtaiset toimintamenot]]+Taulukko8[[#This Row],[Valtakunnalliset toimintamenot]]</f>
        <v>472241.31817191659</v>
      </c>
      <c r="G90" s="459">
        <v>145661.0427160188</v>
      </c>
      <c r="H90" s="459">
        <v>87396.62562961127</v>
      </c>
      <c r="I90" s="459">
        <v>32792.716668742214</v>
      </c>
      <c r="J90" s="459">
        <v>16072.781809318552</v>
      </c>
      <c r="K90" s="459">
        <v>281043.35603784188</v>
      </c>
      <c r="L90" s="459">
        <v>307229.830749696</v>
      </c>
      <c r="M90" s="459">
        <v>67943.37808760484</v>
      </c>
      <c r="N90" s="459">
        <v>26755.150369982723</v>
      </c>
      <c r="O90" s="473">
        <f>SUM(Taulukko8[[#This Row],[Työvoimaviranomaisille siirtyvä kotoutumiskoulutus]:[Muut palvelut]])</f>
        <v>819233.83935279748</v>
      </c>
      <c r="P90" s="473">
        <f>Taulukko8[[#This Row],[Palvelut yhteensä]]+Taulukko8[[#This Row],[Toimintamenot yhteensä]]</f>
        <v>1291475.157524714</v>
      </c>
      <c r="Q90" s="481">
        <v>19201.864421856</v>
      </c>
      <c r="R90" s="481">
        <v>211220.508640416</v>
      </c>
      <c r="S90" s="473">
        <f>Taulukko8[[#This Row],[Palvelut + toimintamenot]]-Taulukko8[[#This Row],[Poistuva velvoitetyöllistäminen]]-Taulukko8[[#This Row],[Poistuvaksi ehdotettu  palkkatuki]]</f>
        <v>1061052.7844624422</v>
      </c>
      <c r="T90" s="479">
        <f>(Taulukko8[[#This Row],[Palvelut + toimintamenot, huomioitu vuonna 2025 poistuvat tehtävät]]/$S$6)*$T$2</f>
        <v>1000885.7923212692</v>
      </c>
      <c r="U90" s="481">
        <f>Taulukko8[[#This Row],[Skaalattu siirtyvän rahoituksen tasoon ]]*0.5</f>
        <v>500442.89616063458</v>
      </c>
    </row>
    <row r="91" spans="1:21">
      <c r="A91" s="465">
        <v>250</v>
      </c>
      <c r="B91" s="456" t="s">
        <v>96</v>
      </c>
      <c r="C91" s="459">
        <v>1771</v>
      </c>
      <c r="D91" s="459">
        <v>54852.555139347111</v>
      </c>
      <c r="E91" s="459">
        <v>11759.619010016484</v>
      </c>
      <c r="F91" s="473">
        <f>Taulukko8[[#This Row],[Siirtyvän henkilöstön ELY-keskus ja TE-toimistokohtaiset toimintamenot]]+Taulukko8[[#This Row],[Valtakunnalliset toimintamenot]]</f>
        <v>66612.174149363593</v>
      </c>
      <c r="G91" s="459">
        <v>8568.296630354047</v>
      </c>
      <c r="H91" s="459">
        <v>5140.9779782124278</v>
      </c>
      <c r="I91" s="459">
        <v>0</v>
      </c>
      <c r="J91" s="459">
        <v>0</v>
      </c>
      <c r="K91" s="459">
        <v>63563.156809171764</v>
      </c>
      <c r="L91" s="459">
        <v>6693.6885687872882</v>
      </c>
      <c r="M91" s="459">
        <v>14808.055445082078</v>
      </c>
      <c r="N91" s="459">
        <v>3773.9576510094639</v>
      </c>
      <c r="O91" s="473">
        <f>SUM(Taulukko8[[#This Row],[Työvoimaviranomaisille siirtyvä kotoutumiskoulutus]:[Muut palvelut]])</f>
        <v>93979.836452263015</v>
      </c>
      <c r="P91" s="473">
        <f>Taulukko8[[#This Row],[Palvelut yhteensä]]+Taulukko8[[#This Row],[Toimintamenot yhteensä]]</f>
        <v>160592.01060162659</v>
      </c>
      <c r="Q91" s="481">
        <v>0</v>
      </c>
      <c r="R91" s="481">
        <v>6693.6885687872882</v>
      </c>
      <c r="S91" s="473">
        <f>Taulukko8[[#This Row],[Palvelut + toimintamenot]]-Taulukko8[[#This Row],[Poistuva velvoitetyöllistäminen]]-Taulukko8[[#This Row],[Poistuvaksi ehdotettu  palkkatuki]]</f>
        <v>153898.32203283929</v>
      </c>
      <c r="T91" s="479">
        <f>(Taulukko8[[#This Row],[Palvelut + toimintamenot, huomioitu vuonna 2025 poistuvat tehtävät]]/$S$6)*$T$2</f>
        <v>145171.51855248207</v>
      </c>
      <c r="U91" s="481">
        <f>Taulukko8[[#This Row],[Skaalattu siirtyvän rahoituksen tasoon ]]*0.5</f>
        <v>72585.759276241035</v>
      </c>
    </row>
    <row r="92" spans="1:21">
      <c r="A92" s="465">
        <v>256</v>
      </c>
      <c r="B92" s="456" t="s">
        <v>97</v>
      </c>
      <c r="C92" s="459">
        <v>1554</v>
      </c>
      <c r="D92" s="459">
        <v>62367.215316594753</v>
      </c>
      <c r="E92" s="459">
        <v>13370.656826754133</v>
      </c>
      <c r="F92" s="473">
        <f>Taulukko8[[#This Row],[Siirtyvän henkilöstön ELY-keskus ja TE-toimistokohtaiset toimintamenot]]+Taulukko8[[#This Row],[Valtakunnalliset toimintamenot]]</f>
        <v>75737.872143348883</v>
      </c>
      <c r="G92" s="459">
        <v>0</v>
      </c>
      <c r="H92" s="459">
        <v>0</v>
      </c>
      <c r="I92" s="459">
        <v>21861.811112494808</v>
      </c>
      <c r="J92" s="459">
        <v>22501.894533045976</v>
      </c>
      <c r="K92" s="459">
        <v>85874.358789340564</v>
      </c>
      <c r="L92" s="459">
        <v>38403.728843712001</v>
      </c>
      <c r="M92" s="459">
        <v>7033.8369189189179</v>
      </c>
      <c r="N92" s="459">
        <v>4290.9802254112265</v>
      </c>
      <c r="O92" s="473">
        <f>SUM(Taulukko8[[#This Row],[Työvoimaviranomaisille siirtyvä kotoutumiskoulutus]:[Muut palvelut]])</f>
        <v>179966.61042292346</v>
      </c>
      <c r="P92" s="473">
        <f>Taulukko8[[#This Row],[Palvelut yhteensä]]+Taulukko8[[#This Row],[Toimintamenot yhteensä]]</f>
        <v>255704.48256627235</v>
      </c>
      <c r="Q92" s="481">
        <v>9600.9322109280001</v>
      </c>
      <c r="R92" s="481">
        <v>0</v>
      </c>
      <c r="S92" s="473">
        <f>Taulukko8[[#This Row],[Palvelut + toimintamenot]]-Taulukko8[[#This Row],[Poistuva velvoitetyöllistäminen]]-Taulukko8[[#This Row],[Poistuvaksi ehdotettu  palkkatuki]]</f>
        <v>246103.55035534434</v>
      </c>
      <c r="T92" s="479">
        <f>(Taulukko8[[#This Row],[Palvelut + toimintamenot, huomioitu vuonna 2025 poistuvat tehtävät]]/$S$6)*$T$2</f>
        <v>232148.24992451182</v>
      </c>
      <c r="U92" s="481">
        <f>Taulukko8[[#This Row],[Skaalattu siirtyvän rahoituksen tasoon ]]*0.5</f>
        <v>116074.12496225591</v>
      </c>
    </row>
    <row r="93" spans="1:21">
      <c r="A93" s="465">
        <v>257</v>
      </c>
      <c r="B93" s="456" t="s">
        <v>98</v>
      </c>
      <c r="C93" s="459">
        <v>40722</v>
      </c>
      <c r="D93" s="459">
        <v>1248302.6115109343</v>
      </c>
      <c r="E93" s="459">
        <v>267618.58373389044</v>
      </c>
      <c r="F93" s="473">
        <f>Taulukko8[[#This Row],[Siirtyvän henkilöstön ELY-keskus ja TE-toimistokohtaiset toimintamenot]]+Taulukko8[[#This Row],[Valtakunnalliset toimintamenot]]</f>
        <v>1515921.1952448247</v>
      </c>
      <c r="G93" s="459">
        <v>565507.57760336716</v>
      </c>
      <c r="H93" s="459">
        <v>339304.54656202026</v>
      </c>
      <c r="I93" s="459">
        <v>229549.0166811955</v>
      </c>
      <c r="J93" s="459">
        <v>154298.70536945813</v>
      </c>
      <c r="K93" s="459">
        <v>787974.71161791391</v>
      </c>
      <c r="L93" s="459">
        <v>742322.21523849387</v>
      </c>
      <c r="M93" s="459">
        <v>224704.08658440688</v>
      </c>
      <c r="N93" s="459">
        <v>85885.537684049239</v>
      </c>
      <c r="O93" s="473">
        <f>SUM(Taulukko8[[#This Row],[Työvoimaviranomaisille siirtyvä kotoutumiskoulutus]:[Muut palvelut]])</f>
        <v>2564038.8197375382</v>
      </c>
      <c r="P93" s="473">
        <f>Taulukko8[[#This Row],[Palvelut yhteensä]]+Taulukko8[[#This Row],[Toimintamenot yhteensä]]</f>
        <v>4079960.0149823632</v>
      </c>
      <c r="Q93" s="481">
        <v>112473.06291492331</v>
      </c>
      <c r="R93" s="481">
        <v>247440.73841283127</v>
      </c>
      <c r="S93" s="473">
        <f>Taulukko8[[#This Row],[Palvelut + toimintamenot]]-Taulukko8[[#This Row],[Poistuva velvoitetyöllistäminen]]-Taulukko8[[#This Row],[Poistuvaksi ehdotettu  palkkatuki]]</f>
        <v>3720046.2136546085</v>
      </c>
      <c r="T93" s="479">
        <f>(Taulukko8[[#This Row],[Palvelut + toimintamenot, huomioitu vuonna 2025 poistuvat tehtävät]]/$S$6)*$T$2</f>
        <v>3509101.0141515015</v>
      </c>
      <c r="U93" s="481">
        <f>Taulukko8[[#This Row],[Skaalattu siirtyvän rahoituksen tasoon ]]*0.5</f>
        <v>1754550.5070757507</v>
      </c>
    </row>
    <row r="94" spans="1:21">
      <c r="A94" s="465">
        <v>260</v>
      </c>
      <c r="B94" s="456" t="s">
        <v>99</v>
      </c>
      <c r="C94" s="459">
        <v>9727</v>
      </c>
      <c r="D94" s="459">
        <v>487446.9886934103</v>
      </c>
      <c r="E94" s="459">
        <v>104501.80233267701</v>
      </c>
      <c r="F94" s="473">
        <f>Taulukko8[[#This Row],[Siirtyvän henkilöstön ELY-keskus ja TE-toimistokohtaiset toimintamenot]]+Taulukko8[[#This Row],[Valtakunnalliset toimintamenot]]</f>
        <v>591948.79102608724</v>
      </c>
      <c r="G94" s="459">
        <v>51409.779782124286</v>
      </c>
      <c r="H94" s="459">
        <v>30845.867869274571</v>
      </c>
      <c r="I94" s="459">
        <v>87447.244449979233</v>
      </c>
      <c r="J94" s="459">
        <v>9643.6690855911329</v>
      </c>
      <c r="K94" s="459">
        <v>815427.31392587547</v>
      </c>
      <c r="L94" s="459">
        <v>315280.60149154789</v>
      </c>
      <c r="M94" s="459">
        <v>22062.232190352021</v>
      </c>
      <c r="N94" s="459">
        <v>33537.257977640227</v>
      </c>
      <c r="O94" s="473">
        <f>SUM(Taulukko8[[#This Row],[Työvoimaviranomaisille siirtyvä kotoutumiskoulutus]:[Muut palvelut]])</f>
        <v>1314244.1869902606</v>
      </c>
      <c r="P94" s="473">
        <f>Taulukko8[[#This Row],[Palvelut yhteensä]]+Taulukko8[[#This Row],[Toimintamenot yhteensä]]</f>
        <v>1906192.9780163479</v>
      </c>
      <c r="Q94" s="481">
        <v>54358.724395094468</v>
      </c>
      <c r="R94" s="481">
        <v>163076.17318528341</v>
      </c>
      <c r="S94" s="473">
        <f>Taulukko8[[#This Row],[Palvelut + toimintamenot]]-Taulukko8[[#This Row],[Poistuva velvoitetyöllistäminen]]-Taulukko8[[#This Row],[Poistuvaksi ehdotettu  palkkatuki]]</f>
        <v>1688758.0804359701</v>
      </c>
      <c r="T94" s="479">
        <f>(Taulukko8[[#This Row],[Palvelut + toimintamenot, huomioitu vuonna 2025 poistuvat tehtävät]]/$S$6)*$T$2</f>
        <v>1592997.0630371887</v>
      </c>
      <c r="U94" s="481">
        <f>Taulukko8[[#This Row],[Skaalattu siirtyvän rahoituksen tasoon ]]*0.5</f>
        <v>796498.53151859436</v>
      </c>
    </row>
    <row r="95" spans="1:21">
      <c r="A95" s="465">
        <v>261</v>
      </c>
      <c r="B95" s="456" t="s">
        <v>100</v>
      </c>
      <c r="C95" s="459">
        <v>6637</v>
      </c>
      <c r="D95" s="459">
        <v>256379.37252640637</v>
      </c>
      <c r="E95" s="459">
        <v>54964.144063636268</v>
      </c>
      <c r="F95" s="473">
        <f>Taulukko8[[#This Row],[Siirtyvän henkilöstön ELY-keskus ja TE-toimistokohtaiset toimintamenot]]+Taulukko8[[#This Row],[Valtakunnalliset toimintamenot]]</f>
        <v>311343.51659004262</v>
      </c>
      <c r="G95" s="459">
        <v>17136.593260708094</v>
      </c>
      <c r="H95" s="459">
        <v>10281.955956424856</v>
      </c>
      <c r="I95" s="459">
        <v>54654.527781237019</v>
      </c>
      <c r="J95" s="459">
        <v>45003.789066091951</v>
      </c>
      <c r="K95" s="459">
        <v>102044.46360859729</v>
      </c>
      <c r="L95" s="459">
        <v>318565.50462562277</v>
      </c>
      <c r="M95" s="459">
        <v>118116.87762962964</v>
      </c>
      <c r="N95" s="459">
        <v>17639.376908678925</v>
      </c>
      <c r="O95" s="473">
        <f>SUM(Taulukko8[[#This Row],[Työvoimaviranomaisille siirtyvä kotoutumiskoulutus]:[Muut palvelut]])</f>
        <v>666306.4955762825</v>
      </c>
      <c r="P95" s="473">
        <f>Taulukko8[[#This Row],[Palvelut yhteensä]]+Taulukko8[[#This Row],[Toimintamenot yhteensä]]</f>
        <v>977650.01216632512</v>
      </c>
      <c r="Q95" s="481">
        <v>28960.500420511162</v>
      </c>
      <c r="R95" s="481">
        <v>106188.50154187426</v>
      </c>
      <c r="S95" s="473">
        <f>Taulukko8[[#This Row],[Palvelut + toimintamenot]]-Taulukko8[[#This Row],[Poistuva velvoitetyöllistäminen]]-Taulukko8[[#This Row],[Poistuvaksi ehdotettu  palkkatuki]]</f>
        <v>842501.01020393975</v>
      </c>
      <c r="T95" s="479">
        <f>(Taulukko8[[#This Row],[Palvelut + toimintamenot, huomioitu vuonna 2025 poistuvat tehtävät]]/$S$6)*$T$2</f>
        <v>794726.99518587254</v>
      </c>
      <c r="U95" s="481">
        <f>Taulukko8[[#This Row],[Skaalattu siirtyvän rahoituksen tasoon ]]*0.5</f>
        <v>397363.49759293627</v>
      </c>
    </row>
    <row r="96" spans="1:21">
      <c r="A96" s="465">
        <v>263</v>
      </c>
      <c r="B96" s="456" t="s">
        <v>101</v>
      </c>
      <c r="C96" s="459">
        <v>7597</v>
      </c>
      <c r="D96" s="459">
        <v>283146.44327261043</v>
      </c>
      <c r="E96" s="459">
        <v>60702.628865116829</v>
      </c>
      <c r="F96" s="473">
        <f>Taulukko8[[#This Row],[Siirtyvän henkilöstön ELY-keskus ja TE-toimistokohtaiset toimintamenot]]+Taulukko8[[#This Row],[Valtakunnalliset toimintamenot]]</f>
        <v>343849.07213772729</v>
      </c>
      <c r="G96" s="459">
        <v>17136.593260708094</v>
      </c>
      <c r="H96" s="459">
        <v>10281.955956424856</v>
      </c>
      <c r="I96" s="459">
        <v>54654.527781237019</v>
      </c>
      <c r="J96" s="459">
        <v>32145.563618637105</v>
      </c>
      <c r="K96" s="459">
        <v>254399.14597285067</v>
      </c>
      <c r="L96" s="459">
        <v>45520.839841369918</v>
      </c>
      <c r="M96" s="459">
        <v>27084.606196598106</v>
      </c>
      <c r="N96" s="459">
        <v>19481.001080627226</v>
      </c>
      <c r="O96" s="473">
        <f>SUM(Taulukko8[[#This Row],[Työvoimaviranomaisille siirtyvä kotoutumiskoulutus]:[Muut palvelut]])</f>
        <v>443567.64044774481</v>
      </c>
      <c r="P96" s="473">
        <f>Taulukko8[[#This Row],[Palvelut yhteensä]]+Taulukko8[[#This Row],[Toimintamenot yhteensä]]</f>
        <v>787416.71258547204</v>
      </c>
      <c r="Q96" s="481">
        <v>22760.419920684959</v>
      </c>
      <c r="R96" s="481">
        <v>7586.8066402283193</v>
      </c>
      <c r="S96" s="473">
        <f>Taulukko8[[#This Row],[Palvelut + toimintamenot]]-Taulukko8[[#This Row],[Poistuva velvoitetyöllistäminen]]-Taulukko8[[#This Row],[Poistuvaksi ehdotettu  palkkatuki]]</f>
        <v>757069.48602455866</v>
      </c>
      <c r="T96" s="479">
        <f>(Taulukko8[[#This Row],[Palvelut + toimintamenot, huomioitu vuonna 2025 poistuvat tehtävät]]/$S$6)*$T$2</f>
        <v>714139.86510184593</v>
      </c>
      <c r="U96" s="481">
        <f>Taulukko8[[#This Row],[Skaalattu siirtyvän rahoituksen tasoon ]]*0.5</f>
        <v>357069.93255092297</v>
      </c>
    </row>
    <row r="97" spans="1:21">
      <c r="A97" s="465">
        <v>265</v>
      </c>
      <c r="B97" s="456" t="s">
        <v>102</v>
      </c>
      <c r="C97" s="459">
        <v>1064</v>
      </c>
      <c r="D97" s="459">
        <v>48864.635821872944</v>
      </c>
      <c r="E97" s="459">
        <v>10475.893034857612</v>
      </c>
      <c r="F97" s="473">
        <f>Taulukko8[[#This Row],[Siirtyvän henkilöstön ELY-keskus ja TE-toimistokohtaiset toimintamenot]]+Taulukko8[[#This Row],[Valtakunnalliset toimintamenot]]</f>
        <v>59340.528856730554</v>
      </c>
      <c r="G97" s="459">
        <v>0</v>
      </c>
      <c r="H97" s="459">
        <v>0</v>
      </c>
      <c r="I97" s="459">
        <v>0</v>
      </c>
      <c r="J97" s="459">
        <v>9643.6690855911329</v>
      </c>
      <c r="K97" s="459">
        <v>15613.519779880104</v>
      </c>
      <c r="L97" s="459">
        <v>28802.796632784</v>
      </c>
      <c r="M97" s="459">
        <v>0</v>
      </c>
      <c r="N97" s="459">
        <v>3361.9776828128906</v>
      </c>
      <c r="O97" s="473">
        <f>SUM(Taulukko8[[#This Row],[Työvoimaviranomaisille siirtyvä kotoutumiskoulutus]:[Muut palvelut]])</f>
        <v>57421.963181068124</v>
      </c>
      <c r="P97" s="473">
        <f>Taulukko8[[#This Row],[Palvelut yhteensä]]+Taulukko8[[#This Row],[Toimintamenot yhteensä]]</f>
        <v>116762.49203779869</v>
      </c>
      <c r="Q97" s="481">
        <v>0</v>
      </c>
      <c r="R97" s="481">
        <v>19201.864421856</v>
      </c>
      <c r="S97" s="473">
        <f>Taulukko8[[#This Row],[Palvelut + toimintamenot]]-Taulukko8[[#This Row],[Poistuva velvoitetyöllistäminen]]-Taulukko8[[#This Row],[Poistuvaksi ehdotettu  palkkatuki]]</f>
        <v>97560.627615942678</v>
      </c>
      <c r="T97" s="479">
        <f>(Taulukko8[[#This Row],[Palvelut + toimintamenot, huomioitu vuonna 2025 poistuvat tehtävät]]/$S$6)*$T$2</f>
        <v>92028.452778825405</v>
      </c>
      <c r="U97" s="481">
        <f>Taulukko8[[#This Row],[Skaalattu siirtyvän rahoituksen tasoon ]]*0.5</f>
        <v>46014.226389412703</v>
      </c>
    </row>
    <row r="98" spans="1:21">
      <c r="A98" s="465">
        <v>271</v>
      </c>
      <c r="B98" s="456" t="s">
        <v>103</v>
      </c>
      <c r="C98" s="459">
        <v>6903</v>
      </c>
      <c r="D98" s="459">
        <v>266542.76440969377</v>
      </c>
      <c r="E98" s="459">
        <v>57143.032833600257</v>
      </c>
      <c r="F98" s="473">
        <f>Taulukko8[[#This Row],[Siirtyvän henkilöstön ELY-keskus ja TE-toimistokohtaiset toimintamenot]]+Taulukko8[[#This Row],[Valtakunnalliset toimintamenot]]</f>
        <v>323685.79724329402</v>
      </c>
      <c r="G98" s="459">
        <v>8568.296630354047</v>
      </c>
      <c r="H98" s="459">
        <v>5140.9779782124278</v>
      </c>
      <c r="I98" s="459">
        <v>54654.527781237019</v>
      </c>
      <c r="J98" s="459">
        <v>3214.5563618637107</v>
      </c>
      <c r="K98" s="459">
        <v>123743.10929356357</v>
      </c>
      <c r="L98" s="459">
        <v>52740.52258313998</v>
      </c>
      <c r="M98" s="459">
        <v>32292.360154054048</v>
      </c>
      <c r="N98" s="459">
        <v>18338.637142968833</v>
      </c>
      <c r="O98" s="473">
        <f>SUM(Taulukko8[[#This Row],[Työvoimaviranomaisille siirtyvä kotoutumiskoulutus]:[Muut palvelut]])</f>
        <v>290124.69129503955</v>
      </c>
      <c r="P98" s="473">
        <f>Taulukko8[[#This Row],[Palvelut yhteensä]]+Taulukko8[[#This Row],[Toimintamenot yhteensä]]</f>
        <v>613810.48853833356</v>
      </c>
      <c r="Q98" s="481">
        <v>17580.174194379993</v>
      </c>
      <c r="R98" s="481">
        <v>43950.435485949987</v>
      </c>
      <c r="S98" s="473">
        <f>Taulukko8[[#This Row],[Palvelut + toimintamenot]]-Taulukko8[[#This Row],[Poistuva velvoitetyöllistäminen]]-Taulukko8[[#This Row],[Poistuvaksi ehdotettu  palkkatuki]]</f>
        <v>552279.87885800365</v>
      </c>
      <c r="T98" s="479">
        <f>(Taulukko8[[#This Row],[Palvelut + toimintamenot, huomioitu vuonna 2025 poistuvat tehtävät]]/$S$6)*$T$2</f>
        <v>520962.85145129252</v>
      </c>
      <c r="U98" s="481">
        <f>Taulukko8[[#This Row],[Skaalattu siirtyvän rahoituksen tasoon ]]*0.5</f>
        <v>260481.42572564626</v>
      </c>
    </row>
    <row r="99" spans="1:21">
      <c r="A99" s="465">
        <v>272</v>
      </c>
      <c r="B99" s="456" t="s">
        <v>104</v>
      </c>
      <c r="C99" s="459">
        <v>48006</v>
      </c>
      <c r="D99" s="459">
        <v>1716077.5591066785</v>
      </c>
      <c r="E99" s="459">
        <v>367902.97617799876</v>
      </c>
      <c r="F99" s="473">
        <f>Taulukko8[[#This Row],[Siirtyvän henkilöstön ELY-keskus ja TE-toimistokohtaiset toimintamenot]]+Taulukko8[[#This Row],[Valtakunnalliset toimintamenot]]</f>
        <v>2083980.5352846773</v>
      </c>
      <c r="G99" s="459">
        <v>214207.41575885119</v>
      </c>
      <c r="H99" s="459">
        <v>128524.44945531071</v>
      </c>
      <c r="I99" s="459">
        <v>491890.75003113318</v>
      </c>
      <c r="J99" s="459">
        <v>488612.567003284</v>
      </c>
      <c r="K99" s="459">
        <v>1141395.5774117645</v>
      </c>
      <c r="L99" s="459">
        <v>290956.36397441226</v>
      </c>
      <c r="M99" s="459">
        <v>217637.83723870968</v>
      </c>
      <c r="N99" s="459">
        <v>118069.32270454268</v>
      </c>
      <c r="O99" s="473">
        <f>SUM(Taulukko8[[#This Row],[Työvoimaviranomaisille siirtyvä kotoutumiskoulutus]:[Muut palvelut]])</f>
        <v>2877086.8678191579</v>
      </c>
      <c r="P99" s="473">
        <f>Taulukko8[[#This Row],[Palvelut yhteensä]]+Taulukko8[[#This Row],[Toimintamenot yhteensä]]</f>
        <v>4961067.4031038349</v>
      </c>
      <c r="Q99" s="481">
        <v>56314.134962789467</v>
      </c>
      <c r="R99" s="481">
        <v>178328.09404883333</v>
      </c>
      <c r="S99" s="473">
        <f>Taulukko8[[#This Row],[Palvelut + toimintamenot]]-Taulukko8[[#This Row],[Poistuva velvoitetyöllistäminen]]-Taulukko8[[#This Row],[Poistuvaksi ehdotettu  palkkatuki]]</f>
        <v>4726425.1740922118</v>
      </c>
      <c r="T99" s="479">
        <f>(Taulukko8[[#This Row],[Palvelut + toimintamenot, huomioitu vuonna 2025 poistuvat tehtävät]]/$S$6)*$T$2</f>
        <v>4458413.261330002</v>
      </c>
      <c r="U99" s="481">
        <f>Taulukko8[[#This Row],[Skaalattu siirtyvän rahoituksen tasoon ]]*0.5</f>
        <v>2229206.630665001</v>
      </c>
    </row>
    <row r="100" spans="1:21">
      <c r="A100" s="465">
        <v>273</v>
      </c>
      <c r="B100" s="456" t="s">
        <v>105</v>
      </c>
      <c r="C100" s="459">
        <v>3999</v>
      </c>
      <c r="D100" s="459">
        <v>123532.08500482989</v>
      </c>
      <c r="E100" s="459">
        <v>26483.547602830244</v>
      </c>
      <c r="F100" s="473">
        <f>Taulukko8[[#This Row],[Siirtyvän henkilöstön ELY-keskus ja TE-toimistokohtaiset toimintamenot]]+Taulukko8[[#This Row],[Valtakunnalliset toimintamenot]]</f>
        <v>150015.63260766014</v>
      </c>
      <c r="G100" s="459">
        <v>8568.296630354047</v>
      </c>
      <c r="H100" s="459">
        <v>5140.9779782124278</v>
      </c>
      <c r="I100" s="459">
        <v>65585.433337484428</v>
      </c>
      <c r="J100" s="459">
        <v>48218.345427955661</v>
      </c>
      <c r="K100" s="459">
        <v>59525.937105015088</v>
      </c>
      <c r="L100" s="459">
        <v>144802.50210255579</v>
      </c>
      <c r="M100" s="459">
        <v>116526.80814814815</v>
      </c>
      <c r="N100" s="459">
        <v>8499.236838918172</v>
      </c>
      <c r="O100" s="473">
        <f>SUM(Taulukko8[[#This Row],[Työvoimaviranomaisille siirtyvä kotoutumiskoulutus]:[Muut palvelut]])</f>
        <v>448299.24093828967</v>
      </c>
      <c r="P100" s="473">
        <f>Taulukko8[[#This Row],[Palvelut yhteensä]]+Taulukko8[[#This Row],[Toimintamenot yhteensä]]</f>
        <v>598314.87354594981</v>
      </c>
      <c r="Q100" s="481">
        <v>9653.5001401703867</v>
      </c>
      <c r="R100" s="481">
        <v>48267.500700851931</v>
      </c>
      <c r="S100" s="473">
        <f>Taulukko8[[#This Row],[Palvelut + toimintamenot]]-Taulukko8[[#This Row],[Poistuva velvoitetyöllistäminen]]-Taulukko8[[#This Row],[Poistuvaksi ehdotettu  palkkatuki]]</f>
        <v>540393.87270492758</v>
      </c>
      <c r="T100" s="479">
        <f>(Taulukko8[[#This Row],[Palvelut + toimintamenot, huomioitu vuonna 2025 poistuvat tehtävät]]/$S$6)*$T$2</f>
        <v>509750.84120989428</v>
      </c>
      <c r="U100" s="481">
        <f>Taulukko8[[#This Row],[Skaalattu siirtyvän rahoituksen tasoon ]]*0.5</f>
        <v>254875.42060494714</v>
      </c>
    </row>
    <row r="101" spans="1:21">
      <c r="A101" s="465">
        <v>275</v>
      </c>
      <c r="B101" s="456" t="s">
        <v>106</v>
      </c>
      <c r="C101" s="459">
        <v>2521</v>
      </c>
      <c r="D101" s="459">
        <v>91324.697900602521</v>
      </c>
      <c r="E101" s="459">
        <v>19578.735225509514</v>
      </c>
      <c r="F101" s="473">
        <f>Taulukko8[[#This Row],[Siirtyvän henkilöstön ELY-keskus ja TE-toimistokohtaiset toimintamenot]]+Taulukko8[[#This Row],[Valtakunnalliset toimintamenot]]</f>
        <v>110903.43312611204</v>
      </c>
      <c r="G101" s="459">
        <v>17136.593260708094</v>
      </c>
      <c r="H101" s="459">
        <v>10281.955956424856</v>
      </c>
      <c r="I101" s="459">
        <v>10930.905556247404</v>
      </c>
      <c r="J101" s="459">
        <v>25716.450894909685</v>
      </c>
      <c r="K101" s="459">
        <v>70260.839009460469</v>
      </c>
      <c r="L101" s="459">
        <v>67206.525476495997</v>
      </c>
      <c r="M101" s="459">
        <v>9353.2598275862074</v>
      </c>
      <c r="N101" s="459">
        <v>6283.3087992445553</v>
      </c>
      <c r="O101" s="473">
        <f>SUM(Taulukko8[[#This Row],[Työvoimaviranomaisille siirtyvä kotoutumiskoulutus]:[Muut palvelut]])</f>
        <v>200033.24552036918</v>
      </c>
      <c r="P101" s="473">
        <f>Taulukko8[[#This Row],[Palvelut yhteensä]]+Taulukko8[[#This Row],[Toimintamenot yhteensä]]</f>
        <v>310936.67864648125</v>
      </c>
      <c r="Q101" s="481">
        <v>9600.9322109279983</v>
      </c>
      <c r="R101" s="481">
        <v>38403.728843711993</v>
      </c>
      <c r="S101" s="473">
        <f>Taulukko8[[#This Row],[Palvelut + toimintamenot]]-Taulukko8[[#This Row],[Poistuva velvoitetyöllistäminen]]-Taulukko8[[#This Row],[Poistuvaksi ehdotettu  palkkatuki]]</f>
        <v>262932.01759184123</v>
      </c>
      <c r="T101" s="479">
        <f>(Taulukko8[[#This Row],[Palvelut + toimintamenot, huomioitu vuonna 2025 poistuvat tehtävät]]/$S$6)*$T$2</f>
        <v>248022.45902155215</v>
      </c>
      <c r="U101" s="481">
        <f>Taulukko8[[#This Row],[Skaalattu siirtyvän rahoituksen tasoon ]]*0.5</f>
        <v>124011.22951077607</v>
      </c>
    </row>
    <row r="102" spans="1:21">
      <c r="A102" s="465">
        <v>276</v>
      </c>
      <c r="B102" s="456" t="s">
        <v>107</v>
      </c>
      <c r="C102" s="459">
        <v>15157</v>
      </c>
      <c r="D102" s="459">
        <v>574887.87212616799</v>
      </c>
      <c r="E102" s="459">
        <v>123247.90217171419</v>
      </c>
      <c r="F102" s="473">
        <f>Taulukko8[[#This Row],[Siirtyvän henkilöstön ELY-keskus ja TE-toimistokohtaiset toimintamenot]]+Taulukko8[[#This Row],[Valtakunnalliset toimintamenot]]</f>
        <v>698135.77429788222</v>
      </c>
      <c r="G102" s="459">
        <v>77114.669673186421</v>
      </c>
      <c r="H102" s="459">
        <v>46268.801803911854</v>
      </c>
      <c r="I102" s="459">
        <v>218618.11112494807</v>
      </c>
      <c r="J102" s="459">
        <v>19287.338171182266</v>
      </c>
      <c r="K102" s="459">
        <v>611570.48544440663</v>
      </c>
      <c r="L102" s="459">
        <v>250050.13221743453</v>
      </c>
      <c r="M102" s="459">
        <v>119731.68260756193</v>
      </c>
      <c r="N102" s="459">
        <v>39553.353129520707</v>
      </c>
      <c r="O102" s="473">
        <f>SUM(Taulukko8[[#This Row],[Työvoimaviranomaisille siirtyvä kotoutumiskoulutus]:[Muut palvelut]])</f>
        <v>1305079.9044989662</v>
      </c>
      <c r="P102" s="473">
        <f>Taulukko8[[#This Row],[Palvelut yhteensä]]+Taulukko8[[#This Row],[Toimintamenot yhteensä]]</f>
        <v>2003215.6787968483</v>
      </c>
      <c r="Q102" s="481">
        <v>43486.979516075568</v>
      </c>
      <c r="R102" s="481">
        <v>184819.66294332116</v>
      </c>
      <c r="S102" s="473">
        <f>Taulukko8[[#This Row],[Palvelut + toimintamenot]]-Taulukko8[[#This Row],[Poistuva velvoitetyöllistäminen]]-Taulukko8[[#This Row],[Poistuvaksi ehdotettu  palkkatuki]]</f>
        <v>1774909.0363374515</v>
      </c>
      <c r="T102" s="479">
        <f>(Taulukko8[[#This Row],[Palvelut + toimintamenot, huomioitu vuonna 2025 poistuvat tehtävät]]/$S$6)*$T$2</f>
        <v>1674262.8294715832</v>
      </c>
      <c r="U102" s="481">
        <f>Taulukko8[[#This Row],[Skaalattu siirtyvän rahoituksen tasoon ]]*0.5</f>
        <v>837131.41473579162</v>
      </c>
    </row>
    <row r="103" spans="1:21">
      <c r="A103" s="465">
        <v>280</v>
      </c>
      <c r="B103" s="456" t="s">
        <v>108</v>
      </c>
      <c r="C103" s="459">
        <v>2024</v>
      </c>
      <c r="D103" s="459">
        <v>57031.062564988802</v>
      </c>
      <c r="E103" s="459">
        <v>12226.660468175676</v>
      </c>
      <c r="F103" s="473">
        <f>Taulukko8[[#This Row],[Siirtyvän henkilöstön ELY-keskus ja TE-toimistokohtaiset toimintamenot]]+Taulukko8[[#This Row],[Valtakunnalliset toimintamenot]]</f>
        <v>69257.723033164482</v>
      </c>
      <c r="G103" s="459">
        <v>8568.296630354047</v>
      </c>
      <c r="H103" s="459">
        <v>5140.9779782124278</v>
      </c>
      <c r="I103" s="459">
        <v>10930.905556247404</v>
      </c>
      <c r="J103" s="459">
        <v>9643.6690855911329</v>
      </c>
      <c r="K103" s="459">
        <v>23779.074529411762</v>
      </c>
      <c r="L103" s="459">
        <v>9385.6891604649118</v>
      </c>
      <c r="M103" s="459">
        <v>16295.56546451613</v>
      </c>
      <c r="N103" s="459">
        <v>3923.8430072320739</v>
      </c>
      <c r="O103" s="473">
        <f>SUM(Taulukko8[[#This Row],[Työvoimaviranomaisille siirtyvä kotoutumiskoulutus]:[Muut palvelut]])</f>
        <v>79099.724781675846</v>
      </c>
      <c r="P103" s="473">
        <f>Taulukko8[[#This Row],[Palvelut yhteensä]]+Taulukko8[[#This Row],[Toimintamenot yhteensä]]</f>
        <v>148357.44781484033</v>
      </c>
      <c r="Q103" s="481">
        <v>0</v>
      </c>
      <c r="R103" s="481">
        <v>9385.6891604649118</v>
      </c>
      <c r="S103" s="473">
        <f>Taulukko8[[#This Row],[Palvelut + toimintamenot]]-Taulukko8[[#This Row],[Poistuva velvoitetyöllistäminen]]-Taulukko8[[#This Row],[Poistuvaksi ehdotettu  palkkatuki]]</f>
        <v>138971.75865437542</v>
      </c>
      <c r="T103" s="479">
        <f>(Taulukko8[[#This Row],[Palvelut + toimintamenot, huomioitu vuonna 2025 poistuvat tehtävät]]/$S$6)*$T$2</f>
        <v>131091.36586596296</v>
      </c>
      <c r="U103" s="481">
        <f>Taulukko8[[#This Row],[Skaalattu siirtyvän rahoituksen tasoon ]]*0.5</f>
        <v>65545.682932981479</v>
      </c>
    </row>
    <row r="104" spans="1:21">
      <c r="A104" s="465">
        <v>284</v>
      </c>
      <c r="B104" s="456" t="s">
        <v>109</v>
      </c>
      <c r="C104" s="459">
        <v>2227</v>
      </c>
      <c r="D104" s="459">
        <v>52760.35470187974</v>
      </c>
      <c r="E104" s="459">
        <v>11311.080560445567</v>
      </c>
      <c r="F104" s="473">
        <f>Taulukko8[[#This Row],[Siirtyvän henkilöstön ELY-keskus ja TE-toimistokohtaiset toimintamenot]]+Taulukko8[[#This Row],[Valtakunnalliset toimintamenot]]</f>
        <v>64071.435262325307</v>
      </c>
      <c r="G104" s="459">
        <v>25704.889891062143</v>
      </c>
      <c r="H104" s="459">
        <v>15422.933934637285</v>
      </c>
      <c r="I104" s="459">
        <v>10930.905556247404</v>
      </c>
      <c r="J104" s="459">
        <v>12858.225447454843</v>
      </c>
      <c r="K104" s="459">
        <v>47541.52190841332</v>
      </c>
      <c r="L104" s="459">
        <v>13956.505057179842</v>
      </c>
      <c r="M104" s="459">
        <v>14646.959151426827</v>
      </c>
      <c r="N104" s="459">
        <v>3630.0103758393889</v>
      </c>
      <c r="O104" s="473">
        <f>SUM(Taulukko8[[#This Row],[Työvoimaviranomaisille siirtyvä kotoutumiskoulutus]:[Muut palvelut]])</f>
        <v>118987.0614311989</v>
      </c>
      <c r="P104" s="473">
        <f>Taulukko8[[#This Row],[Palvelut yhteensä]]+Taulukko8[[#This Row],[Toimintamenot yhteensä]]</f>
        <v>183058.49669352421</v>
      </c>
      <c r="Q104" s="481">
        <v>6978.252528589921</v>
      </c>
      <c r="R104" s="481">
        <v>13956.505057179842</v>
      </c>
      <c r="S104" s="473">
        <f>Taulukko8[[#This Row],[Palvelut + toimintamenot]]-Taulukko8[[#This Row],[Poistuva velvoitetyöllistäminen]]-Taulukko8[[#This Row],[Poistuvaksi ehdotettu  palkkatuki]]</f>
        <v>162123.73910775446</v>
      </c>
      <c r="T104" s="479">
        <f>(Taulukko8[[#This Row],[Palvelut + toimintamenot, huomioitu vuonna 2025 poistuvat tehtävät]]/$S$6)*$T$2</f>
        <v>152930.51339869067</v>
      </c>
      <c r="U104" s="481">
        <f>Taulukko8[[#This Row],[Skaalattu siirtyvän rahoituksen tasoon ]]*0.5</f>
        <v>76465.256699345337</v>
      </c>
    </row>
    <row r="105" spans="1:21">
      <c r="A105" s="465">
        <v>285</v>
      </c>
      <c r="B105" s="456" t="s">
        <v>110</v>
      </c>
      <c r="C105" s="459">
        <v>50617</v>
      </c>
      <c r="D105" s="459">
        <v>2677406.4588349271</v>
      </c>
      <c r="E105" s="459">
        <v>573998.41832109925</v>
      </c>
      <c r="F105" s="473">
        <f>Taulukko8[[#This Row],[Siirtyvän henkilöstön ELY-keskus ja TE-toimistokohtaiset toimintamenot]]+Taulukko8[[#This Row],[Valtakunnalliset toimintamenot]]</f>
        <v>3251404.8771560262</v>
      </c>
      <c r="G105" s="459">
        <v>1139583.4518370882</v>
      </c>
      <c r="H105" s="459">
        <v>683750.07110225293</v>
      </c>
      <c r="I105" s="459">
        <v>360719.88335616433</v>
      </c>
      <c r="J105" s="459">
        <v>141440.47992200326</v>
      </c>
      <c r="K105" s="459">
        <v>1922461.9844955201</v>
      </c>
      <c r="L105" s="459">
        <v>698543.31849800318</v>
      </c>
      <c r="M105" s="459">
        <v>274279.64915384614</v>
      </c>
      <c r="N105" s="459">
        <v>184210.53612749709</v>
      </c>
      <c r="O105" s="473">
        <f>SUM(Taulukko8[[#This Row],[Työvoimaviranomaisille siirtyvä kotoutumiskoulutus]:[Muut palvelut]])</f>
        <v>4265405.9226552872</v>
      </c>
      <c r="P105" s="473">
        <f>Taulukko8[[#This Row],[Palvelut yhteensä]]+Taulukko8[[#This Row],[Toimintamenot yhteensä]]</f>
        <v>7516810.7998113129</v>
      </c>
      <c r="Q105" s="481">
        <v>187668.35422334413</v>
      </c>
      <c r="R105" s="481">
        <v>437892.82652113633</v>
      </c>
      <c r="S105" s="473">
        <f>Taulukko8[[#This Row],[Palvelut + toimintamenot]]-Taulukko8[[#This Row],[Poistuva velvoitetyöllistäminen]]-Taulukko8[[#This Row],[Poistuvaksi ehdotettu  palkkatuki]]</f>
        <v>6891249.6190668326</v>
      </c>
      <c r="T105" s="479">
        <f>(Taulukko8[[#This Row],[Palvelut + toimintamenot, huomioitu vuonna 2025 poistuvat tehtävät]]/$S$6)*$T$2</f>
        <v>6500481.348397512</v>
      </c>
      <c r="U105" s="481">
        <f>Taulukko8[[#This Row],[Skaalattu siirtyvän rahoituksen tasoon ]]*0.5</f>
        <v>3250240.674198756</v>
      </c>
    </row>
    <row r="106" spans="1:21">
      <c r="A106" s="465">
        <v>286</v>
      </c>
      <c r="B106" s="456" t="s">
        <v>111</v>
      </c>
      <c r="C106" s="459">
        <v>79429</v>
      </c>
      <c r="D106" s="459">
        <v>3393299.1169166658</v>
      </c>
      <c r="E106" s="459">
        <v>727475.77028260077</v>
      </c>
      <c r="F106" s="473">
        <f>Taulukko8[[#This Row],[Siirtyvän henkilöstön ELY-keskus ja TE-toimistokohtaiset toimintamenot]]+Taulukko8[[#This Row],[Valtakunnalliset toimintamenot]]</f>
        <v>4120774.8871992668</v>
      </c>
      <c r="G106" s="459">
        <v>505529.50119088875</v>
      </c>
      <c r="H106" s="459">
        <v>303317.70071453322</v>
      </c>
      <c r="I106" s="459">
        <v>677716.14448733907</v>
      </c>
      <c r="J106" s="459">
        <v>353601.19980500819</v>
      </c>
      <c r="K106" s="459">
        <v>2473279.7440981693</v>
      </c>
      <c r="L106" s="459">
        <v>2272872.2900382788</v>
      </c>
      <c r="M106" s="459">
        <v>443990.90365384612</v>
      </c>
      <c r="N106" s="459">
        <v>233465.28036695093</v>
      </c>
      <c r="O106" s="473">
        <f>SUM(Taulukko8[[#This Row],[Työvoimaviranomaisille siirtyvä kotoutumiskoulutus]:[Muut palvelut]])</f>
        <v>6758243.2631641254</v>
      </c>
      <c r="P106" s="473">
        <f>Taulukko8[[#This Row],[Palvelut yhteensä]]+Taulukko8[[#This Row],[Toimintamenot yhteensä]]</f>
        <v>10879018.150363393</v>
      </c>
      <c r="Q106" s="481">
        <v>198094.3739024188</v>
      </c>
      <c r="R106" s="481">
        <v>1543050.9125030518</v>
      </c>
      <c r="S106" s="473">
        <f>Taulukko8[[#This Row],[Palvelut + toimintamenot]]-Taulukko8[[#This Row],[Poistuva velvoitetyöllistäminen]]-Taulukko8[[#This Row],[Poistuvaksi ehdotettu  palkkatuki]]</f>
        <v>9137872.863957921</v>
      </c>
      <c r="T106" s="479">
        <f>(Taulukko8[[#This Row],[Palvelut + toimintamenot, huomioitu vuonna 2025 poistuvat tehtävät]]/$S$6)*$T$2</f>
        <v>8619709.834894916</v>
      </c>
      <c r="U106" s="481">
        <f>Taulukko8[[#This Row],[Skaalattu siirtyvän rahoituksen tasoon ]]*0.5</f>
        <v>4309854.917447458</v>
      </c>
    </row>
    <row r="107" spans="1:21">
      <c r="A107" s="465">
        <v>287</v>
      </c>
      <c r="B107" s="456" t="s">
        <v>112</v>
      </c>
      <c r="C107" s="459">
        <v>6242</v>
      </c>
      <c r="D107" s="459">
        <v>115282.32737658019</v>
      </c>
      <c r="E107" s="459">
        <v>24714.915195702812</v>
      </c>
      <c r="F107" s="473">
        <f>Taulukko8[[#This Row],[Siirtyvän henkilöstön ELY-keskus ja TE-toimistokohtaiset toimintamenot]]+Taulukko8[[#This Row],[Valtakunnalliset toimintamenot]]</f>
        <v>139997.24257228299</v>
      </c>
      <c r="G107" s="459">
        <v>145661.0427160188</v>
      </c>
      <c r="H107" s="459">
        <v>87396.62562961127</v>
      </c>
      <c r="I107" s="459">
        <v>10930.905556247404</v>
      </c>
      <c r="J107" s="459">
        <v>51432.901789819371</v>
      </c>
      <c r="K107" s="459">
        <v>110969.01447058823</v>
      </c>
      <c r="L107" s="459">
        <v>28157.067481394733</v>
      </c>
      <c r="M107" s="459">
        <v>43091.210193548388</v>
      </c>
      <c r="N107" s="459">
        <v>7931.6381948620574</v>
      </c>
      <c r="O107" s="473">
        <f>SUM(Taulukko8[[#This Row],[Työvoimaviranomaisille siirtyvä kotoutumiskoulutus]:[Muut palvelut]])</f>
        <v>339909.36331607151</v>
      </c>
      <c r="P107" s="473">
        <f>Taulukko8[[#This Row],[Palvelut yhteensä]]+Taulukko8[[#This Row],[Toimintamenot yhteensä]]</f>
        <v>479906.60588835448</v>
      </c>
      <c r="Q107" s="481">
        <v>0</v>
      </c>
      <c r="R107" s="481">
        <v>9385.6891604649099</v>
      </c>
      <c r="S107" s="473">
        <f>Taulukko8[[#This Row],[Palvelut + toimintamenot]]-Taulukko8[[#This Row],[Poistuva velvoitetyöllistäminen]]-Taulukko8[[#This Row],[Poistuvaksi ehdotettu  palkkatuki]]</f>
        <v>470520.91672788956</v>
      </c>
      <c r="T107" s="479">
        <f>(Taulukko8[[#This Row],[Palvelut + toimintamenot, huomioitu vuonna 2025 poistuvat tehtävät]]/$S$6)*$T$2</f>
        <v>443840.03080630273</v>
      </c>
      <c r="U107" s="481">
        <f>Taulukko8[[#This Row],[Skaalattu siirtyvän rahoituksen tasoon ]]*0.5</f>
        <v>221920.01540315137</v>
      </c>
    </row>
    <row r="108" spans="1:21">
      <c r="A108" s="465">
        <v>288</v>
      </c>
      <c r="B108" s="456" t="s">
        <v>113</v>
      </c>
      <c r="C108" s="459">
        <v>6405</v>
      </c>
      <c r="D108" s="459">
        <v>137826.30790832316</v>
      </c>
      <c r="E108" s="459">
        <v>29548.028645915761</v>
      </c>
      <c r="F108" s="473">
        <f>Taulukko8[[#This Row],[Siirtyvän henkilöstön ELY-keskus ja TE-toimistokohtaiset toimintamenot]]+Taulukko8[[#This Row],[Valtakunnalliset toimintamenot]]</f>
        <v>167374.33655423892</v>
      </c>
      <c r="G108" s="459">
        <v>0</v>
      </c>
      <c r="H108" s="459">
        <v>0</v>
      </c>
      <c r="I108" s="459">
        <v>43723.622224989616</v>
      </c>
      <c r="J108" s="459">
        <v>9643.6690855911329</v>
      </c>
      <c r="K108" s="459">
        <v>39631.790882352936</v>
      </c>
      <c r="L108" s="459">
        <v>65699.824123254381</v>
      </c>
      <c r="M108" s="459">
        <v>49977.589529032266</v>
      </c>
      <c r="N108" s="459">
        <v>9482.7059180673477</v>
      </c>
      <c r="O108" s="473">
        <f>SUM(Taulukko8[[#This Row],[Työvoimaviranomaisille siirtyvä kotoutumiskoulutus]:[Muut palvelut]])</f>
        <v>218159.20176328765</v>
      </c>
      <c r="P108" s="473">
        <f>Taulukko8[[#This Row],[Palvelut yhteensä]]+Taulukko8[[#This Row],[Toimintamenot yhteensä]]</f>
        <v>385533.53831752657</v>
      </c>
      <c r="Q108" s="481">
        <v>0</v>
      </c>
      <c r="R108" s="481">
        <v>46928.445802324561</v>
      </c>
      <c r="S108" s="473">
        <f>Taulukko8[[#This Row],[Palvelut + toimintamenot]]-Taulukko8[[#This Row],[Poistuva velvoitetyöllistäminen]]-Taulukko8[[#This Row],[Poistuvaksi ehdotettu  palkkatuki]]</f>
        <v>338605.09251520201</v>
      </c>
      <c r="T108" s="479">
        <f>(Taulukko8[[#This Row],[Palvelut + toimintamenot, huomioitu vuonna 2025 poistuvat tehtävät]]/$S$6)*$T$2</f>
        <v>319404.49265942315</v>
      </c>
      <c r="U108" s="481">
        <f>Taulukko8[[#This Row],[Skaalattu siirtyvän rahoituksen tasoon ]]*0.5</f>
        <v>159702.24632971158</v>
      </c>
    </row>
    <row r="109" spans="1:21">
      <c r="A109" s="465">
        <v>290</v>
      </c>
      <c r="B109" s="456" t="s">
        <v>114</v>
      </c>
      <c r="C109" s="459">
        <v>7755</v>
      </c>
      <c r="D109" s="459">
        <v>334862.18580727675</v>
      </c>
      <c r="E109" s="459">
        <v>71789.759218166393</v>
      </c>
      <c r="F109" s="473">
        <f>Taulukko8[[#This Row],[Siirtyvän henkilöstön ELY-keskus ja TE-toimistokohtaiset toimintamenot]]+Taulukko8[[#This Row],[Valtakunnalliset toimintamenot]]</f>
        <v>406651.94502544316</v>
      </c>
      <c r="G109" s="459">
        <v>51409.779782124286</v>
      </c>
      <c r="H109" s="459">
        <v>30845.867869274571</v>
      </c>
      <c r="I109" s="459">
        <v>43723.622224989616</v>
      </c>
      <c r="J109" s="459">
        <v>3214.5563618637107</v>
      </c>
      <c r="K109" s="459">
        <v>364895.12655263155</v>
      </c>
      <c r="L109" s="459">
        <v>210037.7775649314</v>
      </c>
      <c r="M109" s="459">
        <v>34761.140229885059</v>
      </c>
      <c r="N109" s="459">
        <v>23039.140199589379</v>
      </c>
      <c r="O109" s="473">
        <f>SUM(Taulukko8[[#This Row],[Työvoimaviranomaisille siirtyvä kotoutumiskoulutus]:[Muut palvelut]])</f>
        <v>710517.23100316536</v>
      </c>
      <c r="P109" s="473">
        <f>Taulukko8[[#This Row],[Palvelut yhteensä]]+Taulukko8[[#This Row],[Toimintamenot yhteensä]]</f>
        <v>1117169.1760286086</v>
      </c>
      <c r="Q109" s="481">
        <v>32313.504240758677</v>
      </c>
      <c r="R109" s="481">
        <v>129254.01696303471</v>
      </c>
      <c r="S109" s="473">
        <f>Taulukko8[[#This Row],[Palvelut + toimintamenot]]-Taulukko8[[#This Row],[Poistuva velvoitetyöllistäminen]]-Taulukko8[[#This Row],[Poistuvaksi ehdotettu  palkkatuki]]</f>
        <v>955601.65482481511</v>
      </c>
      <c r="T109" s="479">
        <f>(Taulukko8[[#This Row],[Palvelut + toimintamenot, huomioitu vuonna 2025 poistuvat tehtävät]]/$S$6)*$T$2</f>
        <v>901414.26839326695</v>
      </c>
      <c r="U109" s="481">
        <f>Taulukko8[[#This Row],[Skaalattu siirtyvän rahoituksen tasoon ]]*0.5</f>
        <v>450707.13419663347</v>
      </c>
    </row>
    <row r="110" spans="1:21">
      <c r="A110" s="465">
        <v>291</v>
      </c>
      <c r="B110" s="456" t="s">
        <v>115</v>
      </c>
      <c r="C110" s="459">
        <v>2119</v>
      </c>
      <c r="D110" s="459">
        <v>67459.327618880183</v>
      </c>
      <c r="E110" s="459">
        <v>14462.3343334623</v>
      </c>
      <c r="F110" s="473">
        <f>Taulukko8[[#This Row],[Siirtyvän henkilöstön ELY-keskus ja TE-toimistokohtaiset toimintamenot]]+Taulukko8[[#This Row],[Valtakunnalliset toimintamenot]]</f>
        <v>81921.661952342489</v>
      </c>
      <c r="G110" s="459">
        <v>0</v>
      </c>
      <c r="H110" s="459">
        <v>0</v>
      </c>
      <c r="I110" s="459">
        <v>0</v>
      </c>
      <c r="J110" s="459">
        <v>3214.5563618637107</v>
      </c>
      <c r="K110" s="459">
        <v>31781.578404585882</v>
      </c>
      <c r="L110" s="459">
        <v>73630.574256660169</v>
      </c>
      <c r="M110" s="459">
        <v>5261.2152755905508</v>
      </c>
      <c r="N110" s="459">
        <v>4641.3270075107976</v>
      </c>
      <c r="O110" s="473">
        <f>SUM(Taulukko8[[#This Row],[Työvoimaviranomaisille siirtyvä kotoutumiskoulutus]:[Muut palvelut]])</f>
        <v>118529.25130621111</v>
      </c>
      <c r="P110" s="473">
        <f>Taulukko8[[#This Row],[Palvelut yhteensä]]+Taulukko8[[#This Row],[Toimintamenot yhteensä]]</f>
        <v>200450.9132585536</v>
      </c>
      <c r="Q110" s="481">
        <v>33468.442843936442</v>
      </c>
      <c r="R110" s="481">
        <v>33468.442843936442</v>
      </c>
      <c r="S110" s="473">
        <f>Taulukko8[[#This Row],[Palvelut + toimintamenot]]-Taulukko8[[#This Row],[Poistuva velvoitetyöllistäminen]]-Taulukko8[[#This Row],[Poistuvaksi ehdotettu  palkkatuki]]</f>
        <v>133514.02757068072</v>
      </c>
      <c r="T110" s="479">
        <f>(Taulukko8[[#This Row],[Palvelut + toimintamenot, huomioitu vuonna 2025 poistuvat tehtävät]]/$S$6)*$T$2</f>
        <v>125943.11539249789</v>
      </c>
      <c r="U110" s="481">
        <f>Taulukko8[[#This Row],[Skaalattu siirtyvän rahoituksen tasoon ]]*0.5</f>
        <v>62971.557696248943</v>
      </c>
    </row>
    <row r="111" spans="1:21">
      <c r="A111" s="465">
        <v>297</v>
      </c>
      <c r="B111" s="456" t="s">
        <v>116</v>
      </c>
      <c r="C111" s="459">
        <v>122594</v>
      </c>
      <c r="D111" s="459">
        <v>4784767.1651905691</v>
      </c>
      <c r="E111" s="459">
        <v>1025787.0170557643</v>
      </c>
      <c r="F111" s="473">
        <f>Taulukko8[[#This Row],[Siirtyvän henkilöstön ELY-keskus ja TE-toimistokohtaiset toimintamenot]]+Taulukko8[[#This Row],[Valtakunnalliset toimintamenot]]</f>
        <v>5810554.182246333</v>
      </c>
      <c r="G111" s="459">
        <v>1259539.6046620449</v>
      </c>
      <c r="H111" s="459">
        <v>755723.7627972269</v>
      </c>
      <c r="I111" s="459">
        <v>1431948.62786841</v>
      </c>
      <c r="J111" s="459">
        <v>466110.67247023806</v>
      </c>
      <c r="K111" s="459">
        <v>2772073.4526696834</v>
      </c>
      <c r="L111" s="459">
        <v>720746.63082169043</v>
      </c>
      <c r="M111" s="459">
        <v>622128.27622428804</v>
      </c>
      <c r="N111" s="459">
        <v>329200.86594866228</v>
      </c>
      <c r="O111" s="473">
        <f>SUM(Taulukko8[[#This Row],[Työvoimaviranomaisille siirtyvä kotoutumiskoulutus]:[Muut palvelut]])</f>
        <v>7097932.2888001995</v>
      </c>
      <c r="P111" s="473">
        <f>Taulukko8[[#This Row],[Palvelut yhteensä]]+Taulukko8[[#This Row],[Toimintamenot yhteensä]]</f>
        <v>12908486.471046533</v>
      </c>
      <c r="Q111" s="481">
        <v>257951.42576776288</v>
      </c>
      <c r="R111" s="481">
        <v>417274.3652125576</v>
      </c>
      <c r="S111" s="473">
        <f>Taulukko8[[#This Row],[Palvelut + toimintamenot]]-Taulukko8[[#This Row],[Poistuva velvoitetyöllistäminen]]-Taulukko8[[#This Row],[Poistuvaksi ehdotettu  palkkatuki]]</f>
        <v>12233260.680066213</v>
      </c>
      <c r="T111" s="479">
        <f>(Taulukko8[[#This Row],[Palvelut + toimintamenot, huomioitu vuonna 2025 poistuvat tehtävät]]/$S$6)*$T$2</f>
        <v>11539573.70239963</v>
      </c>
      <c r="U111" s="481">
        <f>Taulukko8[[#This Row],[Skaalattu siirtyvän rahoituksen tasoon ]]*0.5</f>
        <v>5769786.851199815</v>
      </c>
    </row>
    <row r="112" spans="1:21">
      <c r="A112" s="465">
        <v>300</v>
      </c>
      <c r="B112" s="456" t="s">
        <v>117</v>
      </c>
      <c r="C112" s="459">
        <v>3437</v>
      </c>
      <c r="D112" s="459">
        <v>66753.991198283082</v>
      </c>
      <c r="E112" s="459">
        <v>14311.120090861577</v>
      </c>
      <c r="F112" s="473">
        <f>Taulukko8[[#This Row],[Siirtyvän henkilöstön ELY-keskus ja TE-toimistokohtaiset toimintamenot]]+Taulukko8[[#This Row],[Valtakunnalliset toimintamenot]]</f>
        <v>81065.111289144654</v>
      </c>
      <c r="G112" s="459">
        <v>17136.593260708094</v>
      </c>
      <c r="H112" s="459">
        <v>10281.955956424856</v>
      </c>
      <c r="I112" s="459">
        <v>10930.905556247404</v>
      </c>
      <c r="J112" s="459">
        <v>6429.1127237274213</v>
      </c>
      <c r="K112" s="459">
        <v>71480.007991071427</v>
      </c>
      <c r="L112" s="459">
        <v>0</v>
      </c>
      <c r="M112" s="459">
        <v>15044.690411722402</v>
      </c>
      <c r="N112" s="459">
        <v>4592.7985520124939</v>
      </c>
      <c r="O112" s="473">
        <f>SUM(Taulukko8[[#This Row],[Työvoimaviranomaisille siirtyvä kotoutumiskoulutus]:[Muut palvelut]])</f>
        <v>118759.471191206</v>
      </c>
      <c r="P112" s="473">
        <f>Taulukko8[[#This Row],[Palvelut yhteensä]]+Taulukko8[[#This Row],[Toimintamenot yhteensä]]</f>
        <v>199824.58248035065</v>
      </c>
      <c r="Q112" s="481">
        <v>0</v>
      </c>
      <c r="R112" s="481">
        <v>0</v>
      </c>
      <c r="S112" s="473">
        <f>Taulukko8[[#This Row],[Palvelut + toimintamenot]]-Taulukko8[[#This Row],[Poistuva velvoitetyöllistäminen]]-Taulukko8[[#This Row],[Poistuvaksi ehdotettu  palkkatuki]]</f>
        <v>199824.58248035065</v>
      </c>
      <c r="T112" s="479">
        <f>(Taulukko8[[#This Row],[Palvelut + toimintamenot, huomioitu vuonna 2025 poistuvat tehtävät]]/$S$6)*$T$2</f>
        <v>188493.53066109592</v>
      </c>
      <c r="U112" s="481">
        <f>Taulukko8[[#This Row],[Skaalattu siirtyvän rahoituksen tasoon ]]*0.5</f>
        <v>94246.765330547962</v>
      </c>
    </row>
    <row r="113" spans="1:21">
      <c r="A113" s="465">
        <v>301</v>
      </c>
      <c r="B113" s="456" t="s">
        <v>118</v>
      </c>
      <c r="C113" s="459">
        <v>19890</v>
      </c>
      <c r="D113" s="459">
        <v>601473.40058690193</v>
      </c>
      <c r="E113" s="459">
        <v>128947.46685168149</v>
      </c>
      <c r="F113" s="473">
        <f>Taulukko8[[#This Row],[Siirtyvän henkilöstön ELY-keskus ja TE-toimistokohtaiset toimintamenot]]+Taulukko8[[#This Row],[Valtakunnalliset toimintamenot]]</f>
        <v>730420.8674385834</v>
      </c>
      <c r="G113" s="459">
        <v>111387.85619460262</v>
      </c>
      <c r="H113" s="459">
        <v>66832.713716761573</v>
      </c>
      <c r="I113" s="459">
        <v>131170.86667496886</v>
      </c>
      <c r="J113" s="459">
        <v>102865.80357963874</v>
      </c>
      <c r="K113" s="459">
        <v>468591.16349702381</v>
      </c>
      <c r="L113" s="459">
        <v>486891.29515939858</v>
      </c>
      <c r="M113" s="459">
        <v>47906.484753685727</v>
      </c>
      <c r="N113" s="459">
        <v>41382.486855117117</v>
      </c>
      <c r="O113" s="473">
        <f>SUM(Taulukko8[[#This Row],[Työvoimaviranomaisille siirtyvä kotoutumiskoulutus]:[Muut palvelut]])</f>
        <v>1345640.8142365944</v>
      </c>
      <c r="P113" s="473">
        <f>Taulukko8[[#This Row],[Palvelut yhteensä]]+Taulukko8[[#This Row],[Toimintamenot yhteensä]]</f>
        <v>2076061.6816751778</v>
      </c>
      <c r="Q113" s="481">
        <v>28640.664421141093</v>
      </c>
      <c r="R113" s="481">
        <v>124109.54582494473</v>
      </c>
      <c r="S113" s="473">
        <f>Taulukko8[[#This Row],[Palvelut + toimintamenot]]-Taulukko8[[#This Row],[Poistuva velvoitetyöllistäminen]]-Taulukko8[[#This Row],[Poistuvaksi ehdotettu  palkkatuki]]</f>
        <v>1923311.4714290919</v>
      </c>
      <c r="T113" s="479">
        <f>(Taulukko8[[#This Row],[Palvelut + toimintamenot, huomioitu vuonna 2025 poistuvat tehtävät]]/$S$6)*$T$2</f>
        <v>1814250.1053207801</v>
      </c>
      <c r="U113" s="481">
        <f>Taulukko8[[#This Row],[Skaalattu siirtyvän rahoituksen tasoon ]]*0.5</f>
        <v>907125.05266039004</v>
      </c>
    </row>
    <row r="114" spans="1:21">
      <c r="A114" s="465">
        <v>304</v>
      </c>
      <c r="B114" s="456" t="s">
        <v>119</v>
      </c>
      <c r="C114" s="459">
        <v>950</v>
      </c>
      <c r="D114" s="459">
        <v>18707.783712546032</v>
      </c>
      <c r="E114" s="459">
        <v>4010.6866202031156</v>
      </c>
      <c r="F114" s="473">
        <f>Taulukko8[[#This Row],[Siirtyvän henkilöstön ELY-keskus ja TE-toimistokohtaiset toimintamenot]]+Taulukko8[[#This Row],[Valtakunnalliset toimintamenot]]</f>
        <v>22718.470332749148</v>
      </c>
      <c r="G114" s="459">
        <v>8568.296630354047</v>
      </c>
      <c r="H114" s="459">
        <v>5140.9779782124278</v>
      </c>
      <c r="I114" s="459">
        <v>10930.905556247404</v>
      </c>
      <c r="J114" s="459">
        <v>6429.1127237274213</v>
      </c>
      <c r="K114" s="459">
        <v>33958.229934580944</v>
      </c>
      <c r="L114" s="459">
        <v>41869.515171539526</v>
      </c>
      <c r="M114" s="459">
        <v>4772.9054184100423</v>
      </c>
      <c r="N114" s="459">
        <v>1287.1302584908842</v>
      </c>
      <c r="O114" s="473">
        <f>SUM(Taulukko8[[#This Row],[Työvoimaviranomaisille siirtyvä kotoutumiskoulutus]:[Muut palvelut]])</f>
        <v>104388.77704120865</v>
      </c>
      <c r="P114" s="473">
        <f>Taulukko8[[#This Row],[Palvelut yhteensä]]+Taulukko8[[#This Row],[Toimintamenot yhteensä]]</f>
        <v>127107.2473739578</v>
      </c>
      <c r="Q114" s="481">
        <v>0</v>
      </c>
      <c r="R114" s="481">
        <v>6978.252528589921</v>
      </c>
      <c r="S114" s="473">
        <f>Taulukko8[[#This Row],[Palvelut + toimintamenot]]-Taulukko8[[#This Row],[Poistuva velvoitetyöllistäminen]]-Taulukko8[[#This Row],[Poistuvaksi ehdotettu  palkkatuki]]</f>
        <v>120128.99484536788</v>
      </c>
      <c r="T114" s="479">
        <f>(Taulukko8[[#This Row],[Palvelut + toimintamenot, huomioitu vuonna 2025 poistuvat tehtävät]]/$S$6)*$T$2</f>
        <v>113317.08087216242</v>
      </c>
      <c r="U114" s="481">
        <f>Taulukko8[[#This Row],[Skaalattu siirtyvän rahoituksen tasoon ]]*0.5</f>
        <v>56658.54043608121</v>
      </c>
    </row>
    <row r="115" spans="1:21">
      <c r="A115" s="465">
        <v>305</v>
      </c>
      <c r="B115" s="456" t="s">
        <v>120</v>
      </c>
      <c r="C115" s="459">
        <v>15146</v>
      </c>
      <c r="D115" s="459">
        <v>590003.49946883752</v>
      </c>
      <c r="E115" s="459">
        <v>126488.48081377776</v>
      </c>
      <c r="F115" s="473">
        <f>Taulukko8[[#This Row],[Siirtyvän henkilöstön ELY-keskus ja TE-toimistokohtaiset toimintamenot]]+Taulukko8[[#This Row],[Valtakunnalliset toimintamenot]]</f>
        <v>716491.98028261529</v>
      </c>
      <c r="G115" s="459">
        <v>282753.78880168358</v>
      </c>
      <c r="H115" s="459">
        <v>169652.27328101013</v>
      </c>
      <c r="I115" s="459">
        <v>32792.716668742214</v>
      </c>
      <c r="J115" s="459">
        <v>9643.6690855911329</v>
      </c>
      <c r="K115" s="459">
        <v>553116.6171375101</v>
      </c>
      <c r="L115" s="459">
        <v>268515.97580621869</v>
      </c>
      <c r="M115" s="459">
        <v>110380.76406637806</v>
      </c>
      <c r="N115" s="459">
        <v>40593.336359376764</v>
      </c>
      <c r="O115" s="473">
        <f>SUM(Taulukko8[[#This Row],[Työvoimaviranomaisille siirtyvä kotoutumiskoulutus]:[Muut palvelut]])</f>
        <v>1184695.352404827</v>
      </c>
      <c r="P115" s="473">
        <f>Taulukko8[[#This Row],[Palvelut yhteensä]]+Taulukko8[[#This Row],[Toimintamenot yhteensä]]</f>
        <v>1901187.3326874422</v>
      </c>
      <c r="Q115" s="481">
        <v>23692.58610054871</v>
      </c>
      <c r="R115" s="481">
        <v>157950.57400365805</v>
      </c>
      <c r="S115" s="473">
        <f>Taulukko8[[#This Row],[Palvelut + toimintamenot]]-Taulukko8[[#This Row],[Poistuva velvoitetyöllistäminen]]-Taulukko8[[#This Row],[Poistuvaksi ehdotettu  palkkatuki]]</f>
        <v>1719544.1725832354</v>
      </c>
      <c r="T115" s="479">
        <f>(Taulukko8[[#This Row],[Palvelut + toimintamenot, huomioitu vuonna 2025 poistuvat tehtävät]]/$S$6)*$T$2</f>
        <v>1622037.4300033827</v>
      </c>
      <c r="U115" s="481">
        <f>Taulukko8[[#This Row],[Skaalattu siirtyvän rahoituksen tasoon ]]*0.5</f>
        <v>811018.71500169137</v>
      </c>
    </row>
    <row r="116" spans="1:21">
      <c r="A116" s="465">
        <v>309</v>
      </c>
      <c r="B116" s="456" t="s">
        <v>121</v>
      </c>
      <c r="C116" s="459">
        <v>6457</v>
      </c>
      <c r="D116" s="459">
        <v>342001.85700142215</v>
      </c>
      <c r="E116" s="459">
        <v>73320.404652761892</v>
      </c>
      <c r="F116" s="473">
        <f>Taulukko8[[#This Row],[Siirtyvän henkilöstön ELY-keskus ja TE-toimistokohtaiset toimintamenot]]+Taulukko8[[#This Row],[Valtakunnalliset toimintamenot]]</f>
        <v>415322.26165418403</v>
      </c>
      <c r="G116" s="459">
        <v>119956.15282495666</v>
      </c>
      <c r="H116" s="459">
        <v>71973.691694973997</v>
      </c>
      <c r="I116" s="459">
        <v>131170.86667496886</v>
      </c>
      <c r="J116" s="459">
        <v>9643.6690855911329</v>
      </c>
      <c r="K116" s="459">
        <v>430364.41568310099</v>
      </c>
      <c r="L116" s="459">
        <v>239178.38733841563</v>
      </c>
      <c r="M116" s="459">
        <v>51995.152842242504</v>
      </c>
      <c r="N116" s="459">
        <v>23530.362835624954</v>
      </c>
      <c r="O116" s="473">
        <f>SUM(Taulukko8[[#This Row],[Työvoimaviranomaisille siirtyvä kotoutumiskoulutus]:[Muut palvelut]])</f>
        <v>957856.54615491803</v>
      </c>
      <c r="P116" s="473">
        <f>Taulukko8[[#This Row],[Palvelut yhteensä]]+Taulukko8[[#This Row],[Toimintamenot yhteensä]]</f>
        <v>1373178.8078091021</v>
      </c>
      <c r="Q116" s="481">
        <v>43486.979516075568</v>
      </c>
      <c r="R116" s="481">
        <v>108717.44879018892</v>
      </c>
      <c r="S116" s="473">
        <f>Taulukko8[[#This Row],[Palvelut + toimintamenot]]-Taulukko8[[#This Row],[Poistuva velvoitetyöllistäminen]]-Taulukko8[[#This Row],[Poistuvaksi ehdotettu  palkkatuki]]</f>
        <v>1220974.3795028378</v>
      </c>
      <c r="T116" s="479">
        <f>(Taulukko8[[#This Row],[Palvelut + toimintamenot, huomioitu vuonna 2025 poistuvat tehtävät]]/$S$6)*$T$2</f>
        <v>1151739.0342194843</v>
      </c>
      <c r="U116" s="481">
        <f>Taulukko8[[#This Row],[Skaalattu siirtyvän rahoituksen tasoon ]]*0.5</f>
        <v>575869.51710974216</v>
      </c>
    </row>
    <row r="117" spans="1:21">
      <c r="A117" s="465">
        <v>312</v>
      </c>
      <c r="B117" s="456" t="s">
        <v>122</v>
      </c>
      <c r="C117" s="459">
        <v>1196</v>
      </c>
      <c r="D117" s="459">
        <v>35567.407436945221</v>
      </c>
      <c r="E117" s="459">
        <v>7625.1536427056053</v>
      </c>
      <c r="F117" s="473">
        <f>Taulukko8[[#This Row],[Siirtyvän henkilöstön ELY-keskus ja TE-toimistokohtaiset toimintamenot]]+Taulukko8[[#This Row],[Valtakunnalliset toimintamenot]]</f>
        <v>43192.561079650826</v>
      </c>
      <c r="G117" s="459">
        <v>0</v>
      </c>
      <c r="H117" s="459">
        <v>0</v>
      </c>
      <c r="I117" s="459">
        <v>10930.905556247404</v>
      </c>
      <c r="J117" s="459">
        <v>3214.5563618637107</v>
      </c>
      <c r="K117" s="459">
        <v>15613.519779880104</v>
      </c>
      <c r="L117" s="459">
        <v>19201.864421856</v>
      </c>
      <c r="M117" s="459">
        <v>0</v>
      </c>
      <c r="N117" s="459">
        <v>2447.1036778912758</v>
      </c>
      <c r="O117" s="473">
        <f>SUM(Taulukko8[[#This Row],[Työvoimaviranomaisille siirtyvä kotoutumiskoulutus]:[Muut palvelut]])</f>
        <v>51407.949797738496</v>
      </c>
      <c r="P117" s="473">
        <f>Taulukko8[[#This Row],[Palvelut yhteensä]]+Taulukko8[[#This Row],[Toimintamenot yhteensä]]</f>
        <v>94600.510877389315</v>
      </c>
      <c r="Q117" s="481">
        <v>9600.9322109280001</v>
      </c>
      <c r="R117" s="481">
        <v>9600.9322109280001</v>
      </c>
      <c r="S117" s="473">
        <f>Taulukko8[[#This Row],[Palvelut + toimintamenot]]-Taulukko8[[#This Row],[Poistuva velvoitetyöllistäminen]]-Taulukko8[[#This Row],[Poistuvaksi ehdotettu  palkkatuki]]</f>
        <v>75398.646455533308</v>
      </c>
      <c r="T117" s="479">
        <f>(Taulukko8[[#This Row],[Palvelut + toimintamenot, huomioitu vuonna 2025 poistuvat tehtävät]]/$S$6)*$T$2</f>
        <v>71123.166634759385</v>
      </c>
      <c r="U117" s="481">
        <f>Taulukko8[[#This Row],[Skaalattu siirtyvän rahoituksen tasoon ]]*0.5</f>
        <v>35561.583317379693</v>
      </c>
    </row>
    <row r="118" spans="1:21">
      <c r="A118" s="465">
        <v>316</v>
      </c>
      <c r="B118" s="456" t="s">
        <v>123</v>
      </c>
      <c r="C118" s="459">
        <v>4198</v>
      </c>
      <c r="D118" s="459">
        <v>152864.55657193993</v>
      </c>
      <c r="E118" s="459">
        <v>32772.01838372778</v>
      </c>
      <c r="F118" s="473">
        <f>Taulukko8[[#This Row],[Siirtyvän henkilöstön ELY-keskus ja TE-toimistokohtaiset toimintamenot]]+Taulukko8[[#This Row],[Valtakunnalliset toimintamenot]]</f>
        <v>185636.57495566772</v>
      </c>
      <c r="G118" s="459">
        <v>34273.186521416188</v>
      </c>
      <c r="H118" s="459">
        <v>20563.911912849711</v>
      </c>
      <c r="I118" s="459">
        <v>21861.811112494808</v>
      </c>
      <c r="J118" s="459">
        <v>45003.789066091951</v>
      </c>
      <c r="K118" s="459">
        <v>255691.55789564361</v>
      </c>
      <c r="L118" s="459">
        <v>97239.633556322398</v>
      </c>
      <c r="M118" s="459">
        <v>28537.951162130179</v>
      </c>
      <c r="N118" s="459">
        <v>10517.365351117687</v>
      </c>
      <c r="O118" s="473">
        <f>SUM(Taulukko8[[#This Row],[Työvoimaviranomaisille siirtyvä kotoutumiskoulutus]:[Muut palvelut]])</f>
        <v>479416.02005665033</v>
      </c>
      <c r="P118" s="473">
        <f>Taulukko8[[#This Row],[Palvelut yhteensä]]+Taulukko8[[#This Row],[Toimintamenot yhteensä]]</f>
        <v>665052.59501231811</v>
      </c>
      <c r="Q118" s="481">
        <v>0</v>
      </c>
      <c r="R118" s="481">
        <v>38895.853422528962</v>
      </c>
      <c r="S118" s="473">
        <f>Taulukko8[[#This Row],[Palvelut + toimintamenot]]-Taulukko8[[#This Row],[Poistuva velvoitetyöllistäminen]]-Taulukko8[[#This Row],[Poistuvaksi ehdotettu  palkkatuki]]</f>
        <v>626156.74158978916</v>
      </c>
      <c r="T118" s="479">
        <f>(Taulukko8[[#This Row],[Palvelut + toimintamenot, huomioitu vuonna 2025 poistuvat tehtävät]]/$S$6)*$T$2</f>
        <v>590650.52709975129</v>
      </c>
      <c r="U118" s="481">
        <f>Taulukko8[[#This Row],[Skaalattu siirtyvän rahoituksen tasoon ]]*0.5</f>
        <v>295325.26354987564</v>
      </c>
    </row>
    <row r="119" spans="1:21">
      <c r="A119" s="465">
        <v>317</v>
      </c>
      <c r="B119" s="456" t="s">
        <v>124</v>
      </c>
      <c r="C119" s="459">
        <v>2474</v>
      </c>
      <c r="D119" s="459">
        <v>77000.713966704338</v>
      </c>
      <c r="E119" s="459">
        <v>16507.873834634935</v>
      </c>
      <c r="F119" s="473">
        <f>Taulukko8[[#This Row],[Siirtyvän henkilöstön ELY-keskus ja TE-toimistokohtaiset toimintamenot]]+Taulukko8[[#This Row],[Valtakunnalliset toimintamenot]]</f>
        <v>93508.587801339279</v>
      </c>
      <c r="G119" s="459">
        <v>0</v>
      </c>
      <c r="H119" s="459">
        <v>0</v>
      </c>
      <c r="I119" s="459">
        <v>10930.905556247404</v>
      </c>
      <c r="J119" s="459">
        <v>6429.1127237274213</v>
      </c>
      <c r="K119" s="459">
        <v>89212.35760282421</v>
      </c>
      <c r="L119" s="459">
        <v>39487.643500914513</v>
      </c>
      <c r="M119" s="459">
        <v>21060.82152092352</v>
      </c>
      <c r="N119" s="459">
        <v>5297.7921059393339</v>
      </c>
      <c r="O119" s="473">
        <f>SUM(Taulukko8[[#This Row],[Työvoimaviranomaisille siirtyvä kotoutumiskoulutus]:[Muut palvelut]])</f>
        <v>172418.63301057639</v>
      </c>
      <c r="P119" s="473">
        <f>Taulukko8[[#This Row],[Palvelut yhteensä]]+Taulukko8[[#This Row],[Toimintamenot yhteensä]]</f>
        <v>265927.2208119157</v>
      </c>
      <c r="Q119" s="481">
        <v>23692.586100548706</v>
      </c>
      <c r="R119" s="481">
        <v>7897.5287001829029</v>
      </c>
      <c r="S119" s="473">
        <f>Taulukko8[[#This Row],[Palvelut + toimintamenot]]-Taulukko8[[#This Row],[Poistuva velvoitetyöllistäminen]]-Taulukko8[[#This Row],[Poistuvaksi ehdotettu  palkkatuki]]</f>
        <v>234337.10601118408</v>
      </c>
      <c r="T119" s="479">
        <f>(Taulukko8[[#This Row],[Palvelut + toimintamenot, huomioitu vuonna 2025 poistuvat tehtävät]]/$S$6)*$T$2</f>
        <v>221049.02174033111</v>
      </c>
      <c r="U119" s="481">
        <f>Taulukko8[[#This Row],[Skaalattu siirtyvän rahoituksen tasoon ]]*0.5</f>
        <v>110524.51087016556</v>
      </c>
    </row>
    <row r="120" spans="1:21">
      <c r="A120" s="465">
        <v>320</v>
      </c>
      <c r="B120" s="456" t="s">
        <v>125</v>
      </c>
      <c r="C120" s="459">
        <v>6996</v>
      </c>
      <c r="D120" s="459">
        <v>300253.08354937064</v>
      </c>
      <c r="E120" s="459">
        <v>64370.052774268523</v>
      </c>
      <c r="F120" s="473">
        <f>Taulukko8[[#This Row],[Siirtyvän henkilöstön ELY-keskus ja TE-toimistokohtaiset toimintamenot]]+Taulukko8[[#This Row],[Valtakunnalliset toimintamenot]]</f>
        <v>364623.13632363919</v>
      </c>
      <c r="G120" s="459">
        <v>188502.52586778902</v>
      </c>
      <c r="H120" s="459">
        <v>113101.51552067341</v>
      </c>
      <c r="I120" s="459">
        <v>76516.338893731823</v>
      </c>
      <c r="J120" s="459">
        <v>83578.465408456483</v>
      </c>
      <c r="K120" s="459">
        <v>238103.74842006035</v>
      </c>
      <c r="L120" s="459">
        <v>125495.50182221502</v>
      </c>
      <c r="M120" s="459">
        <v>75804.361259259269</v>
      </c>
      <c r="N120" s="459">
        <v>20657.969697522803</v>
      </c>
      <c r="O120" s="473">
        <f>SUM(Taulukko8[[#This Row],[Työvoimaviranomaisille siirtyvä kotoutumiskoulutus]:[Muut palvelut]])</f>
        <v>733257.90102191921</v>
      </c>
      <c r="P120" s="473">
        <f>Taulukko8[[#This Row],[Palvelut yhteensä]]+Taulukko8[[#This Row],[Toimintamenot yhteensä]]</f>
        <v>1097881.0373455584</v>
      </c>
      <c r="Q120" s="481">
        <v>67574.500981192701</v>
      </c>
      <c r="R120" s="481">
        <v>38614.000560681547</v>
      </c>
      <c r="S120" s="473">
        <f>Taulukko8[[#This Row],[Palvelut + toimintamenot]]-Taulukko8[[#This Row],[Poistuva velvoitetyöllistäminen]]-Taulukko8[[#This Row],[Poistuvaksi ehdotettu  palkkatuki]]</f>
        <v>991692.53580368415</v>
      </c>
      <c r="T120" s="479">
        <f>(Taulukko8[[#This Row],[Palvelut + toimintamenot, huomioitu vuonna 2025 poistuvat tehtävät]]/$S$6)*$T$2</f>
        <v>935458.61617037468</v>
      </c>
      <c r="U120" s="481">
        <f>Taulukko8[[#This Row],[Skaalattu siirtyvän rahoituksen tasoon ]]*0.5</f>
        <v>467729.30808518734</v>
      </c>
    </row>
    <row r="121" spans="1:21">
      <c r="A121" s="465">
        <v>322</v>
      </c>
      <c r="B121" s="456" t="s">
        <v>126</v>
      </c>
      <c r="C121" s="459">
        <v>6549</v>
      </c>
      <c r="D121" s="459">
        <v>151870.5381564149</v>
      </c>
      <c r="E121" s="459">
        <v>32558.914767573177</v>
      </c>
      <c r="F121" s="473">
        <f>Taulukko8[[#This Row],[Siirtyvän henkilöstön ELY-keskus ja TE-toimistokohtaiset toimintamenot]]+Taulukko8[[#This Row],[Valtakunnalliset toimintamenot]]</f>
        <v>184429.45292398808</v>
      </c>
      <c r="G121" s="459">
        <v>25704.889891062143</v>
      </c>
      <c r="H121" s="459">
        <v>15422.933934637285</v>
      </c>
      <c r="I121" s="459">
        <v>32792.716668742214</v>
      </c>
      <c r="J121" s="459">
        <v>25716.450894909685</v>
      </c>
      <c r="K121" s="459">
        <v>169791.14967290472</v>
      </c>
      <c r="L121" s="459">
        <v>55826.020228719368</v>
      </c>
      <c r="M121" s="459">
        <v>97427.565745381056</v>
      </c>
      <c r="N121" s="459">
        <v>10448.975038305731</v>
      </c>
      <c r="O121" s="473">
        <f>SUM(Taulukko8[[#This Row],[Työvoimaviranomaisille siirtyvä kotoutumiskoulutus]:[Muut palvelut]])</f>
        <v>407425.81218360004</v>
      </c>
      <c r="P121" s="473">
        <f>Taulukko8[[#This Row],[Palvelut yhteensä]]+Taulukko8[[#This Row],[Toimintamenot yhteensä]]</f>
        <v>591855.26510758814</v>
      </c>
      <c r="Q121" s="481">
        <v>6978.252528589921</v>
      </c>
      <c r="R121" s="481">
        <v>34891.262642949601</v>
      </c>
      <c r="S121" s="473">
        <f>Taulukko8[[#This Row],[Palvelut + toimintamenot]]-Taulukko8[[#This Row],[Poistuva velvoitetyöllistäminen]]-Taulukko8[[#This Row],[Poistuvaksi ehdotettu  palkkatuki]]</f>
        <v>549985.74993604864</v>
      </c>
      <c r="T121" s="479">
        <f>(Taulukko8[[#This Row],[Palvelut + toimintamenot, huomioitu vuonna 2025 poistuvat tehtävät]]/$S$6)*$T$2</f>
        <v>518798.81109688035</v>
      </c>
      <c r="U121" s="481">
        <f>Taulukko8[[#This Row],[Skaalattu siirtyvän rahoituksen tasoon ]]*0.5</f>
        <v>259399.40554844018</v>
      </c>
    </row>
    <row r="122" spans="1:21">
      <c r="A122" s="465">
        <v>398</v>
      </c>
      <c r="B122" s="456" t="s">
        <v>127</v>
      </c>
      <c r="C122" s="459">
        <v>120175</v>
      </c>
      <c r="D122" s="459">
        <v>6428790.2935838439</v>
      </c>
      <c r="E122" s="459">
        <v>1378242.53320167</v>
      </c>
      <c r="F122" s="473">
        <f>Taulukko8[[#This Row],[Siirtyvän henkilöstön ELY-keskus ja TE-toimistokohtaiset toimintamenot]]+Taulukko8[[#This Row],[Valtakunnalliset toimintamenot]]</f>
        <v>7807032.8267855141</v>
      </c>
      <c r="G122" s="459">
        <v>1670817.8429190391</v>
      </c>
      <c r="H122" s="459">
        <v>1002490.7057514234</v>
      </c>
      <c r="I122" s="459">
        <v>896334.25561228709</v>
      </c>
      <c r="J122" s="459">
        <v>1591205.3991225369</v>
      </c>
      <c r="K122" s="459">
        <v>4602448.0421215845</v>
      </c>
      <c r="L122" s="459">
        <v>1312735.0530103524</v>
      </c>
      <c r="M122" s="459">
        <v>691074.87465562136</v>
      </c>
      <c r="N122" s="459">
        <v>442312.71002000052</v>
      </c>
      <c r="O122" s="473">
        <f>SUM(Taulukko8[[#This Row],[Työvoimaviranomaisille siirtyvä kotoutumiskoulutus]:[Muut palvelut]])</f>
        <v>10538601.040293805</v>
      </c>
      <c r="P122" s="473">
        <f>Taulukko8[[#This Row],[Palvelut yhteensä]]+Taulukko8[[#This Row],[Toimintamenot yhteensä]]</f>
        <v>18345633.867079318</v>
      </c>
      <c r="Q122" s="481">
        <v>330614.75409149611</v>
      </c>
      <c r="R122" s="481">
        <v>641781.58147172781</v>
      </c>
      <c r="S122" s="473">
        <f>Taulukko8[[#This Row],[Palvelut + toimintamenot]]-Taulukko8[[#This Row],[Poistuva velvoitetyöllistäminen]]-Taulukko8[[#This Row],[Poistuvaksi ehdotettu  palkkatuki]]</f>
        <v>17373237.531516094</v>
      </c>
      <c r="T122" s="479">
        <f>(Taulukko8[[#This Row],[Palvelut + toimintamenot, huomioitu vuonna 2025 poistuvat tehtävät]]/$S$6)*$T$2</f>
        <v>16388088.195561958</v>
      </c>
      <c r="U122" s="481">
        <f>Taulukko8[[#This Row],[Skaalattu siirtyvän rahoituksen tasoon ]]*0.5</f>
        <v>8194044.0977809792</v>
      </c>
    </row>
    <row r="123" spans="1:21">
      <c r="A123" s="465">
        <v>399</v>
      </c>
      <c r="B123" s="456" t="s">
        <v>128</v>
      </c>
      <c r="C123" s="459">
        <v>7817</v>
      </c>
      <c r="D123" s="459">
        <v>164706.47057006604</v>
      </c>
      <c r="E123" s="459">
        <v>35310.758768994754</v>
      </c>
      <c r="F123" s="473">
        <f>Taulukko8[[#This Row],[Siirtyvän henkilöstön ELY-keskus ja TE-toimistokohtaiset toimintamenot]]+Taulukko8[[#This Row],[Valtakunnalliset toimintamenot]]</f>
        <v>200017.22933906078</v>
      </c>
      <c r="G123" s="459">
        <v>8568.296630354047</v>
      </c>
      <c r="H123" s="459">
        <v>5140.9779782124278</v>
      </c>
      <c r="I123" s="459">
        <v>32792.716668742214</v>
      </c>
      <c r="J123" s="459">
        <v>32145.563618637105</v>
      </c>
      <c r="K123" s="459">
        <v>190232.5962352941</v>
      </c>
      <c r="L123" s="459">
        <v>65699.824123254381</v>
      </c>
      <c r="M123" s="459">
        <v>29318.451522580646</v>
      </c>
      <c r="N123" s="459">
        <v>11332.111023808624</v>
      </c>
      <c r="O123" s="473">
        <f>SUM(Taulukko8[[#This Row],[Työvoimaviranomaisille siirtyvä kotoutumiskoulutus]:[Muut palvelut]])</f>
        <v>366662.24117052945</v>
      </c>
      <c r="P123" s="473">
        <f>Taulukko8[[#This Row],[Palvelut yhteensä]]+Taulukko8[[#This Row],[Toimintamenot yhteensä]]</f>
        <v>566679.47050959023</v>
      </c>
      <c r="Q123" s="481">
        <v>18771.378320929824</v>
      </c>
      <c r="R123" s="481">
        <v>9385.6891604649118</v>
      </c>
      <c r="S123" s="473">
        <f>Taulukko8[[#This Row],[Palvelut + toimintamenot]]-Taulukko8[[#This Row],[Poistuva velvoitetyöllistäminen]]-Taulukko8[[#This Row],[Poistuvaksi ehdotettu  palkkatuki]]</f>
        <v>538522.40302819549</v>
      </c>
      <c r="T123" s="479">
        <f>(Taulukko8[[#This Row],[Palvelut + toimintamenot, huomioitu vuonna 2025 poistuvat tehtävät]]/$S$6)*$T$2</f>
        <v>507985.49321059545</v>
      </c>
      <c r="U123" s="481">
        <f>Taulukko8[[#This Row],[Skaalattu siirtyvän rahoituksen tasoon ]]*0.5</f>
        <v>253992.74660529773</v>
      </c>
    </row>
    <row r="124" spans="1:21">
      <c r="A124" s="465">
        <v>400</v>
      </c>
      <c r="B124" s="456" t="s">
        <v>129</v>
      </c>
      <c r="C124" s="459">
        <v>8366</v>
      </c>
      <c r="D124" s="459">
        <v>236415.67333077182</v>
      </c>
      <c r="E124" s="459">
        <v>50684.206766734824</v>
      </c>
      <c r="F124" s="473">
        <f>Taulukko8[[#This Row],[Siirtyvän henkilöstön ELY-keskus ja TE-toimistokohtaiset toimintamenot]]+Taulukko8[[#This Row],[Valtakunnalliset toimintamenot]]</f>
        <v>287099.88009750663</v>
      </c>
      <c r="G124" s="459">
        <v>222775.71238920523</v>
      </c>
      <c r="H124" s="459">
        <v>133665.42743352315</v>
      </c>
      <c r="I124" s="459">
        <v>109309.05556247404</v>
      </c>
      <c r="J124" s="459">
        <v>22501.894533045976</v>
      </c>
      <c r="K124" s="459">
        <v>122249.62776449141</v>
      </c>
      <c r="L124" s="459">
        <v>244238.83850064722</v>
      </c>
      <c r="M124" s="459">
        <v>73563.038653330834</v>
      </c>
      <c r="N124" s="459">
        <v>16265.837332802874</v>
      </c>
      <c r="O124" s="473">
        <f>SUM(Taulukko8[[#This Row],[Työvoimaviranomaisille siirtyvä kotoutumiskoulutus]:[Muut palvelut]])</f>
        <v>721793.71978031553</v>
      </c>
      <c r="P124" s="473">
        <f>Taulukko8[[#This Row],[Palvelut yhteensä]]+Taulukko8[[#This Row],[Toimintamenot yhteensä]]</f>
        <v>1008893.5998778222</v>
      </c>
      <c r="Q124" s="481">
        <v>6978.2525285899201</v>
      </c>
      <c r="R124" s="481">
        <v>76760.77781448912</v>
      </c>
      <c r="S124" s="473">
        <f>Taulukko8[[#This Row],[Palvelut + toimintamenot]]-Taulukko8[[#This Row],[Poistuva velvoitetyöllistäminen]]-Taulukko8[[#This Row],[Poistuvaksi ehdotettu  palkkatuki]]</f>
        <v>925154.5695347432</v>
      </c>
      <c r="T124" s="479">
        <f>(Taulukko8[[#This Row],[Palvelut + toimintamenot, huomioitu vuonna 2025 poistuvat tehtävät]]/$S$6)*$T$2</f>
        <v>872693.68490234681</v>
      </c>
      <c r="U124" s="481">
        <f>Taulukko8[[#This Row],[Skaalattu siirtyvän rahoituksen tasoon ]]*0.5</f>
        <v>436346.8424511734</v>
      </c>
    </row>
    <row r="125" spans="1:21">
      <c r="A125" s="465">
        <v>402</v>
      </c>
      <c r="B125" s="456" t="s">
        <v>130</v>
      </c>
      <c r="C125" s="459">
        <v>9099</v>
      </c>
      <c r="D125" s="459">
        <v>343629.78536457248</v>
      </c>
      <c r="E125" s="459">
        <v>73669.409676823474</v>
      </c>
      <c r="F125" s="473">
        <f>Taulukko8[[#This Row],[Siirtyvän henkilöstön ELY-keskus ja TE-toimistokohtaiset toimintamenot]]+Taulukko8[[#This Row],[Valtakunnalliset toimintamenot]]</f>
        <v>417299.19504139596</v>
      </c>
      <c r="G125" s="459">
        <v>51409.779782124286</v>
      </c>
      <c r="H125" s="459">
        <v>30845.867869274571</v>
      </c>
      <c r="I125" s="459">
        <v>153032.67778746365</v>
      </c>
      <c r="J125" s="459">
        <v>28931.007256773395</v>
      </c>
      <c r="K125" s="459">
        <v>298261.0676923077</v>
      </c>
      <c r="L125" s="459">
        <v>189670.16600570802</v>
      </c>
      <c r="M125" s="459">
        <v>43036.613279272162</v>
      </c>
      <c r="N125" s="459">
        <v>23642.367329960704</v>
      </c>
      <c r="O125" s="473">
        <f>SUM(Taulukko8[[#This Row],[Työvoimaviranomaisille siirtyvä kotoutumiskoulutus]:[Muut palvelut]])</f>
        <v>767419.76722076023</v>
      </c>
      <c r="P125" s="473">
        <f>Taulukko8[[#This Row],[Palvelut yhteensä]]+Taulukko8[[#This Row],[Toimintamenot yhteensä]]</f>
        <v>1184718.9622621562</v>
      </c>
      <c r="Q125" s="481">
        <v>37934.033201141603</v>
      </c>
      <c r="R125" s="481">
        <v>151736.13280456641</v>
      </c>
      <c r="S125" s="473">
        <f>Taulukko8[[#This Row],[Palvelut + toimintamenot]]-Taulukko8[[#This Row],[Poistuva velvoitetyöllistäminen]]-Taulukko8[[#This Row],[Poistuvaksi ehdotettu  palkkatuki]]</f>
        <v>995048.79625644826</v>
      </c>
      <c r="T125" s="479">
        <f>(Taulukko8[[#This Row],[Palvelut + toimintamenot, huomioitu vuonna 2025 poistuvat tehtävät]]/$S$6)*$T$2</f>
        <v>938624.5598931493</v>
      </c>
      <c r="U125" s="481">
        <f>Taulukko8[[#This Row],[Skaalattu siirtyvän rahoituksen tasoon ]]*0.5</f>
        <v>469312.27994657465</v>
      </c>
    </row>
    <row r="126" spans="1:21">
      <c r="A126" s="465">
        <v>403</v>
      </c>
      <c r="B126" s="456" t="s">
        <v>131</v>
      </c>
      <c r="C126" s="459">
        <v>2820</v>
      </c>
      <c r="D126" s="459">
        <v>60596.434007500749</v>
      </c>
      <c r="E126" s="459">
        <v>12991.026133305064</v>
      </c>
      <c r="F126" s="473">
        <f>Taulukko8[[#This Row],[Siirtyvän henkilöstön ELY-keskus ja TE-toimistokohtaiset toimintamenot]]+Taulukko8[[#This Row],[Valtakunnalliset toimintamenot]]</f>
        <v>73587.460140805808</v>
      </c>
      <c r="G126" s="459">
        <v>8568.296630354047</v>
      </c>
      <c r="H126" s="459">
        <v>5140.9779782124278</v>
      </c>
      <c r="I126" s="459">
        <v>0</v>
      </c>
      <c r="J126" s="459">
        <v>25716.450894909685</v>
      </c>
      <c r="K126" s="459">
        <v>71480.007991071427</v>
      </c>
      <c r="L126" s="459">
        <v>19093.776280760729</v>
      </c>
      <c r="M126" s="459">
        <v>21180.828858324345</v>
      </c>
      <c r="N126" s="459">
        <v>4169.1471831264553</v>
      </c>
      <c r="O126" s="473">
        <f>SUM(Taulukko8[[#This Row],[Työvoimaviranomaisille siirtyvä kotoutumiskoulutus]:[Muut palvelut]])</f>
        <v>146781.18918640507</v>
      </c>
      <c r="P126" s="473">
        <f>Taulukko8[[#This Row],[Palvelut yhteensä]]+Taulukko8[[#This Row],[Toimintamenot yhteensä]]</f>
        <v>220368.64932721088</v>
      </c>
      <c r="Q126" s="481">
        <v>9546.8881403803643</v>
      </c>
      <c r="R126" s="481">
        <v>9546.8881403803643</v>
      </c>
      <c r="S126" s="473">
        <f>Taulukko8[[#This Row],[Palvelut + toimintamenot]]-Taulukko8[[#This Row],[Poistuva velvoitetyöllistäminen]]-Taulukko8[[#This Row],[Poistuvaksi ehdotettu  palkkatuki]]</f>
        <v>201274.87304645017</v>
      </c>
      <c r="T126" s="479">
        <f>(Taulukko8[[#This Row],[Palvelut + toimintamenot, huomioitu vuonna 2025 poistuvat tehtävät]]/$S$6)*$T$2</f>
        <v>189861.58250884825</v>
      </c>
      <c r="U126" s="481">
        <f>Taulukko8[[#This Row],[Skaalattu siirtyvän rahoituksen tasoon ]]*0.5</f>
        <v>94930.791254424126</v>
      </c>
    </row>
    <row r="127" spans="1:21">
      <c r="A127" s="465">
        <v>405</v>
      </c>
      <c r="B127" s="456" t="s">
        <v>132</v>
      </c>
      <c r="C127" s="459">
        <v>72650</v>
      </c>
      <c r="D127" s="459">
        <v>3291745.5528658843</v>
      </c>
      <c r="E127" s="459">
        <v>705704.10952199134</v>
      </c>
      <c r="F127" s="473">
        <f>Taulukko8[[#This Row],[Siirtyvän henkilöstön ELY-keskus ja TE-toimistokohtaiset toimintamenot]]+Taulukko8[[#This Row],[Valtakunnalliset toimintamenot]]</f>
        <v>3997449.6623878758</v>
      </c>
      <c r="G127" s="459">
        <v>848261.36640505062</v>
      </c>
      <c r="H127" s="459">
        <v>508956.81984303036</v>
      </c>
      <c r="I127" s="459">
        <v>688647.05004358641</v>
      </c>
      <c r="J127" s="459">
        <v>562547.36332614941</v>
      </c>
      <c r="K127" s="459">
        <v>2430078.3511881572</v>
      </c>
      <c r="L127" s="459">
        <v>1115584.1056609901</v>
      </c>
      <c r="M127" s="459">
        <v>360158.03065384616</v>
      </c>
      <c r="N127" s="459">
        <v>226478.20658227315</v>
      </c>
      <c r="O127" s="473">
        <f>SUM(Taulukko8[[#This Row],[Työvoimaviranomaisille siirtyvä kotoutumiskoulutus]:[Muut palvelut]])</f>
        <v>5892449.9272980336</v>
      </c>
      <c r="P127" s="473">
        <f>Taulukko8[[#This Row],[Palvelut yhteensä]]+Taulukko8[[#This Row],[Toimintamenot yhteensä]]</f>
        <v>9889899.5896859095</v>
      </c>
      <c r="Q127" s="481">
        <v>114686.2164698214</v>
      </c>
      <c r="R127" s="481">
        <v>656839.23978170438</v>
      </c>
      <c r="S127" s="473">
        <f>Taulukko8[[#This Row],[Palvelut + toimintamenot]]-Taulukko8[[#This Row],[Poistuva velvoitetyöllistäminen]]-Taulukko8[[#This Row],[Poistuvaksi ehdotettu  palkkatuki]]</f>
        <v>9118374.1334343851</v>
      </c>
      <c r="T127" s="479">
        <f>(Taulukko8[[#This Row],[Palvelut + toimintamenot, huomioitu vuonna 2025 poistuvat tehtävät]]/$S$6)*$T$2</f>
        <v>8601316.7797754239</v>
      </c>
      <c r="U127" s="481">
        <f>Taulukko8[[#This Row],[Skaalattu siirtyvän rahoituksen tasoon ]]*0.5</f>
        <v>4300658.389887712</v>
      </c>
    </row>
    <row r="128" spans="1:21">
      <c r="A128" s="465">
        <v>407</v>
      </c>
      <c r="B128" s="456" t="s">
        <v>133</v>
      </c>
      <c r="C128" s="459">
        <v>2518</v>
      </c>
      <c r="D128" s="459">
        <v>82244.607524054984</v>
      </c>
      <c r="E128" s="459">
        <v>17632.091115067309</v>
      </c>
      <c r="F128" s="473">
        <f>Taulukko8[[#This Row],[Siirtyvän henkilöstön ELY-keskus ja TE-toimistokohtaiset toimintamenot]]+Taulukko8[[#This Row],[Valtakunnalliset toimintamenot]]</f>
        <v>99876.698639122289</v>
      </c>
      <c r="G128" s="459">
        <v>25704.889891062143</v>
      </c>
      <c r="H128" s="459">
        <v>15422.933934637285</v>
      </c>
      <c r="I128" s="459">
        <v>0</v>
      </c>
      <c r="J128" s="459">
        <v>25716.450894909685</v>
      </c>
      <c r="K128" s="459">
        <v>58368.497156882513</v>
      </c>
      <c r="L128" s="459">
        <v>56236.531457461664</v>
      </c>
      <c r="M128" s="459">
        <v>33255.051531166901</v>
      </c>
      <c r="N128" s="459">
        <v>5658.5817202347416</v>
      </c>
      <c r="O128" s="473">
        <f>SUM(Taulukko8[[#This Row],[Työvoimaviranomaisille siirtyvä kotoutumiskoulutus]:[Muut palvelut]])</f>
        <v>194658.04669529278</v>
      </c>
      <c r="P128" s="473">
        <f>Taulukko8[[#This Row],[Palvelut yhteensä]]+Taulukko8[[#This Row],[Toimintamenot yhteensä]]</f>
        <v>294534.74533441506</v>
      </c>
      <c r="Q128" s="481">
        <v>33741.918874477</v>
      </c>
      <c r="R128" s="481">
        <v>11247.306291492334</v>
      </c>
      <c r="S128" s="473">
        <f>Taulukko8[[#This Row],[Palvelut + toimintamenot]]-Taulukko8[[#This Row],[Poistuva velvoitetyöllistäminen]]-Taulukko8[[#This Row],[Poistuvaksi ehdotettu  palkkatuki]]</f>
        <v>249545.52016844571</v>
      </c>
      <c r="T128" s="479">
        <f>(Taulukko8[[#This Row],[Palvelut + toimintamenot, huomioitu vuonna 2025 poistuvat tehtävät]]/$S$6)*$T$2</f>
        <v>235395.04285883054</v>
      </c>
      <c r="U128" s="481">
        <f>Taulukko8[[#This Row],[Skaalattu siirtyvän rahoituksen tasoon ]]*0.5</f>
        <v>117697.52142941527</v>
      </c>
    </row>
    <row r="129" spans="1:21">
      <c r="A129" s="465">
        <v>408</v>
      </c>
      <c r="B129" s="456" t="s">
        <v>134</v>
      </c>
      <c r="C129" s="459">
        <v>14099</v>
      </c>
      <c r="D129" s="459">
        <v>379417.42442651425</v>
      </c>
      <c r="E129" s="459">
        <v>81341.77789316811</v>
      </c>
      <c r="F129" s="473">
        <f>Taulukko8[[#This Row],[Siirtyvän henkilöstön ELY-keskus ja TE-toimistokohtaiset toimintamenot]]+Taulukko8[[#This Row],[Valtakunnalliset toimintamenot]]</f>
        <v>460759.20231968234</v>
      </c>
      <c r="G129" s="459">
        <v>68546.373042832376</v>
      </c>
      <c r="H129" s="459">
        <v>41127.823825699423</v>
      </c>
      <c r="I129" s="459">
        <v>87447.244449979233</v>
      </c>
      <c r="J129" s="459">
        <v>112509.47266522987</v>
      </c>
      <c r="K129" s="459">
        <v>349457.81684523809</v>
      </c>
      <c r="L129" s="459">
        <v>152750.21024608583</v>
      </c>
      <c r="M129" s="459">
        <v>69087.313612010068</v>
      </c>
      <c r="N129" s="459">
        <v>26104.623352606723</v>
      </c>
      <c r="O129" s="473">
        <f>SUM(Taulukko8[[#This Row],[Työvoimaviranomaisille siirtyvä kotoutumiskoulutus]:[Muut palvelut]])</f>
        <v>838484.50499684946</v>
      </c>
      <c r="P129" s="473">
        <f>Taulukko8[[#This Row],[Palvelut yhteensä]]+Taulukko8[[#This Row],[Toimintamenot yhteensä]]</f>
        <v>1299243.7073165318</v>
      </c>
      <c r="Q129" s="481">
        <v>0</v>
      </c>
      <c r="R129" s="481">
        <v>95468.881403803651</v>
      </c>
      <c r="S129" s="473">
        <f>Taulukko8[[#This Row],[Palvelut + toimintamenot]]-Taulukko8[[#This Row],[Poistuva velvoitetyöllistäminen]]-Taulukko8[[#This Row],[Poistuvaksi ehdotettu  palkkatuki]]</f>
        <v>1203774.8259127282</v>
      </c>
      <c r="T129" s="479">
        <f>(Taulukko8[[#This Row],[Palvelut + toimintamenot, huomioitu vuonna 2025 poistuvat tehtävät]]/$S$6)*$T$2</f>
        <v>1135514.781218414</v>
      </c>
      <c r="U129" s="481">
        <f>Taulukko8[[#This Row],[Skaalattu siirtyvän rahoituksen tasoon ]]*0.5</f>
        <v>567757.39060920698</v>
      </c>
    </row>
    <row r="130" spans="1:21">
      <c r="A130" s="465">
        <v>410</v>
      </c>
      <c r="B130" s="456" t="s">
        <v>135</v>
      </c>
      <c r="C130" s="459">
        <v>18775</v>
      </c>
      <c r="D130" s="459">
        <v>682191.2672511834</v>
      </c>
      <c r="E130" s="459">
        <v>146252.24612517003</v>
      </c>
      <c r="F130" s="473">
        <f>Taulukko8[[#This Row],[Siirtyvän henkilöstön ELY-keskus ja TE-toimistokohtaiset toimintamenot]]+Taulukko8[[#This Row],[Valtakunnalliset toimintamenot]]</f>
        <v>828443.51337635342</v>
      </c>
      <c r="G130" s="459">
        <v>94251.262933894512</v>
      </c>
      <c r="H130" s="459">
        <v>56550.757760336703</v>
      </c>
      <c r="I130" s="459">
        <v>174894.48889995847</v>
      </c>
      <c r="J130" s="459">
        <v>221804.38896859603</v>
      </c>
      <c r="K130" s="459">
        <v>585506.99174550385</v>
      </c>
      <c r="L130" s="459">
        <v>508849.40717918403</v>
      </c>
      <c r="M130" s="459">
        <v>131210.12626141659</v>
      </c>
      <c r="N130" s="459">
        <v>46936.025969146671</v>
      </c>
      <c r="O130" s="473">
        <f>SUM(Taulukko8[[#This Row],[Työvoimaviranomaisille siirtyvä kotoutumiskoulutus]:[Muut palvelut]])</f>
        <v>1725752.1867841424</v>
      </c>
      <c r="P130" s="473">
        <f>Taulukko8[[#This Row],[Palvelut yhteensä]]+Taulukko8[[#This Row],[Toimintamenot yhteensä]]</f>
        <v>2554195.7001604959</v>
      </c>
      <c r="Q130" s="481">
        <v>86408.389898352005</v>
      </c>
      <c r="R130" s="481">
        <v>345633.55959340802</v>
      </c>
      <c r="S130" s="473">
        <f>Taulukko8[[#This Row],[Palvelut + toimintamenot]]-Taulukko8[[#This Row],[Poistuva velvoitetyöllistäminen]]-Taulukko8[[#This Row],[Poistuvaksi ehdotettu  palkkatuki]]</f>
        <v>2122153.7506687362</v>
      </c>
      <c r="T130" s="479">
        <f>(Taulukko8[[#This Row],[Palvelut + toimintamenot, huomioitu vuonna 2025 poistuvat tehtävät]]/$S$6)*$T$2</f>
        <v>2001817.0342408775</v>
      </c>
      <c r="U130" s="481">
        <f>Taulukko8[[#This Row],[Skaalattu siirtyvän rahoituksen tasoon ]]*0.5</f>
        <v>1000908.5171204387</v>
      </c>
    </row>
    <row r="131" spans="1:21">
      <c r="A131" s="465">
        <v>416</v>
      </c>
      <c r="B131" s="456" t="s">
        <v>136</v>
      </c>
      <c r="C131" s="459">
        <v>2886</v>
      </c>
      <c r="D131" s="459">
        <v>92991.315603279232</v>
      </c>
      <c r="E131" s="459">
        <v>19936.034701696874</v>
      </c>
      <c r="F131" s="473">
        <f>Taulukko8[[#This Row],[Siirtyvän henkilöstön ELY-keskus ja TE-toimistokohtaiset toimintamenot]]+Taulukko8[[#This Row],[Valtakunnalliset toimintamenot]]</f>
        <v>112927.35030497611</v>
      </c>
      <c r="G131" s="459">
        <v>0</v>
      </c>
      <c r="H131" s="459">
        <v>0</v>
      </c>
      <c r="I131" s="459">
        <v>10930.905556247404</v>
      </c>
      <c r="J131" s="459">
        <v>6429.1127237274213</v>
      </c>
      <c r="K131" s="459">
        <v>21600.696455005844</v>
      </c>
      <c r="L131" s="459">
        <v>41704.078716298696</v>
      </c>
      <c r="M131" s="459">
        <v>6986.0727499999994</v>
      </c>
      <c r="N131" s="459">
        <v>6397.9751919831642</v>
      </c>
      <c r="O131" s="473">
        <f>SUM(Taulukko8[[#This Row],[Työvoimaviranomaisille siirtyvä kotoutumiskoulutus]:[Muut palvelut]])</f>
        <v>94048.841393262526</v>
      </c>
      <c r="P131" s="473">
        <f>Taulukko8[[#This Row],[Palvelut yhteensä]]+Taulukko8[[#This Row],[Toimintamenot yhteensä]]</f>
        <v>206976.19169823863</v>
      </c>
      <c r="Q131" s="481">
        <v>0</v>
      </c>
      <c r="R131" s="481">
        <v>10426.019679074674</v>
      </c>
      <c r="S131" s="473">
        <f>Taulukko8[[#This Row],[Palvelut + toimintamenot]]-Taulukko8[[#This Row],[Poistuva velvoitetyöllistäminen]]-Taulukko8[[#This Row],[Poistuvaksi ehdotettu  palkkatuki]]</f>
        <v>196550.17201916396</v>
      </c>
      <c r="T131" s="479">
        <f>(Taulukko8[[#This Row],[Palvelut + toimintamenot, huomioitu vuonna 2025 poistuvat tehtävät]]/$S$6)*$T$2</f>
        <v>185404.79562658939</v>
      </c>
      <c r="U131" s="481">
        <f>Taulukko8[[#This Row],[Skaalattu siirtyvän rahoituksen tasoon ]]*0.5</f>
        <v>92702.397813294694</v>
      </c>
    </row>
    <row r="132" spans="1:21">
      <c r="A132" s="465">
        <v>418</v>
      </c>
      <c r="B132" s="456" t="s">
        <v>137</v>
      </c>
      <c r="C132" s="459">
        <v>24580</v>
      </c>
      <c r="D132" s="459">
        <v>708973.21851259004</v>
      </c>
      <c r="E132" s="459">
        <v>151993.92110054512</v>
      </c>
      <c r="F132" s="473">
        <f>Taulukko8[[#This Row],[Siirtyvän henkilöstön ELY-keskus ja TE-toimistokohtaiset toimintamenot]]+Taulukko8[[#This Row],[Valtakunnalliset toimintamenot]]</f>
        <v>860967.13961313514</v>
      </c>
      <c r="G132" s="459">
        <v>59978.076412478331</v>
      </c>
      <c r="H132" s="459">
        <v>35986.845847486999</v>
      </c>
      <c r="I132" s="459">
        <v>240479.92223744289</v>
      </c>
      <c r="J132" s="459">
        <v>51432.901789819371</v>
      </c>
      <c r="K132" s="459">
        <v>444942.09766420233</v>
      </c>
      <c r="L132" s="459">
        <v>73630.574256660169</v>
      </c>
      <c r="M132" s="459">
        <v>187835.83252502338</v>
      </c>
      <c r="N132" s="459">
        <v>48778.673948172996</v>
      </c>
      <c r="O132" s="473">
        <f>SUM(Taulukko8[[#This Row],[Työvoimaviranomaisille siirtyvä kotoutumiskoulutus]:[Muut palvelut]])</f>
        <v>1083086.8482688081</v>
      </c>
      <c r="P132" s="473">
        <f>Taulukko8[[#This Row],[Palvelut yhteensä]]+Taulukko8[[#This Row],[Toimintamenot yhteensä]]</f>
        <v>1944053.9878819431</v>
      </c>
      <c r="Q132" s="481">
        <v>40162.131412723727</v>
      </c>
      <c r="R132" s="481">
        <v>20081.065706361864</v>
      </c>
      <c r="S132" s="473">
        <f>Taulukko8[[#This Row],[Palvelut + toimintamenot]]-Taulukko8[[#This Row],[Poistuva velvoitetyöllistäminen]]-Taulukko8[[#This Row],[Poistuvaksi ehdotettu  palkkatuki]]</f>
        <v>1883810.7907628575</v>
      </c>
      <c r="T132" s="479">
        <f>(Taulukko8[[#This Row],[Palvelut + toimintamenot, huomioitu vuonna 2025 poistuvat tehtävät]]/$S$6)*$T$2</f>
        <v>1776989.3105282919</v>
      </c>
      <c r="U132" s="481">
        <f>Taulukko8[[#This Row],[Skaalattu siirtyvän rahoituksen tasoon ]]*0.5</f>
        <v>888494.65526414593</v>
      </c>
    </row>
    <row r="133" spans="1:21">
      <c r="A133" s="465">
        <v>420</v>
      </c>
      <c r="B133" s="456" t="s">
        <v>138</v>
      </c>
      <c r="C133" s="459">
        <v>9177</v>
      </c>
      <c r="D133" s="459">
        <v>314728.84873833408</v>
      </c>
      <c r="E133" s="459">
        <v>67473.4539388673</v>
      </c>
      <c r="F133" s="473">
        <f>Taulukko8[[#This Row],[Siirtyvän henkilöstön ELY-keskus ja TE-toimistokohtaiset toimintamenot]]+Taulukko8[[#This Row],[Valtakunnalliset toimintamenot]]</f>
        <v>382202.3026772014</v>
      </c>
      <c r="G133" s="459">
        <v>17136.593260708094</v>
      </c>
      <c r="H133" s="459">
        <v>10281.955956424856</v>
      </c>
      <c r="I133" s="459">
        <v>131170.86667496886</v>
      </c>
      <c r="J133" s="459">
        <v>38574.676342364532</v>
      </c>
      <c r="K133" s="459">
        <v>280716.29900452489</v>
      </c>
      <c r="L133" s="459">
        <v>60694.453121826562</v>
      </c>
      <c r="M133" s="459">
        <v>48602.912836234187</v>
      </c>
      <c r="N133" s="459">
        <v>21653.929223023861</v>
      </c>
      <c r="O133" s="473">
        <f>SUM(Taulukko8[[#This Row],[Työvoimaviranomaisille siirtyvä kotoutumiskoulutus]:[Muut palvelut]])</f>
        <v>591695.09315936768</v>
      </c>
      <c r="P133" s="473">
        <f>Taulukko8[[#This Row],[Palvelut yhteensä]]+Taulukko8[[#This Row],[Toimintamenot yhteensä]]</f>
        <v>973897.39583656914</v>
      </c>
      <c r="Q133" s="481">
        <v>7586.8066402283202</v>
      </c>
      <c r="R133" s="481">
        <v>53107.64648159824</v>
      </c>
      <c r="S133" s="473">
        <f>Taulukko8[[#This Row],[Palvelut + toimintamenot]]-Taulukko8[[#This Row],[Poistuva velvoitetyöllistäminen]]-Taulukko8[[#This Row],[Poistuvaksi ehdotettu  palkkatuki]]</f>
        <v>913202.9427147425</v>
      </c>
      <c r="T133" s="479">
        <f>(Taulukko8[[#This Row],[Palvelut + toimintamenot, huomioitu vuonna 2025 poistuvat tehtävät]]/$S$6)*$T$2</f>
        <v>861419.77501357056</v>
      </c>
      <c r="U133" s="481">
        <f>Taulukko8[[#This Row],[Skaalattu siirtyvän rahoituksen tasoon ]]*0.5</f>
        <v>430709.88750678528</v>
      </c>
    </row>
    <row r="134" spans="1:21">
      <c r="A134" s="465">
        <v>421</v>
      </c>
      <c r="B134" s="456" t="s">
        <v>139</v>
      </c>
      <c r="C134" s="459">
        <v>695</v>
      </c>
      <c r="D134" s="459">
        <v>15184.077712600996</v>
      </c>
      <c r="E134" s="459">
        <v>3255.2534419784115</v>
      </c>
      <c r="F134" s="473">
        <f>Taulukko8[[#This Row],[Siirtyvän henkilöstön ELY-keskus ja TE-toimistokohtaiset toimintamenot]]+Taulukko8[[#This Row],[Valtakunnalliset toimintamenot]]</f>
        <v>18439.331154579406</v>
      </c>
      <c r="G134" s="459">
        <v>0</v>
      </c>
      <c r="H134" s="459">
        <v>0</v>
      </c>
      <c r="I134" s="459">
        <v>10930.905556247404</v>
      </c>
      <c r="J134" s="459">
        <v>0</v>
      </c>
      <c r="K134" s="459">
        <v>7926.3581764705878</v>
      </c>
      <c r="L134" s="459">
        <v>9385.6891604649118</v>
      </c>
      <c r="M134" s="459">
        <v>5795.4862000000003</v>
      </c>
      <c r="N134" s="459">
        <v>1044.6927424149685</v>
      </c>
      <c r="O134" s="473">
        <f>SUM(Taulukko8[[#This Row],[Työvoimaviranomaisille siirtyvä kotoutumiskoulutus]:[Muut palvelut]])</f>
        <v>35083.131835597873</v>
      </c>
      <c r="P134" s="473">
        <f>Taulukko8[[#This Row],[Palvelut yhteensä]]+Taulukko8[[#This Row],[Toimintamenot yhteensä]]</f>
        <v>53522.462990177279</v>
      </c>
      <c r="Q134" s="481">
        <v>0</v>
      </c>
      <c r="R134" s="481">
        <v>0</v>
      </c>
      <c r="S134" s="473">
        <f>Taulukko8[[#This Row],[Palvelut + toimintamenot]]-Taulukko8[[#This Row],[Poistuva velvoitetyöllistäminen]]-Taulukko8[[#This Row],[Poistuvaksi ehdotettu  palkkatuki]]</f>
        <v>53522.462990177279</v>
      </c>
      <c r="T134" s="479">
        <f>(Taulukko8[[#This Row],[Palvelut + toimintamenot, huomioitu vuonna 2025 poistuvat tehtävät]]/$S$6)*$T$2</f>
        <v>50487.472029065284</v>
      </c>
      <c r="U134" s="481">
        <f>Taulukko8[[#This Row],[Skaalattu siirtyvän rahoituksen tasoon ]]*0.5</f>
        <v>25243.736014532642</v>
      </c>
    </row>
    <row r="135" spans="1:21">
      <c r="A135" s="465">
        <v>422</v>
      </c>
      <c r="B135" s="456" t="s">
        <v>140</v>
      </c>
      <c r="C135" s="459">
        <v>10372</v>
      </c>
      <c r="D135" s="459">
        <v>590318.96639113</v>
      </c>
      <c r="E135" s="459">
        <v>126556.1125003418</v>
      </c>
      <c r="F135" s="473">
        <f>Taulukko8[[#This Row],[Siirtyvän henkilöstön ELY-keskus ja TE-toimistokohtaiset toimintamenot]]+Taulukko8[[#This Row],[Valtakunnalliset toimintamenot]]</f>
        <v>716875.07889147184</v>
      </c>
      <c r="G135" s="459">
        <v>137092.74608566475</v>
      </c>
      <c r="H135" s="459">
        <v>82255.647651398845</v>
      </c>
      <c r="I135" s="459">
        <v>98378.150006226642</v>
      </c>
      <c r="J135" s="459">
        <v>70720.239961001629</v>
      </c>
      <c r="K135" s="459">
        <v>656872.00288473302</v>
      </c>
      <c r="L135" s="459">
        <v>228306.64245939674</v>
      </c>
      <c r="M135" s="459">
        <v>37028.692516297262</v>
      </c>
      <c r="N135" s="459">
        <v>40615.041069430859</v>
      </c>
      <c r="O135" s="473">
        <f>SUM(Taulukko8[[#This Row],[Työvoimaviranomaisille siirtyvä kotoutumiskoulutus]:[Muut palvelut]])</f>
        <v>1214176.4165484849</v>
      </c>
      <c r="P135" s="473">
        <f>Taulukko8[[#This Row],[Palvelut yhteensä]]+Taulukko8[[#This Row],[Toimintamenot yhteensä]]</f>
        <v>1931051.4954399569</v>
      </c>
      <c r="Q135" s="481">
        <v>43486.979516075568</v>
      </c>
      <c r="R135" s="481">
        <v>97845.703911170029</v>
      </c>
      <c r="S135" s="473">
        <f>Taulukko8[[#This Row],[Palvelut + toimintamenot]]-Taulukko8[[#This Row],[Poistuva velvoitetyöllistäminen]]-Taulukko8[[#This Row],[Poistuvaksi ehdotettu  palkkatuki]]</f>
        <v>1789718.8120127113</v>
      </c>
      <c r="T135" s="479">
        <f>(Taulukko8[[#This Row],[Palvelut + toimintamenot, huomioitu vuonna 2025 poistuvat tehtävät]]/$S$6)*$T$2</f>
        <v>1688232.8169009481</v>
      </c>
      <c r="U135" s="481">
        <f>Taulukko8[[#This Row],[Skaalattu siirtyvän rahoituksen tasoon ]]*0.5</f>
        <v>844116.40845047403</v>
      </c>
    </row>
    <row r="136" spans="1:21">
      <c r="A136" s="465">
        <v>423</v>
      </c>
      <c r="B136" s="456" t="s">
        <v>141</v>
      </c>
      <c r="C136" s="459">
        <v>20497</v>
      </c>
      <c r="D136" s="459">
        <v>385080.94851257454</v>
      </c>
      <c r="E136" s="459">
        <v>82555.958077426229</v>
      </c>
      <c r="F136" s="473">
        <f>Taulukko8[[#This Row],[Siirtyvän henkilöstön ELY-keskus ja TE-toimistokohtaiset toimintamenot]]+Taulukko8[[#This Row],[Valtakunnalliset toimintamenot]]</f>
        <v>467636.90659000078</v>
      </c>
      <c r="G136" s="459">
        <v>59978.076412478331</v>
      </c>
      <c r="H136" s="459">
        <v>35986.845847486999</v>
      </c>
      <c r="I136" s="459">
        <v>196756.30001245328</v>
      </c>
      <c r="J136" s="459">
        <v>96436.690855911322</v>
      </c>
      <c r="K136" s="459">
        <v>366748.88329347421</v>
      </c>
      <c r="L136" s="459">
        <v>279130.10114359681</v>
      </c>
      <c r="M136" s="459">
        <v>145813.10572187486</v>
      </c>
      <c r="N136" s="459">
        <v>26494.284326502388</v>
      </c>
      <c r="O136" s="473">
        <f>SUM(Taulukko8[[#This Row],[Työvoimaviranomaisille siirtyvä kotoutumiskoulutus]:[Muut palvelut]])</f>
        <v>1147366.2112012997</v>
      </c>
      <c r="P136" s="473">
        <f>Taulukko8[[#This Row],[Palvelut yhteensä]]+Taulukko8[[#This Row],[Toimintamenot yhteensä]]</f>
        <v>1615003.1177913004</v>
      </c>
      <c r="Q136" s="481">
        <v>34891.262642949601</v>
      </c>
      <c r="R136" s="481">
        <v>202369.32332910769</v>
      </c>
      <c r="S136" s="473">
        <f>Taulukko8[[#This Row],[Palvelut + toimintamenot]]-Taulukko8[[#This Row],[Poistuva velvoitetyöllistäminen]]-Taulukko8[[#This Row],[Poistuvaksi ehdotettu  palkkatuki]]</f>
        <v>1377742.5318192432</v>
      </c>
      <c r="T136" s="479">
        <f>(Taulukko8[[#This Row],[Palvelut + toimintamenot, huomioitu vuonna 2025 poistuvat tehtävät]]/$S$6)*$T$2</f>
        <v>1299617.649345536</v>
      </c>
      <c r="U136" s="481">
        <f>Taulukko8[[#This Row],[Skaalattu siirtyvän rahoituksen tasoon ]]*0.5</f>
        <v>649808.82467276801</v>
      </c>
    </row>
    <row r="137" spans="1:21">
      <c r="A137" s="465">
        <v>425</v>
      </c>
      <c r="B137" s="456" t="s">
        <v>142</v>
      </c>
      <c r="C137" s="459">
        <v>10258</v>
      </c>
      <c r="D137" s="459">
        <v>254763.34857541806</v>
      </c>
      <c r="E137" s="459">
        <v>54617.691178690307</v>
      </c>
      <c r="F137" s="473">
        <f>Taulukko8[[#This Row],[Siirtyvän henkilöstön ELY-keskus ja TE-toimistokohtaiset toimintamenot]]+Taulukko8[[#This Row],[Valtakunnalliset toimintamenot]]</f>
        <v>309381.03975410835</v>
      </c>
      <c r="G137" s="459">
        <v>0</v>
      </c>
      <c r="H137" s="459">
        <v>0</v>
      </c>
      <c r="I137" s="459">
        <v>54654.527781237019</v>
      </c>
      <c r="J137" s="459">
        <v>9643.6690855911329</v>
      </c>
      <c r="K137" s="459">
        <v>214109.65824677813</v>
      </c>
      <c r="L137" s="459">
        <v>173745.63140402385</v>
      </c>
      <c r="M137" s="459">
        <v>111546.93449350649</v>
      </c>
      <c r="N137" s="459">
        <v>17528.191460005593</v>
      </c>
      <c r="O137" s="473">
        <f>SUM(Taulukko8[[#This Row],[Työvoimaviranomaisille siirtyvä kotoutumiskoulutus]:[Muut palvelut]])</f>
        <v>581228.6124711422</v>
      </c>
      <c r="P137" s="473">
        <f>Taulukko8[[#This Row],[Palvelut yhteensä]]+Taulukko8[[#This Row],[Toimintamenot yhteensä]]</f>
        <v>890609.65222525061</v>
      </c>
      <c r="Q137" s="481">
        <v>31590.114800731611</v>
      </c>
      <c r="R137" s="481">
        <v>110565.40180256063</v>
      </c>
      <c r="S137" s="473">
        <f>Taulukko8[[#This Row],[Palvelut + toimintamenot]]-Taulukko8[[#This Row],[Poistuva velvoitetyöllistäminen]]-Taulukko8[[#This Row],[Poistuvaksi ehdotettu  palkkatuki]]</f>
        <v>748454.1356219583</v>
      </c>
      <c r="T137" s="479">
        <f>(Taulukko8[[#This Row],[Palvelut + toimintamenot, huomioitu vuonna 2025 poistuvat tehtävät]]/$S$6)*$T$2</f>
        <v>706013.04809509288</v>
      </c>
      <c r="U137" s="481">
        <f>Taulukko8[[#This Row],[Skaalattu siirtyvän rahoituksen tasoon ]]*0.5</f>
        <v>353006.52404754644</v>
      </c>
    </row>
    <row r="138" spans="1:21">
      <c r="A138" s="465">
        <v>426</v>
      </c>
      <c r="B138" s="456" t="s">
        <v>143</v>
      </c>
      <c r="C138" s="459">
        <v>11962</v>
      </c>
      <c r="D138" s="459">
        <v>506080.36982994393</v>
      </c>
      <c r="E138" s="459">
        <v>108496.53808340747</v>
      </c>
      <c r="F138" s="473">
        <f>Taulukko8[[#This Row],[Siirtyvän henkilöstön ELY-keskus ja TE-toimistokohtaiset toimintamenot]]+Taulukko8[[#This Row],[Valtakunnalliset toimintamenot]]</f>
        <v>614576.90791335143</v>
      </c>
      <c r="G138" s="459">
        <v>42841.483151770233</v>
      </c>
      <c r="H138" s="459">
        <v>25704.889891062139</v>
      </c>
      <c r="I138" s="459">
        <v>185825.39445620586</v>
      </c>
      <c r="J138" s="459">
        <v>16072.781809318552</v>
      </c>
      <c r="K138" s="459">
        <v>520967.45056375378</v>
      </c>
      <c r="L138" s="459">
        <v>326152.34637056675</v>
      </c>
      <c r="M138" s="459">
        <v>59865.841303780966</v>
      </c>
      <c r="N138" s="459">
        <v>34819.269200740993</v>
      </c>
      <c r="O138" s="473">
        <f>SUM(Taulukko8[[#This Row],[Työvoimaviranomaisille siirtyvä kotoutumiskoulutus]:[Muut palvelut]])</f>
        <v>1169407.9735954292</v>
      </c>
      <c r="P138" s="473">
        <f>Taulukko8[[#This Row],[Palvelut yhteensä]]+Taulukko8[[#This Row],[Toimintamenot yhteensä]]</f>
        <v>1783984.8815087806</v>
      </c>
      <c r="Q138" s="481">
        <v>54358.724395094454</v>
      </c>
      <c r="R138" s="481">
        <v>141332.68342724559</v>
      </c>
      <c r="S138" s="473">
        <f>Taulukko8[[#This Row],[Palvelut + toimintamenot]]-Taulukko8[[#This Row],[Poistuva velvoitetyöllistäminen]]-Taulukko8[[#This Row],[Poistuvaksi ehdotettu  palkkatuki]]</f>
        <v>1588293.4736864406</v>
      </c>
      <c r="T138" s="479">
        <f>(Taulukko8[[#This Row],[Palvelut + toimintamenot, huomioitu vuonna 2025 poistuvat tehtävät]]/$S$6)*$T$2</f>
        <v>1498229.3012451201</v>
      </c>
      <c r="U138" s="481">
        <f>Taulukko8[[#This Row],[Skaalattu siirtyvän rahoituksen tasoon ]]*0.5</f>
        <v>749114.65062256006</v>
      </c>
    </row>
    <row r="139" spans="1:21">
      <c r="A139" s="465">
        <v>430</v>
      </c>
      <c r="B139" s="456" t="s">
        <v>144</v>
      </c>
      <c r="C139" s="459">
        <v>15392</v>
      </c>
      <c r="D139" s="459">
        <v>578694.30791495997</v>
      </c>
      <c r="E139" s="459">
        <v>124063.94865393496</v>
      </c>
      <c r="F139" s="473">
        <f>Taulukko8[[#This Row],[Siirtyvän henkilöstön ELY-keskus ja TE-toimistokohtaiset toimintamenot]]+Taulukko8[[#This Row],[Valtakunnalliset toimintamenot]]</f>
        <v>702758.25656889495</v>
      </c>
      <c r="G139" s="459">
        <v>188502.52586778902</v>
      </c>
      <c r="H139" s="459">
        <v>113101.51552067341</v>
      </c>
      <c r="I139" s="459">
        <v>76516.338893731823</v>
      </c>
      <c r="J139" s="459">
        <v>83578.465408456483</v>
      </c>
      <c r="K139" s="459">
        <v>502581.80303179799</v>
      </c>
      <c r="L139" s="459">
        <v>209347.57585769764</v>
      </c>
      <c r="M139" s="459">
        <v>116190.94452282452</v>
      </c>
      <c r="N139" s="459">
        <v>39815.242980079063</v>
      </c>
      <c r="O139" s="473">
        <f>SUM(Taulukko8[[#This Row],[Työvoimaviranomaisille siirtyvä kotoutumiskoulutus]:[Muut palvelut]])</f>
        <v>1141131.886215261</v>
      </c>
      <c r="P139" s="473">
        <f>Taulukko8[[#This Row],[Palvelut yhteensä]]+Taulukko8[[#This Row],[Toimintamenot yhteensä]]</f>
        <v>1843890.1427841559</v>
      </c>
      <c r="Q139" s="481">
        <v>48847.767700129451</v>
      </c>
      <c r="R139" s="481">
        <v>125608.54551461857</v>
      </c>
      <c r="S139" s="473">
        <f>Taulukko8[[#This Row],[Palvelut + toimintamenot]]-Taulukko8[[#This Row],[Poistuva velvoitetyöllistäminen]]-Taulukko8[[#This Row],[Poistuvaksi ehdotettu  palkkatuki]]</f>
        <v>1669433.829569408</v>
      </c>
      <c r="T139" s="479">
        <f>(Taulukko8[[#This Row],[Palvelut + toimintamenot, huomioitu vuonna 2025 poistuvat tehtävät]]/$S$6)*$T$2</f>
        <v>1574768.5937067089</v>
      </c>
      <c r="U139" s="481">
        <f>Taulukko8[[#This Row],[Skaalattu siirtyvän rahoituksen tasoon ]]*0.5</f>
        <v>787384.29685335443</v>
      </c>
    </row>
    <row r="140" spans="1:21">
      <c r="A140" s="465">
        <v>433</v>
      </c>
      <c r="B140" s="456" t="s">
        <v>145</v>
      </c>
      <c r="C140" s="459">
        <v>7749</v>
      </c>
      <c r="D140" s="459">
        <v>165557.63603964733</v>
      </c>
      <c r="E140" s="459">
        <v>35493.236715761872</v>
      </c>
      <c r="F140" s="473">
        <f>Taulukko8[[#This Row],[Siirtyvän henkilöstön ELY-keskus ja TE-toimistokohtaiset toimintamenot]]+Taulukko8[[#This Row],[Valtakunnalliset toimintamenot]]</f>
        <v>201050.87275540922</v>
      </c>
      <c r="G140" s="459">
        <v>34273.186521416188</v>
      </c>
      <c r="H140" s="459">
        <v>20563.911912849711</v>
      </c>
      <c r="I140" s="459">
        <v>21861.811112494808</v>
      </c>
      <c r="J140" s="459">
        <v>12858.225447454843</v>
      </c>
      <c r="K140" s="459">
        <v>131301.07027073592</v>
      </c>
      <c r="L140" s="459">
        <v>155583.41369011585</v>
      </c>
      <c r="M140" s="459">
        <v>57075.902324260358</v>
      </c>
      <c r="N140" s="459">
        <v>11390.672788671556</v>
      </c>
      <c r="O140" s="473">
        <f>SUM(Taulukko8[[#This Row],[Työvoimaviranomaisille siirtyvä kotoutumiskoulutus]:[Muut palvelut]])</f>
        <v>410635.00754658307</v>
      </c>
      <c r="P140" s="473">
        <f>Taulukko8[[#This Row],[Palvelut yhteensä]]+Taulukko8[[#This Row],[Toimintamenot yhteensä]]</f>
        <v>611685.88030199229</v>
      </c>
      <c r="Q140" s="481">
        <v>19447.926711264481</v>
      </c>
      <c r="R140" s="481">
        <v>38895.853422528962</v>
      </c>
      <c r="S140" s="473">
        <f>Taulukko8[[#This Row],[Palvelut + toimintamenot]]-Taulukko8[[#This Row],[Poistuva velvoitetyöllistäminen]]-Taulukko8[[#This Row],[Poistuvaksi ehdotettu  palkkatuki]]</f>
        <v>553342.10016819881</v>
      </c>
      <c r="T140" s="479">
        <f>(Taulukko8[[#This Row],[Palvelut + toimintamenot, huomioitu vuonna 2025 poistuvat tehtävät]]/$S$6)*$T$2</f>
        <v>521964.8395081014</v>
      </c>
      <c r="U140" s="481">
        <f>Taulukko8[[#This Row],[Skaalattu siirtyvän rahoituksen tasoon ]]*0.5</f>
        <v>260982.4197540507</v>
      </c>
    </row>
    <row r="141" spans="1:21">
      <c r="A141" s="465">
        <v>434</v>
      </c>
      <c r="B141" s="456" t="s">
        <v>146</v>
      </c>
      <c r="C141" s="459">
        <v>14568</v>
      </c>
      <c r="D141" s="459">
        <v>498521.06810708885</v>
      </c>
      <c r="E141" s="459">
        <v>106875.92974498624</v>
      </c>
      <c r="F141" s="473">
        <f>Taulukko8[[#This Row],[Siirtyvän henkilöstön ELY-keskus ja TE-toimistokohtaiset toimintamenot]]+Taulukko8[[#This Row],[Valtakunnalliset toimintamenot]]</f>
        <v>605396.99785207515</v>
      </c>
      <c r="G141" s="459">
        <v>102819.55956424857</v>
      </c>
      <c r="H141" s="459">
        <v>61691.735738549141</v>
      </c>
      <c r="I141" s="459">
        <v>32792.716668742214</v>
      </c>
      <c r="J141" s="459">
        <v>144655.03628386697</v>
      </c>
      <c r="K141" s="459">
        <v>474244.03939967044</v>
      </c>
      <c r="L141" s="459">
        <v>359913.80132775463</v>
      </c>
      <c r="M141" s="459">
        <v>142654.5001330183</v>
      </c>
      <c r="N141" s="459">
        <v>34299.175205105159</v>
      </c>
      <c r="O141" s="473">
        <f>SUM(Taulukko8[[#This Row],[Työvoimaviranomaisille siirtyvä kotoutumiskoulutus]:[Muut palvelut]])</f>
        <v>1250251.0047567068</v>
      </c>
      <c r="P141" s="473">
        <f>Taulukko8[[#This Row],[Palvelut yhteensä]]+Taulukko8[[#This Row],[Toimintamenot yhteensä]]</f>
        <v>1855648.0026087819</v>
      </c>
      <c r="Q141" s="481">
        <v>101225.75662343099</v>
      </c>
      <c r="R141" s="481">
        <v>213698.81953835432</v>
      </c>
      <c r="S141" s="473">
        <f>Taulukko8[[#This Row],[Palvelut + toimintamenot]]-Taulukko8[[#This Row],[Poistuva velvoitetyöllistäminen]]-Taulukko8[[#This Row],[Poistuvaksi ehdotettu  palkkatuki]]</f>
        <v>1540723.4264469966</v>
      </c>
      <c r="T141" s="479">
        <f>(Taulukko8[[#This Row],[Palvelut + toimintamenot, huomioitu vuonna 2025 poistuvat tehtävät]]/$S$6)*$T$2</f>
        <v>1453356.7132653124</v>
      </c>
      <c r="U141" s="481">
        <f>Taulukko8[[#This Row],[Skaalattu siirtyvän rahoituksen tasoon ]]*0.5</f>
        <v>726678.35663265618</v>
      </c>
    </row>
    <row r="142" spans="1:21">
      <c r="A142" s="465">
        <v>435</v>
      </c>
      <c r="B142" s="456" t="s">
        <v>147</v>
      </c>
      <c r="C142" s="459">
        <v>692</v>
      </c>
      <c r="D142" s="459">
        <v>24404.044932051776</v>
      </c>
      <c r="E142" s="459">
        <v>5231.8851870291992</v>
      </c>
      <c r="F142" s="473">
        <f>Taulukko8[[#This Row],[Siirtyvän henkilöstön ELY-keskus ja TE-toimistokohtaiset toimintamenot]]+Taulukko8[[#This Row],[Valtakunnalliset toimintamenot]]</f>
        <v>29635.930119080975</v>
      </c>
      <c r="G142" s="459">
        <v>0</v>
      </c>
      <c r="H142" s="459">
        <v>0</v>
      </c>
      <c r="I142" s="459">
        <v>0</v>
      </c>
      <c r="J142" s="459">
        <v>0</v>
      </c>
      <c r="K142" s="459">
        <v>0</v>
      </c>
      <c r="L142" s="459">
        <v>19201.864421856</v>
      </c>
      <c r="M142" s="459">
        <v>0</v>
      </c>
      <c r="N142" s="459">
        <v>1679.0436079582009</v>
      </c>
      <c r="O142" s="473">
        <f>SUM(Taulukko8[[#This Row],[Työvoimaviranomaisille siirtyvä kotoutumiskoulutus]:[Muut palvelut]])</f>
        <v>20880.9080298142</v>
      </c>
      <c r="P142" s="473">
        <f>Taulukko8[[#This Row],[Palvelut yhteensä]]+Taulukko8[[#This Row],[Toimintamenot yhteensä]]</f>
        <v>50516.838148895171</v>
      </c>
      <c r="Q142" s="481">
        <v>19201.864421856</v>
      </c>
      <c r="R142" s="481">
        <v>0</v>
      </c>
      <c r="S142" s="473">
        <f>Taulukko8[[#This Row],[Palvelut + toimintamenot]]-Taulukko8[[#This Row],[Poistuva velvoitetyöllistäminen]]-Taulukko8[[#This Row],[Poistuvaksi ehdotettu  palkkatuki]]</f>
        <v>31314.973727039171</v>
      </c>
      <c r="T142" s="479">
        <f>(Taulukko8[[#This Row],[Palvelut + toimintamenot, huomioitu vuonna 2025 poistuvat tehtävät]]/$S$6)*$T$2</f>
        <v>29539.25831897834</v>
      </c>
      <c r="U142" s="481">
        <f>Taulukko8[[#This Row],[Skaalattu siirtyvän rahoituksen tasoon ]]*0.5</f>
        <v>14769.62915948917</v>
      </c>
    </row>
    <row r="143" spans="1:21">
      <c r="A143" s="465">
        <v>436</v>
      </c>
      <c r="B143" s="456" t="s">
        <v>148</v>
      </c>
      <c r="C143" s="459">
        <v>1988</v>
      </c>
      <c r="D143" s="459">
        <v>51790.145110678655</v>
      </c>
      <c r="E143" s="459">
        <v>11103.081222522211</v>
      </c>
      <c r="F143" s="473">
        <f>Taulukko8[[#This Row],[Siirtyvän henkilöstön ELY-keskus ja TE-toimistokohtaiset toimintamenot]]+Taulukko8[[#This Row],[Valtakunnalliset toimintamenot]]</f>
        <v>62893.226333200866</v>
      </c>
      <c r="G143" s="459">
        <v>17136.593260708094</v>
      </c>
      <c r="H143" s="459">
        <v>10281.955956424856</v>
      </c>
      <c r="I143" s="459">
        <v>0</v>
      </c>
      <c r="J143" s="459">
        <v>0</v>
      </c>
      <c r="K143" s="459">
        <v>26763.707280847266</v>
      </c>
      <c r="L143" s="459">
        <v>23692.58610054871</v>
      </c>
      <c r="M143" s="459">
        <v>33546.475298701298</v>
      </c>
      <c r="N143" s="459">
        <v>3563.2581543522701</v>
      </c>
      <c r="O143" s="473">
        <f>SUM(Taulukko8[[#This Row],[Työvoimaviranomaisille siirtyvä kotoutumiskoulutus]:[Muut palvelut]])</f>
        <v>97847.98279087439</v>
      </c>
      <c r="P143" s="473">
        <f>Taulukko8[[#This Row],[Palvelut yhteensä]]+Taulukko8[[#This Row],[Toimintamenot yhteensä]]</f>
        <v>160741.20912407525</v>
      </c>
      <c r="Q143" s="481">
        <v>0</v>
      </c>
      <c r="R143" s="481">
        <v>23692.58610054871</v>
      </c>
      <c r="S143" s="473">
        <f>Taulukko8[[#This Row],[Palvelut + toimintamenot]]-Taulukko8[[#This Row],[Poistuva velvoitetyöllistäminen]]-Taulukko8[[#This Row],[Poistuvaksi ehdotettu  palkkatuki]]</f>
        <v>137048.62302352654</v>
      </c>
      <c r="T143" s="479">
        <f>(Taulukko8[[#This Row],[Palvelut + toimintamenot, huomioitu vuonna 2025 poistuvat tehtävät]]/$S$6)*$T$2</f>
        <v>129277.28163018328</v>
      </c>
      <c r="U143" s="481">
        <f>Taulukko8[[#This Row],[Skaalattu siirtyvän rahoituksen tasoon ]]*0.5</f>
        <v>64638.64081509164</v>
      </c>
    </row>
    <row r="144" spans="1:21">
      <c r="A144" s="465">
        <v>440</v>
      </c>
      <c r="B144" s="456" t="s">
        <v>149</v>
      </c>
      <c r="C144" s="459">
        <v>5732</v>
      </c>
      <c r="D144" s="459">
        <v>69846.162257356467</v>
      </c>
      <c r="E144" s="459">
        <v>14974.038226144912</v>
      </c>
      <c r="F144" s="473">
        <f>Taulukko8[[#This Row],[Siirtyvän henkilöstön ELY-keskus ja TE-toimistokohtaiset toimintamenot]]+Taulukko8[[#This Row],[Valtakunnalliset toimintamenot]]</f>
        <v>84820.200483501379</v>
      </c>
      <c r="G144" s="459">
        <v>17136.593260708094</v>
      </c>
      <c r="H144" s="459">
        <v>10281.955956424856</v>
      </c>
      <c r="I144" s="459">
        <v>10930.905556247404</v>
      </c>
      <c r="J144" s="459">
        <v>3214.5563618637107</v>
      </c>
      <c r="K144" s="459">
        <v>15852.716352941176</v>
      </c>
      <c r="L144" s="459">
        <v>28157.067481394733</v>
      </c>
      <c r="M144" s="459">
        <v>33682.024064516132</v>
      </c>
      <c r="N144" s="459">
        <v>4805.5456628257343</v>
      </c>
      <c r="O144" s="473">
        <f>SUM(Taulukko8[[#This Row],[Työvoimaviranomaisille siirtyvä kotoutumiskoulutus]:[Muut palvelut]])</f>
        <v>106924.77143621373</v>
      </c>
      <c r="P144" s="473">
        <f>Taulukko8[[#This Row],[Palvelut yhteensä]]+Taulukko8[[#This Row],[Toimintamenot yhteensä]]</f>
        <v>191744.97191971511</v>
      </c>
      <c r="Q144" s="481">
        <v>9385.6891604649099</v>
      </c>
      <c r="R144" s="481">
        <v>9385.6891604649099</v>
      </c>
      <c r="S144" s="473">
        <f>Taulukko8[[#This Row],[Palvelut + toimintamenot]]-Taulukko8[[#This Row],[Poistuva velvoitetyöllistäminen]]-Taulukko8[[#This Row],[Poistuvaksi ehdotettu  palkkatuki]]</f>
        <v>172973.59359878529</v>
      </c>
      <c r="T144" s="479">
        <f>(Taulukko8[[#This Row],[Palvelut + toimintamenot, huomioitu vuonna 2025 poistuvat tehtävät]]/$S$6)*$T$2</f>
        <v>163165.12695217904</v>
      </c>
      <c r="U144" s="481">
        <f>Taulukko8[[#This Row],[Skaalattu siirtyvän rahoituksen tasoon ]]*0.5</f>
        <v>81582.563476089519</v>
      </c>
    </row>
    <row r="145" spans="1:21">
      <c r="A145" s="465">
        <v>441</v>
      </c>
      <c r="B145" s="456" t="s">
        <v>150</v>
      </c>
      <c r="C145" s="459">
        <v>4421</v>
      </c>
      <c r="D145" s="459">
        <v>154748.42979657269</v>
      </c>
      <c r="E145" s="459">
        <v>33175.894398775279</v>
      </c>
      <c r="F145" s="473">
        <f>Taulukko8[[#This Row],[Siirtyvän henkilöstön ELY-keskus ja TE-toimistokohtaiset toimintamenot]]+Taulukko8[[#This Row],[Valtakunnalliset toimintamenot]]</f>
        <v>187924.32419534796</v>
      </c>
      <c r="G145" s="459">
        <v>34273.186521416188</v>
      </c>
      <c r="H145" s="459">
        <v>20563.911912849711</v>
      </c>
      <c r="I145" s="459">
        <v>10930.905556247404</v>
      </c>
      <c r="J145" s="459">
        <v>22501.894533045976</v>
      </c>
      <c r="K145" s="459">
        <v>172805.57164004675</v>
      </c>
      <c r="L145" s="459">
        <v>93834.177111672063</v>
      </c>
      <c r="M145" s="459">
        <v>17353.833576923076</v>
      </c>
      <c r="N145" s="459">
        <v>10646.979327195437</v>
      </c>
      <c r="O145" s="473">
        <f>SUM(Taulukko8[[#This Row],[Työvoimaviranomaisille siirtyvä kotoutumiskoulutus]:[Muut palvelut]])</f>
        <v>348637.27365798043</v>
      </c>
      <c r="P145" s="473">
        <f>Taulukko8[[#This Row],[Palvelut yhteensä]]+Taulukko8[[#This Row],[Toimintamenot yhteensä]]</f>
        <v>536561.59785332833</v>
      </c>
      <c r="Q145" s="481">
        <v>20852.039358149344</v>
      </c>
      <c r="R145" s="481">
        <v>41704.078716298689</v>
      </c>
      <c r="S145" s="473">
        <f>Taulukko8[[#This Row],[Palvelut + toimintamenot]]-Taulukko8[[#This Row],[Poistuva velvoitetyöllistäminen]]-Taulukko8[[#This Row],[Poistuvaksi ehdotettu  palkkatuki]]</f>
        <v>474005.47977888031</v>
      </c>
      <c r="T145" s="479">
        <f>(Taulukko8[[#This Row],[Palvelut + toimintamenot, huomioitu vuonna 2025 poistuvat tehtävät]]/$S$6)*$T$2</f>
        <v>447127.00172919728</v>
      </c>
      <c r="U145" s="481">
        <f>Taulukko8[[#This Row],[Skaalattu siirtyvän rahoituksen tasoon ]]*0.5</f>
        <v>223563.50086459864</v>
      </c>
    </row>
    <row r="146" spans="1:21">
      <c r="A146" s="465">
        <v>444</v>
      </c>
      <c r="B146" s="456" t="s">
        <v>151</v>
      </c>
      <c r="C146" s="459">
        <v>45811</v>
      </c>
      <c r="D146" s="459">
        <v>1615526.9417805441</v>
      </c>
      <c r="E146" s="459">
        <v>346346.33313788066</v>
      </c>
      <c r="F146" s="473">
        <f>Taulukko8[[#This Row],[Siirtyvän henkilöstön ELY-keskus ja TE-toimistokohtaiset toimintamenot]]+Taulukko8[[#This Row],[Valtakunnalliset toimintamenot]]</f>
        <v>1961873.2749184249</v>
      </c>
      <c r="G146" s="459">
        <v>291322.08543203759</v>
      </c>
      <c r="H146" s="459">
        <v>174793.25125922254</v>
      </c>
      <c r="I146" s="459">
        <v>131170.86667496886</v>
      </c>
      <c r="J146" s="459">
        <v>250735.39622536942</v>
      </c>
      <c r="K146" s="459">
        <v>1276810.8753068049</v>
      </c>
      <c r="L146" s="459">
        <v>393655.72020223161</v>
      </c>
      <c r="M146" s="459">
        <v>273033.64400656789</v>
      </c>
      <c r="N146" s="459">
        <v>111151.25351692368</v>
      </c>
      <c r="O146" s="473">
        <f>SUM(Taulukko8[[#This Row],[Työvoimaviranomaisille siirtyvä kotoutumiskoulutus]:[Muut palvelut]])</f>
        <v>2611351.0071920892</v>
      </c>
      <c r="P146" s="473">
        <f>Taulukko8[[#This Row],[Palvelut yhteensä]]+Taulukko8[[#This Row],[Toimintamenot yhteensä]]</f>
        <v>4573224.2821105141</v>
      </c>
      <c r="Q146" s="481">
        <v>123720.36920641565</v>
      </c>
      <c r="R146" s="481">
        <v>191204.20695536965</v>
      </c>
      <c r="S146" s="473">
        <f>Taulukko8[[#This Row],[Palvelut + toimintamenot]]-Taulukko8[[#This Row],[Poistuva velvoitetyöllistäminen]]-Taulukko8[[#This Row],[Poistuvaksi ehdotettu  palkkatuki]]</f>
        <v>4258299.7059487291</v>
      </c>
      <c r="T146" s="479">
        <f>(Taulukko8[[#This Row],[Palvelut + toimintamenot, huomioitu vuonna 2025 poistuvat tehtävät]]/$S$6)*$T$2</f>
        <v>4016832.8452096768</v>
      </c>
      <c r="U146" s="481">
        <f>Taulukko8[[#This Row],[Skaalattu siirtyvän rahoituksen tasoon ]]*0.5</f>
        <v>2008416.4226048384</v>
      </c>
    </row>
    <row r="147" spans="1:21">
      <c r="A147" s="465">
        <v>445</v>
      </c>
      <c r="B147" s="456" t="s">
        <v>152</v>
      </c>
      <c r="C147" s="459">
        <v>14991</v>
      </c>
      <c r="D147" s="459">
        <v>319457.87646967924</v>
      </c>
      <c r="E147" s="459">
        <v>68487.291202548935</v>
      </c>
      <c r="F147" s="473">
        <f>Taulukko8[[#This Row],[Siirtyvän henkilöstön ELY-keskus ja TE-toimistokohtaiset toimintamenot]]+Taulukko8[[#This Row],[Valtakunnalliset toimintamenot]]</f>
        <v>387945.16767222818</v>
      </c>
      <c r="G147" s="459">
        <v>171365.93260708093</v>
      </c>
      <c r="H147" s="459">
        <v>102819.55956424856</v>
      </c>
      <c r="I147" s="459">
        <v>109309.05556247404</v>
      </c>
      <c r="J147" s="459">
        <v>70720.239961001629</v>
      </c>
      <c r="K147" s="459">
        <v>210541.02559440187</v>
      </c>
      <c r="L147" s="459">
        <v>104673.78792884882</v>
      </c>
      <c r="M147" s="459">
        <v>113059.25358539796</v>
      </c>
      <c r="N147" s="459">
        <v>21979.295112419666</v>
      </c>
      <c r="O147" s="473">
        <f>SUM(Taulukko8[[#This Row],[Työvoimaviranomaisille siirtyvä kotoutumiskoulutus]:[Muut palvelut]])</f>
        <v>733102.21730879252</v>
      </c>
      <c r="P147" s="473">
        <f>Taulukko8[[#This Row],[Palvelut yhteensä]]+Taulukko8[[#This Row],[Toimintamenot yhteensä]]</f>
        <v>1121047.3849810208</v>
      </c>
      <c r="Q147" s="481">
        <v>13956.505057179842</v>
      </c>
      <c r="R147" s="481">
        <v>41869.515171539533</v>
      </c>
      <c r="S147" s="473">
        <f>Taulukko8[[#This Row],[Palvelut + toimintamenot]]-Taulukko8[[#This Row],[Poistuva velvoitetyöllistäminen]]-Taulukko8[[#This Row],[Poistuvaksi ehdotettu  palkkatuki]]</f>
        <v>1065221.3647523015</v>
      </c>
      <c r="T147" s="479">
        <f>(Taulukko8[[#This Row],[Palvelut + toimintamenot, huomioitu vuonna 2025 poistuvat tehtävät]]/$S$6)*$T$2</f>
        <v>1004817.9932893714</v>
      </c>
      <c r="U147" s="481">
        <f>Taulukko8[[#This Row],[Skaalattu siirtyvän rahoituksen tasoon ]]*0.5</f>
        <v>502408.99664468569</v>
      </c>
    </row>
    <row r="148" spans="1:21">
      <c r="A148" s="465">
        <v>475</v>
      </c>
      <c r="B148" s="456" t="s">
        <v>153</v>
      </c>
      <c r="C148" s="459">
        <v>5479</v>
      </c>
      <c r="D148" s="459">
        <v>104068.37111999835</v>
      </c>
      <c r="E148" s="459">
        <v>22310.800148785005</v>
      </c>
      <c r="F148" s="473">
        <f>Taulukko8[[#This Row],[Siirtyvän henkilöstön ELY-keskus ja TE-toimistokohtaiset toimintamenot]]+Taulukko8[[#This Row],[Valtakunnalliset toimintamenot]]</f>
        <v>126379.17126878336</v>
      </c>
      <c r="G148" s="459">
        <v>8568.296630354047</v>
      </c>
      <c r="H148" s="459">
        <v>5140.9779782124278</v>
      </c>
      <c r="I148" s="459">
        <v>21861.811112494808</v>
      </c>
      <c r="J148" s="459">
        <v>6429.1127237274213</v>
      </c>
      <c r="K148" s="459">
        <v>79263.581764705872</v>
      </c>
      <c r="L148" s="459">
        <v>46928.445802324561</v>
      </c>
      <c r="M148" s="459">
        <v>44182.103329032267</v>
      </c>
      <c r="N148" s="459">
        <v>7160.0971808637041</v>
      </c>
      <c r="O148" s="473">
        <f>SUM(Taulukko8[[#This Row],[Työvoimaviranomaisille siirtyvä kotoutumiskoulutus]:[Muut palvelut]])</f>
        <v>210966.12989136108</v>
      </c>
      <c r="P148" s="473">
        <f>Taulukko8[[#This Row],[Palvelut yhteensä]]+Taulukko8[[#This Row],[Toimintamenot yhteensä]]</f>
        <v>337345.30116014445</v>
      </c>
      <c r="Q148" s="481">
        <v>0</v>
      </c>
      <c r="R148" s="481">
        <v>18771.378320929824</v>
      </c>
      <c r="S148" s="473">
        <f>Taulukko8[[#This Row],[Palvelut + toimintamenot]]-Taulukko8[[#This Row],[Poistuva velvoitetyöllistäminen]]-Taulukko8[[#This Row],[Poistuvaksi ehdotettu  palkkatuki]]</f>
        <v>318573.92283921462</v>
      </c>
      <c r="T148" s="479">
        <f>(Taulukko8[[#This Row],[Palvelut + toimintamenot, huomioitu vuonna 2025 poistuvat tehtävät]]/$S$6)*$T$2</f>
        <v>300509.19034660776</v>
      </c>
      <c r="U148" s="481">
        <f>Taulukko8[[#This Row],[Skaalattu siirtyvän rahoituksen tasoon ]]*0.5</f>
        <v>150254.59517330388</v>
      </c>
    </row>
    <row r="149" spans="1:21">
      <c r="A149" s="465">
        <v>480</v>
      </c>
      <c r="B149" s="456" t="s">
        <v>154</v>
      </c>
      <c r="C149" s="459">
        <v>1978</v>
      </c>
      <c r="D149" s="459">
        <v>51043.143247514628</v>
      </c>
      <c r="E149" s="459">
        <v>10942.934493016804</v>
      </c>
      <c r="F149" s="473">
        <f>Taulukko8[[#This Row],[Siirtyvän henkilöstön ELY-keskus ja TE-toimistokohtaiset toimintamenot]]+Taulukko8[[#This Row],[Valtakunnalliset toimintamenot]]</f>
        <v>61986.077740531429</v>
      </c>
      <c r="G149" s="459">
        <v>17136.593260708094</v>
      </c>
      <c r="H149" s="459">
        <v>10281.955956424856</v>
      </c>
      <c r="I149" s="459">
        <v>0</v>
      </c>
      <c r="J149" s="459">
        <v>6429.1127237274213</v>
      </c>
      <c r="K149" s="459">
        <v>40749.875921497136</v>
      </c>
      <c r="L149" s="459">
        <v>20934.757585769763</v>
      </c>
      <c r="M149" s="459">
        <v>24849.255780640313</v>
      </c>
      <c r="N149" s="459">
        <v>3511.8630390355006</v>
      </c>
      <c r="O149" s="473">
        <f>SUM(Taulukko8[[#This Row],[Työvoimaviranomaisille siirtyvä kotoutumiskoulutus]:[Muut palvelut]])</f>
        <v>106756.82100709499</v>
      </c>
      <c r="P149" s="473">
        <f>Taulukko8[[#This Row],[Palvelut yhteensä]]+Taulukko8[[#This Row],[Toimintamenot yhteensä]]</f>
        <v>168742.8987476264</v>
      </c>
      <c r="Q149" s="481">
        <v>6978.252528589921</v>
      </c>
      <c r="R149" s="481">
        <v>6978.252528589921</v>
      </c>
      <c r="S149" s="473">
        <f>Taulukko8[[#This Row],[Palvelut + toimintamenot]]-Taulukko8[[#This Row],[Poistuva velvoitetyöllistäminen]]-Taulukko8[[#This Row],[Poistuvaksi ehdotettu  palkkatuki]]</f>
        <v>154786.39369044657</v>
      </c>
      <c r="T149" s="479">
        <f>(Taulukko8[[#This Row],[Palvelut + toimintamenot, huomioitu vuonna 2025 poistuvat tehtävät]]/$S$6)*$T$2</f>
        <v>146009.23211176804</v>
      </c>
      <c r="U149" s="481">
        <f>Taulukko8[[#This Row],[Skaalattu siirtyvän rahoituksen tasoon ]]*0.5</f>
        <v>73004.61605588402</v>
      </c>
    </row>
    <row r="150" spans="1:21">
      <c r="A150" s="465">
        <v>481</v>
      </c>
      <c r="B150" s="456" t="s">
        <v>155</v>
      </c>
      <c r="C150" s="459">
        <v>9642</v>
      </c>
      <c r="D150" s="459">
        <v>187360.56691430727</v>
      </c>
      <c r="E150" s="459">
        <v>40167.479506027223</v>
      </c>
      <c r="F150" s="473">
        <f>Taulukko8[[#This Row],[Siirtyvän henkilöstön ELY-keskus ja TE-toimistokohtaiset toimintamenot]]+Taulukko8[[#This Row],[Valtakunnalliset toimintamenot]]</f>
        <v>227528.04642033449</v>
      </c>
      <c r="G150" s="459">
        <v>17136.593260708094</v>
      </c>
      <c r="H150" s="459">
        <v>10281.955956424856</v>
      </c>
      <c r="I150" s="459">
        <v>98378.150006226642</v>
      </c>
      <c r="J150" s="459">
        <v>35360.119980500815</v>
      </c>
      <c r="K150" s="459">
        <v>156207.85769907234</v>
      </c>
      <c r="L150" s="459">
        <v>34891.262642949601</v>
      </c>
      <c r="M150" s="459">
        <v>34066.823721263696</v>
      </c>
      <c r="N150" s="459">
        <v>12890.754919391286</v>
      </c>
      <c r="O150" s="473">
        <f>SUM(Taulukko8[[#This Row],[Työvoimaviranomaisille siirtyvä kotoutumiskoulutus]:[Muut palvelut]])</f>
        <v>382076.92492582923</v>
      </c>
      <c r="P150" s="473">
        <f>Taulukko8[[#This Row],[Palvelut yhteensä]]+Taulukko8[[#This Row],[Toimintamenot yhteensä]]</f>
        <v>609604.97134616366</v>
      </c>
      <c r="Q150" s="481">
        <v>6978.252528589921</v>
      </c>
      <c r="R150" s="481">
        <v>13956.505057179842</v>
      </c>
      <c r="S150" s="473">
        <f>Taulukko8[[#This Row],[Palvelut + toimintamenot]]-Taulukko8[[#This Row],[Poistuva velvoitetyöllistäminen]]-Taulukko8[[#This Row],[Poistuvaksi ehdotettu  palkkatuki]]</f>
        <v>588670.2137603939</v>
      </c>
      <c r="T150" s="479">
        <f>(Taulukko8[[#This Row],[Palvelut + toimintamenot, huomioitu vuonna 2025 poistuvat tehtävät]]/$S$6)*$T$2</f>
        <v>555289.67261888203</v>
      </c>
      <c r="U150" s="481">
        <f>Taulukko8[[#This Row],[Skaalattu siirtyvän rahoituksen tasoon ]]*0.5</f>
        <v>277644.83630944102</v>
      </c>
    </row>
    <row r="151" spans="1:21">
      <c r="A151" s="465">
        <v>483</v>
      </c>
      <c r="B151" s="456" t="s">
        <v>156</v>
      </c>
      <c r="C151" s="459">
        <v>1067</v>
      </c>
      <c r="D151" s="459">
        <v>36373.931360919123</v>
      </c>
      <c r="E151" s="459">
        <v>7798.0610677891309</v>
      </c>
      <c r="F151" s="473">
        <f>Taulukko8[[#This Row],[Siirtyvän henkilöstön ELY-keskus ja TE-toimistokohtaiset toimintamenot]]+Taulukko8[[#This Row],[Valtakunnalliset toimintamenot]]</f>
        <v>44171.992428708254</v>
      </c>
      <c r="G151" s="459">
        <v>0</v>
      </c>
      <c r="H151" s="459">
        <v>0</v>
      </c>
      <c r="I151" s="459">
        <v>10930.905556247404</v>
      </c>
      <c r="J151" s="459">
        <v>0</v>
      </c>
      <c r="K151" s="459">
        <v>53527.414561694532</v>
      </c>
      <c r="L151" s="459">
        <v>0</v>
      </c>
      <c r="M151" s="459">
        <v>13651.824204906205</v>
      </c>
      <c r="N151" s="459">
        <v>2502.5940215201381</v>
      </c>
      <c r="O151" s="473">
        <f>SUM(Taulukko8[[#This Row],[Työvoimaviranomaisille siirtyvä kotoutumiskoulutus]:[Muut palvelut]])</f>
        <v>80612.738344368277</v>
      </c>
      <c r="P151" s="473">
        <f>Taulukko8[[#This Row],[Palvelut yhteensä]]+Taulukko8[[#This Row],[Toimintamenot yhteensä]]</f>
        <v>124784.73077307653</v>
      </c>
      <c r="Q151" s="481">
        <v>0</v>
      </c>
      <c r="R151" s="481">
        <v>0</v>
      </c>
      <c r="S151" s="473">
        <f>Taulukko8[[#This Row],[Palvelut + toimintamenot]]-Taulukko8[[#This Row],[Poistuva velvoitetyöllistäminen]]-Taulukko8[[#This Row],[Poistuvaksi ehdotettu  palkkatuki]]</f>
        <v>124784.73077307653</v>
      </c>
      <c r="T151" s="479">
        <f>(Taulukko8[[#This Row],[Palvelut + toimintamenot, huomioitu vuonna 2025 poistuvat tehtävät]]/$S$6)*$T$2</f>
        <v>117708.81332042521</v>
      </c>
      <c r="U151" s="481">
        <f>Taulukko8[[#This Row],[Skaalattu siirtyvän rahoituksen tasoon ]]*0.5</f>
        <v>58854.406660212604</v>
      </c>
    </row>
    <row r="152" spans="1:21">
      <c r="A152" s="465">
        <v>484</v>
      </c>
      <c r="B152" s="456" t="s">
        <v>157</v>
      </c>
      <c r="C152" s="459">
        <v>2967</v>
      </c>
      <c r="D152" s="459">
        <v>87000.420182764574</v>
      </c>
      <c r="E152" s="459">
        <v>18651.670691759096</v>
      </c>
      <c r="F152" s="473">
        <f>Taulukko8[[#This Row],[Siirtyvän henkilöstön ELY-keskus ja TE-toimistokohtaiset toimintamenot]]+Taulukko8[[#This Row],[Valtakunnalliset toimintamenot]]</f>
        <v>105652.09087452367</v>
      </c>
      <c r="G152" s="459">
        <v>0</v>
      </c>
      <c r="H152" s="459">
        <v>0</v>
      </c>
      <c r="I152" s="459">
        <v>21861.811112494808</v>
      </c>
      <c r="J152" s="459">
        <v>22501.894533045976</v>
      </c>
      <c r="K152" s="459">
        <v>29116.025716132604</v>
      </c>
      <c r="L152" s="459">
        <v>52740.52258313998</v>
      </c>
      <c r="M152" s="459">
        <v>10099.787027027025</v>
      </c>
      <c r="N152" s="459">
        <v>5985.7904623709865</v>
      </c>
      <c r="O152" s="473">
        <f>SUM(Taulukko8[[#This Row],[Työvoimaviranomaisille siirtyvä kotoutumiskoulutus]:[Muut palvelut]])</f>
        <v>142305.83143421137</v>
      </c>
      <c r="P152" s="473">
        <f>Taulukko8[[#This Row],[Palvelut yhteensä]]+Taulukko8[[#This Row],[Toimintamenot yhteensä]]</f>
        <v>247957.92230873503</v>
      </c>
      <c r="Q152" s="481">
        <v>8790.0870971899967</v>
      </c>
      <c r="R152" s="481">
        <v>43950.435485949987</v>
      </c>
      <c r="S152" s="473">
        <f>Taulukko8[[#This Row],[Palvelut + toimintamenot]]-Taulukko8[[#This Row],[Poistuva velvoitetyöllistäminen]]-Taulukko8[[#This Row],[Poistuvaksi ehdotettu  palkkatuki]]</f>
        <v>195217.39972559502</v>
      </c>
      <c r="T152" s="479">
        <f>(Taulukko8[[#This Row],[Palvelut + toimintamenot, huomioitu vuonna 2025 poistuvat tehtävät]]/$S$6)*$T$2</f>
        <v>184147.59817838852</v>
      </c>
      <c r="U152" s="481">
        <f>Taulukko8[[#This Row],[Skaalattu siirtyvän rahoituksen tasoon ]]*0.5</f>
        <v>92073.799089194261</v>
      </c>
    </row>
    <row r="153" spans="1:21">
      <c r="A153" s="465">
        <v>489</v>
      </c>
      <c r="B153" s="456" t="s">
        <v>158</v>
      </c>
      <c r="C153" s="459">
        <v>1791</v>
      </c>
      <c r="D153" s="459">
        <v>66364.12169997835</v>
      </c>
      <c r="E153" s="459">
        <v>14227.537534824893</v>
      </c>
      <c r="F153" s="473">
        <f>Taulukko8[[#This Row],[Siirtyvän henkilöstön ELY-keskus ja TE-toimistokohtaiset toimintamenot]]+Taulukko8[[#This Row],[Valtakunnalliset toimintamenot]]</f>
        <v>80591.659234803243</v>
      </c>
      <c r="G153" s="459">
        <v>34273.186521416188</v>
      </c>
      <c r="H153" s="459">
        <v>20563.911912849711</v>
      </c>
      <c r="I153" s="459">
        <v>10930.905556247404</v>
      </c>
      <c r="J153" s="459">
        <v>0</v>
      </c>
      <c r="K153" s="459">
        <v>43201.392910011687</v>
      </c>
      <c r="L153" s="459">
        <v>93834.177111672063</v>
      </c>
      <c r="M153" s="459">
        <v>10367.760826923077</v>
      </c>
      <c r="N153" s="459">
        <v>4565.9748065682834</v>
      </c>
      <c r="O153" s="473">
        <f>SUM(Taulukko8[[#This Row],[Työvoimaviranomaisille siirtyvä kotoutumiskoulutus]:[Muut palvelut]])</f>
        <v>183464.12312427221</v>
      </c>
      <c r="P153" s="473">
        <f>Taulukko8[[#This Row],[Palvelut yhteensä]]+Taulukko8[[#This Row],[Toimintamenot yhteensä]]</f>
        <v>264055.78235907544</v>
      </c>
      <c r="Q153" s="481">
        <v>10426.019679074672</v>
      </c>
      <c r="R153" s="481">
        <v>41704.078716298689</v>
      </c>
      <c r="S153" s="473">
        <f>Taulukko8[[#This Row],[Palvelut + toimintamenot]]-Taulukko8[[#This Row],[Poistuva velvoitetyöllistäminen]]-Taulukko8[[#This Row],[Poistuvaksi ehdotettu  palkkatuki]]</f>
        <v>211925.68396370209</v>
      </c>
      <c r="T153" s="479">
        <f>(Taulukko8[[#This Row],[Palvelut + toimintamenot, huomioitu vuonna 2025 poistuvat tehtävät]]/$S$6)*$T$2</f>
        <v>199908.43925328297</v>
      </c>
      <c r="U153" s="481">
        <f>Taulukko8[[#This Row],[Skaalattu siirtyvän rahoituksen tasoon ]]*0.5</f>
        <v>99954.219626641483</v>
      </c>
    </row>
    <row r="154" spans="1:21">
      <c r="A154" s="465">
        <v>491</v>
      </c>
      <c r="B154" s="456" t="s">
        <v>159</v>
      </c>
      <c r="C154" s="459">
        <v>51980</v>
      </c>
      <c r="D154" s="459">
        <v>2109804.0869518882</v>
      </c>
      <c r="E154" s="459">
        <v>452312.42528814694</v>
      </c>
      <c r="F154" s="473">
        <f>Taulukko8[[#This Row],[Siirtyvän henkilöstön ELY-keskus ja TE-toimistokohtaiset toimintamenot]]+Taulukko8[[#This Row],[Valtakunnalliset toimintamenot]]</f>
        <v>2562116.512240035</v>
      </c>
      <c r="G154" s="459">
        <v>651190.54390690755</v>
      </c>
      <c r="H154" s="459">
        <v>390714.32634414453</v>
      </c>
      <c r="I154" s="459">
        <v>743301.57782482344</v>
      </c>
      <c r="J154" s="459">
        <v>340742.97435755335</v>
      </c>
      <c r="K154" s="459">
        <v>2082636.9900796567</v>
      </c>
      <c r="L154" s="459">
        <v>533008.11612789088</v>
      </c>
      <c r="M154" s="459">
        <v>324227.15760476666</v>
      </c>
      <c r="N154" s="459">
        <v>145158.43894337659</v>
      </c>
      <c r="O154" s="473">
        <f>SUM(Taulukko8[[#This Row],[Työvoimaviranomaisille siirtyvä kotoutumiskoulutus]:[Muut palvelut]])</f>
        <v>4559789.5812822124</v>
      </c>
      <c r="P154" s="473">
        <f>Taulukko8[[#This Row],[Palvelut yhteensä]]+Taulukko8[[#This Row],[Toimintamenot yhteensä]]</f>
        <v>7121906.0935222469</v>
      </c>
      <c r="Q154" s="481">
        <v>118446.24802842019</v>
      </c>
      <c r="R154" s="481">
        <v>313036.51264653908</v>
      </c>
      <c r="S154" s="473">
        <f>Taulukko8[[#This Row],[Palvelut + toimintamenot]]-Taulukko8[[#This Row],[Poistuva velvoitetyöllistäminen]]-Taulukko8[[#This Row],[Poistuvaksi ehdotettu  palkkatuki]]</f>
        <v>6690423.3328472879</v>
      </c>
      <c r="T154" s="479">
        <f>(Taulukko8[[#This Row],[Palvelut + toimintamenot, huomioitu vuonna 2025 poistuvat tehtävät]]/$S$6)*$T$2</f>
        <v>6311042.915602087</v>
      </c>
      <c r="U154" s="481">
        <f>Taulukko8[[#This Row],[Skaalattu siirtyvän rahoituksen tasoon ]]*0.5</f>
        <v>3155521.4578010435</v>
      </c>
    </row>
    <row r="155" spans="1:21">
      <c r="A155" s="465">
        <v>494</v>
      </c>
      <c r="B155" s="456" t="s">
        <v>160</v>
      </c>
      <c r="C155" s="459">
        <v>8882</v>
      </c>
      <c r="D155" s="459">
        <v>308785.57096646732</v>
      </c>
      <c r="E155" s="459">
        <v>66199.298485392021</v>
      </c>
      <c r="F155" s="473">
        <f>Taulukko8[[#This Row],[Siirtyvän henkilöstön ELY-keskus ja TE-toimistokohtaiset toimintamenot]]+Taulukko8[[#This Row],[Valtakunnalliset toimintamenot]]</f>
        <v>374984.86945185933</v>
      </c>
      <c r="G155" s="459">
        <v>17136.593260708094</v>
      </c>
      <c r="H155" s="459">
        <v>10281.955956424856</v>
      </c>
      <c r="I155" s="459">
        <v>43723.622224989616</v>
      </c>
      <c r="J155" s="459">
        <v>12858.225447454843</v>
      </c>
      <c r="K155" s="459">
        <v>205188.42248649569</v>
      </c>
      <c r="L155" s="459">
        <v>142155.51660329226</v>
      </c>
      <c r="M155" s="459">
        <v>28469.818836940838</v>
      </c>
      <c r="N155" s="459">
        <v>21245.020676061358</v>
      </c>
      <c r="O155" s="473">
        <f>SUM(Taulukko8[[#This Row],[Työvoimaviranomaisille siirtyvä kotoutumiskoulutus]:[Muut palvelut]])</f>
        <v>463922.58223165944</v>
      </c>
      <c r="P155" s="473">
        <f>Taulukko8[[#This Row],[Palvelut yhteensä]]+Taulukko8[[#This Row],[Toimintamenot yhteensä]]</f>
        <v>838907.45168351871</v>
      </c>
      <c r="Q155" s="481">
        <v>23692.58610054871</v>
      </c>
      <c r="R155" s="481">
        <v>78975.287001829041</v>
      </c>
      <c r="S155" s="473">
        <f>Taulukko8[[#This Row],[Palvelut + toimintamenot]]-Taulukko8[[#This Row],[Poistuva velvoitetyöllistäminen]]-Taulukko8[[#This Row],[Poistuvaksi ehdotettu  palkkatuki]]</f>
        <v>736239.57858114096</v>
      </c>
      <c r="T155" s="479">
        <f>(Taulukko8[[#This Row],[Palvelut + toimintamenot, huomioitu vuonna 2025 poistuvat tehtävät]]/$S$6)*$T$2</f>
        <v>694491.11744218424</v>
      </c>
      <c r="U155" s="481">
        <f>Taulukko8[[#This Row],[Skaalattu siirtyvän rahoituksen tasoon ]]*0.5</f>
        <v>347245.55872109212</v>
      </c>
    </row>
    <row r="156" spans="1:21">
      <c r="A156" s="465">
        <v>495</v>
      </c>
      <c r="B156" s="456" t="s">
        <v>161</v>
      </c>
      <c r="C156" s="459">
        <v>1477</v>
      </c>
      <c r="D156" s="459">
        <v>48308.104553300538</v>
      </c>
      <c r="E156" s="459">
        <v>10356.580531202191</v>
      </c>
      <c r="F156" s="473">
        <f>Taulukko8[[#This Row],[Siirtyvän henkilöstön ELY-keskus ja TE-toimistokohtaiset toimintamenot]]+Taulukko8[[#This Row],[Valtakunnalliset toimintamenot]]</f>
        <v>58664.685084502729</v>
      </c>
      <c r="G156" s="459">
        <v>17136.593260708094</v>
      </c>
      <c r="H156" s="459">
        <v>10281.955956424856</v>
      </c>
      <c r="I156" s="459">
        <v>21861.811112494808</v>
      </c>
      <c r="J156" s="459">
        <v>9643.6690855911329</v>
      </c>
      <c r="K156" s="459">
        <v>31227.039559760207</v>
      </c>
      <c r="L156" s="459">
        <v>38403.728843712001</v>
      </c>
      <c r="M156" s="459">
        <v>14067.673837837836</v>
      </c>
      <c r="N156" s="459">
        <v>3323.6872980948192</v>
      </c>
      <c r="O156" s="473">
        <f>SUM(Taulukko8[[#This Row],[Työvoimaviranomaisille siirtyvä kotoutumiskoulutus]:[Muut palvelut]])</f>
        <v>128809.56569391566</v>
      </c>
      <c r="P156" s="473">
        <f>Taulukko8[[#This Row],[Palvelut yhteensä]]+Taulukko8[[#This Row],[Toimintamenot yhteensä]]</f>
        <v>187474.25077841838</v>
      </c>
      <c r="Q156" s="481">
        <v>0</v>
      </c>
      <c r="R156" s="481">
        <v>28802.796632784</v>
      </c>
      <c r="S156" s="473">
        <f>Taulukko8[[#This Row],[Palvelut + toimintamenot]]-Taulukko8[[#This Row],[Poistuva velvoitetyöllistäminen]]-Taulukko8[[#This Row],[Poistuvaksi ehdotettu  palkkatuki]]</f>
        <v>158671.45414563437</v>
      </c>
      <c r="T156" s="479">
        <f>(Taulukko8[[#This Row],[Palvelut + toimintamenot, huomioitu vuonna 2025 poistuvat tehtävät]]/$S$6)*$T$2</f>
        <v>149673.99023581998</v>
      </c>
      <c r="U156" s="481">
        <f>Taulukko8[[#This Row],[Skaalattu siirtyvän rahoituksen tasoon ]]*0.5</f>
        <v>74836.995117909988</v>
      </c>
    </row>
    <row r="157" spans="1:21">
      <c r="A157" s="465">
        <v>498</v>
      </c>
      <c r="B157" s="456" t="s">
        <v>162</v>
      </c>
      <c r="C157" s="459">
        <v>2281</v>
      </c>
      <c r="D157" s="459">
        <v>116160.27777352596</v>
      </c>
      <c r="E157" s="459">
        <v>24903.135455480082</v>
      </c>
      <c r="F157" s="473">
        <f>Taulukko8[[#This Row],[Siirtyvän henkilöstön ELY-keskus ja TE-toimistokohtaiset toimintamenot]]+Taulukko8[[#This Row],[Valtakunnalliset toimintamenot]]</f>
        <v>141063.41322900605</v>
      </c>
      <c r="G157" s="459">
        <v>0</v>
      </c>
      <c r="H157" s="459">
        <v>0</v>
      </c>
      <c r="I157" s="459">
        <v>21861.811112494808</v>
      </c>
      <c r="J157" s="459">
        <v>22501.894533045976</v>
      </c>
      <c r="K157" s="459">
        <v>34014.821202865765</v>
      </c>
      <c r="L157" s="459">
        <v>48267.500700851931</v>
      </c>
      <c r="M157" s="459">
        <v>52673.064444444448</v>
      </c>
      <c r="N157" s="459">
        <v>7992.0428124654318</v>
      </c>
      <c r="O157" s="473">
        <f>SUM(Taulukko8[[#This Row],[Työvoimaviranomaisille siirtyvä kotoutumiskoulutus]:[Muut palvelut]])</f>
        <v>187311.13480616835</v>
      </c>
      <c r="P157" s="473">
        <f>Taulukko8[[#This Row],[Palvelut yhteensä]]+Taulukko8[[#This Row],[Toimintamenot yhteensä]]</f>
        <v>328374.54803517438</v>
      </c>
      <c r="Q157" s="481">
        <v>9653.5001401703867</v>
      </c>
      <c r="R157" s="481">
        <v>9653.5001401703867</v>
      </c>
      <c r="S157" s="473">
        <f>Taulukko8[[#This Row],[Palvelut + toimintamenot]]-Taulukko8[[#This Row],[Poistuva velvoitetyöllistäminen]]-Taulukko8[[#This Row],[Poistuvaksi ehdotettu  palkkatuki]]</f>
        <v>309067.54775483359</v>
      </c>
      <c r="T157" s="479">
        <f>(Taulukko8[[#This Row],[Palvelut + toimintamenot, huomioitu vuonna 2025 poistuvat tehtävät]]/$S$6)*$T$2</f>
        <v>291541.8742076144</v>
      </c>
      <c r="U157" s="481">
        <f>Taulukko8[[#This Row],[Skaalattu siirtyvän rahoituksen tasoon ]]*0.5</f>
        <v>145770.9371038072</v>
      </c>
    </row>
    <row r="158" spans="1:21">
      <c r="A158" s="465">
        <v>499</v>
      </c>
      <c r="B158" s="456" t="s">
        <v>163</v>
      </c>
      <c r="C158" s="459">
        <v>19662</v>
      </c>
      <c r="D158" s="459">
        <v>337933.52414506668</v>
      </c>
      <c r="E158" s="459">
        <v>72448.211109997384</v>
      </c>
      <c r="F158" s="473">
        <f>Taulukko8[[#This Row],[Siirtyvän henkilöstön ELY-keskus ja TE-toimistokohtaiset toimintamenot]]+Taulukko8[[#This Row],[Valtakunnalliset toimintamenot]]</f>
        <v>410381.73525506409</v>
      </c>
      <c r="G158" s="459">
        <v>17136.593260708094</v>
      </c>
      <c r="H158" s="459">
        <v>10281.955956424856</v>
      </c>
      <c r="I158" s="459">
        <v>54654.527781237019</v>
      </c>
      <c r="J158" s="459">
        <v>54647.45815168308</v>
      </c>
      <c r="K158" s="459">
        <v>269496.17799999996</v>
      </c>
      <c r="L158" s="459">
        <v>131399.64824650876</v>
      </c>
      <c r="M158" s="459">
        <v>131455.41685161291</v>
      </c>
      <c r="N158" s="459">
        <v>23250.453980493385</v>
      </c>
      <c r="O158" s="473">
        <f>SUM(Taulukko8[[#This Row],[Työvoimaviranomaisille siirtyvä kotoutumiskoulutus]:[Muut palvelut]])</f>
        <v>675185.63896795991</v>
      </c>
      <c r="P158" s="473">
        <f>Taulukko8[[#This Row],[Palvelut yhteensä]]+Taulukko8[[#This Row],[Toimintamenot yhteensä]]</f>
        <v>1085567.3742230241</v>
      </c>
      <c r="Q158" s="481">
        <v>18771.378320929824</v>
      </c>
      <c r="R158" s="481">
        <v>65699.824123254381</v>
      </c>
      <c r="S158" s="473">
        <f>Taulukko8[[#This Row],[Palvelut + toimintamenot]]-Taulukko8[[#This Row],[Poistuva velvoitetyöllistäminen]]-Taulukko8[[#This Row],[Poistuvaksi ehdotettu  palkkatuki]]</f>
        <v>1001096.1717788399</v>
      </c>
      <c r="T158" s="479">
        <f>(Taulukko8[[#This Row],[Palvelut + toimintamenot, huomioitu vuonna 2025 poistuvat tehtävät]]/$S$6)*$T$2</f>
        <v>944329.01902075019</v>
      </c>
      <c r="U158" s="481">
        <f>Taulukko8[[#This Row],[Skaalattu siirtyvän rahoituksen tasoon ]]*0.5</f>
        <v>472164.50951037509</v>
      </c>
    </row>
    <row r="159" spans="1:21">
      <c r="A159" s="465">
        <v>500</v>
      </c>
      <c r="B159" s="456" t="s">
        <v>164</v>
      </c>
      <c r="C159" s="459">
        <v>10486</v>
      </c>
      <c r="D159" s="459">
        <v>327698.70578880742</v>
      </c>
      <c r="E159" s="459">
        <v>70254.009505339651</v>
      </c>
      <c r="F159" s="473">
        <f>Taulukko8[[#This Row],[Siirtyvän henkilöstön ELY-keskus ja TE-toimistokohtaiset toimintamenot]]+Taulukko8[[#This Row],[Valtakunnalliset toimintamenot]]</f>
        <v>397952.71529414708</v>
      </c>
      <c r="G159" s="459">
        <v>17136.593260708094</v>
      </c>
      <c r="H159" s="459">
        <v>10281.955956424856</v>
      </c>
      <c r="I159" s="459">
        <v>76516.338893731823</v>
      </c>
      <c r="J159" s="459">
        <v>90007.578132183902</v>
      </c>
      <c r="K159" s="459">
        <v>351304.19504730235</v>
      </c>
      <c r="L159" s="459">
        <v>230422.373062272</v>
      </c>
      <c r="M159" s="459">
        <v>56232.911254892817</v>
      </c>
      <c r="N159" s="459">
        <v>22546.279472228965</v>
      </c>
      <c r="O159" s="473">
        <f>SUM(Taulukko8[[#This Row],[Työvoimaviranomaisille siirtyvä kotoutumiskoulutus]:[Muut palvelut]])</f>
        <v>837311.63181903667</v>
      </c>
      <c r="P159" s="473">
        <f>Taulukko8[[#This Row],[Palvelut yhteensä]]+Taulukko8[[#This Row],[Toimintamenot yhteensä]]</f>
        <v>1235264.3471131837</v>
      </c>
      <c r="Q159" s="481">
        <v>38403.728843712001</v>
      </c>
      <c r="R159" s="481">
        <v>144013.98316392</v>
      </c>
      <c r="S159" s="473">
        <f>Taulukko8[[#This Row],[Palvelut + toimintamenot]]-Taulukko8[[#This Row],[Poistuva velvoitetyöllistäminen]]-Taulukko8[[#This Row],[Poistuvaksi ehdotettu  palkkatuki]]</f>
        <v>1052846.6351055517</v>
      </c>
      <c r="T159" s="479">
        <f>(Taulukko8[[#This Row],[Palvelut + toimintamenot, huomioitu vuonna 2025 poistuvat tehtävät]]/$S$6)*$T$2</f>
        <v>993144.97261724365</v>
      </c>
      <c r="U159" s="481">
        <f>Taulukko8[[#This Row],[Skaalattu siirtyvän rahoituksen tasoon ]]*0.5</f>
        <v>496572.48630862182</v>
      </c>
    </row>
    <row r="160" spans="1:21">
      <c r="A160" s="465">
        <v>503</v>
      </c>
      <c r="B160" s="456" t="s">
        <v>165</v>
      </c>
      <c r="C160" s="459">
        <v>7539</v>
      </c>
      <c r="D160" s="459">
        <v>200250.06918268729</v>
      </c>
      <c r="E160" s="459">
        <v>42930.808133469109</v>
      </c>
      <c r="F160" s="473">
        <f>Taulukko8[[#This Row],[Siirtyvän henkilöstön ELY-keskus ja TE-toimistokohtaiset toimintamenot]]+Taulukko8[[#This Row],[Valtakunnalliset toimintamenot]]</f>
        <v>243180.8773161564</v>
      </c>
      <c r="G160" s="459">
        <v>25704.889891062143</v>
      </c>
      <c r="H160" s="459">
        <v>15422.933934637285</v>
      </c>
      <c r="I160" s="459">
        <v>76516.338893731823</v>
      </c>
      <c r="J160" s="459">
        <v>41789.232704228241</v>
      </c>
      <c r="K160" s="459">
        <v>190166.08763365328</v>
      </c>
      <c r="L160" s="459">
        <v>55826.020228719368</v>
      </c>
      <c r="M160" s="459">
        <v>38511.48624347704</v>
      </c>
      <c r="N160" s="459">
        <v>13777.576610375063</v>
      </c>
      <c r="O160" s="473">
        <f>SUM(Taulukko8[[#This Row],[Työvoimaviranomaisille siirtyvä kotoutumiskoulutus]:[Muut palvelut]])</f>
        <v>432009.67624882207</v>
      </c>
      <c r="P160" s="473">
        <f>Taulukko8[[#This Row],[Palvelut yhteensä]]+Taulukko8[[#This Row],[Toimintamenot yhteensä]]</f>
        <v>675190.55356497853</v>
      </c>
      <c r="Q160" s="481">
        <v>13956.505057179842</v>
      </c>
      <c r="R160" s="481">
        <v>48847.767700129451</v>
      </c>
      <c r="S160" s="473">
        <f>Taulukko8[[#This Row],[Palvelut + toimintamenot]]-Taulukko8[[#This Row],[Poistuva velvoitetyöllistäminen]]-Taulukko8[[#This Row],[Poistuvaksi ehdotettu  palkkatuki]]</f>
        <v>612386.28080766927</v>
      </c>
      <c r="T160" s="479">
        <f>(Taulukko8[[#This Row],[Palvelut + toimintamenot, huomioitu vuonna 2025 poistuvat tehtävät]]/$S$6)*$T$2</f>
        <v>577660.92021838995</v>
      </c>
      <c r="U160" s="481">
        <f>Taulukko8[[#This Row],[Skaalattu siirtyvän rahoituksen tasoon ]]*0.5</f>
        <v>288830.46010919497</v>
      </c>
    </row>
    <row r="161" spans="1:21">
      <c r="A161" s="465">
        <v>504</v>
      </c>
      <c r="B161" s="456" t="s">
        <v>166</v>
      </c>
      <c r="C161" s="459">
        <v>1764</v>
      </c>
      <c r="D161" s="459">
        <v>73899.614598509463</v>
      </c>
      <c r="E161" s="459">
        <v>15843.041595014884</v>
      </c>
      <c r="F161" s="473">
        <f>Taulukko8[[#This Row],[Siirtyvän henkilöstön ELY-keskus ja TE-toimistokohtaiset toimintamenot]]+Taulukko8[[#This Row],[Valtakunnalliset toimintamenot]]</f>
        <v>89742.656193524352</v>
      </c>
      <c r="G161" s="459">
        <v>0</v>
      </c>
      <c r="H161" s="459">
        <v>0</v>
      </c>
      <c r="I161" s="459">
        <v>10930.905556247404</v>
      </c>
      <c r="J161" s="459">
        <v>25716.450894909685</v>
      </c>
      <c r="K161" s="459">
        <v>29184.248578441257</v>
      </c>
      <c r="L161" s="459">
        <v>22494.612582984664</v>
      </c>
      <c r="M161" s="459">
        <v>0</v>
      </c>
      <c r="N161" s="459">
        <v>5084.4307108792791</v>
      </c>
      <c r="O161" s="473">
        <f>SUM(Taulukko8[[#This Row],[Työvoimaviranomaisille siirtyvä kotoutumiskoulutus]:[Muut palvelut]])</f>
        <v>93410.648323462301</v>
      </c>
      <c r="P161" s="473">
        <f>Taulukko8[[#This Row],[Palvelut yhteensä]]+Taulukko8[[#This Row],[Toimintamenot yhteensä]]</f>
        <v>183153.30451698665</v>
      </c>
      <c r="Q161" s="481">
        <v>0</v>
      </c>
      <c r="R161" s="481">
        <v>22494.612582984664</v>
      </c>
      <c r="S161" s="473">
        <f>Taulukko8[[#This Row],[Palvelut + toimintamenot]]-Taulukko8[[#This Row],[Poistuva velvoitetyöllistäminen]]-Taulukko8[[#This Row],[Poistuvaksi ehdotettu  palkkatuki]]</f>
        <v>160658.69193400198</v>
      </c>
      <c r="T161" s="479">
        <f>(Taulukko8[[#This Row],[Palvelut + toimintamenot, huomioitu vuonna 2025 poistuvat tehtävät]]/$S$6)*$T$2</f>
        <v>151548.54171663889</v>
      </c>
      <c r="U161" s="481">
        <f>Taulukko8[[#This Row],[Skaalattu siirtyvän rahoituksen tasoon ]]*0.5</f>
        <v>75774.270858319447</v>
      </c>
    </row>
    <row r="162" spans="1:21">
      <c r="A162" s="465">
        <v>505</v>
      </c>
      <c r="B162" s="456" t="s">
        <v>167</v>
      </c>
      <c r="C162" s="459">
        <v>20912</v>
      </c>
      <c r="D162" s="459">
        <v>529198.73824850225</v>
      </c>
      <c r="E162" s="459">
        <v>113452.79224594928</v>
      </c>
      <c r="F162" s="473">
        <f>Taulukko8[[#This Row],[Siirtyvän henkilöstön ELY-keskus ja TE-toimistokohtaiset toimintamenot]]+Taulukko8[[#This Row],[Valtakunnalliset toimintamenot]]</f>
        <v>642651.53049445152</v>
      </c>
      <c r="G162" s="459">
        <v>77114.669673186421</v>
      </c>
      <c r="H162" s="459">
        <v>46268.801803911854</v>
      </c>
      <c r="I162" s="459">
        <v>65585.433337484428</v>
      </c>
      <c r="J162" s="459">
        <v>80363.909046592773</v>
      </c>
      <c r="K162" s="459">
        <v>306434.6100736332</v>
      </c>
      <c r="L162" s="459">
        <v>652343.7649065553</v>
      </c>
      <c r="M162" s="459">
        <v>167828.27753042383</v>
      </c>
      <c r="N162" s="459">
        <v>36409.855877157985</v>
      </c>
      <c r="O162" s="473">
        <f>SUM(Taulukko8[[#This Row],[Työvoimaviranomaisille siirtyvä kotoutumiskoulutus]:[Muut palvelut]])</f>
        <v>1355234.6525757594</v>
      </c>
      <c r="P162" s="473">
        <f>Taulukko8[[#This Row],[Palvelut yhteensä]]+Taulukko8[[#This Row],[Toimintamenot yhteensä]]</f>
        <v>1997886.183070211</v>
      </c>
      <c r="Q162" s="481">
        <v>112473.06291492333</v>
      </c>
      <c r="R162" s="481">
        <v>281182.65728730831</v>
      </c>
      <c r="S162" s="473">
        <f>Taulukko8[[#This Row],[Palvelut + toimintamenot]]-Taulukko8[[#This Row],[Poistuva velvoitetyöllistäminen]]-Taulukko8[[#This Row],[Poistuvaksi ehdotettu  palkkatuki]]</f>
        <v>1604230.4628679794</v>
      </c>
      <c r="T162" s="479">
        <f>(Taulukko8[[#This Row],[Palvelut + toimintamenot, huomioitu vuonna 2025 poistuvat tehtävät]]/$S$6)*$T$2</f>
        <v>1513262.5835452664</v>
      </c>
      <c r="U162" s="481">
        <f>Taulukko8[[#This Row],[Skaalattu siirtyvän rahoituksen tasoon ]]*0.5</f>
        <v>756631.29177263321</v>
      </c>
    </row>
    <row r="163" spans="1:21">
      <c r="A163" s="465">
        <v>507</v>
      </c>
      <c r="B163" s="456" t="s">
        <v>168</v>
      </c>
      <c r="C163" s="459">
        <v>5564</v>
      </c>
      <c r="D163" s="459">
        <v>174384.7576577529</v>
      </c>
      <c r="E163" s="459">
        <v>37385.647869997061</v>
      </c>
      <c r="F163" s="473">
        <f>Taulukko8[[#This Row],[Siirtyvän henkilöstön ELY-keskus ja TE-toimistokohtaiset toimintamenot]]+Taulukko8[[#This Row],[Valtakunnalliset toimintamenot]]</f>
        <v>211770.40552774997</v>
      </c>
      <c r="G163" s="459">
        <v>25704.889891062143</v>
      </c>
      <c r="H163" s="459">
        <v>15422.933934637285</v>
      </c>
      <c r="I163" s="459">
        <v>43723.622224989616</v>
      </c>
      <c r="J163" s="459">
        <v>25716.450894909685</v>
      </c>
      <c r="K163" s="459">
        <v>156002.77079248364</v>
      </c>
      <c r="L163" s="459">
        <v>67683.570301954402</v>
      </c>
      <c r="M163" s="459">
        <v>46118.114991062568</v>
      </c>
      <c r="N163" s="459">
        <v>11997.995147354974</v>
      </c>
      <c r="O163" s="473">
        <f>SUM(Taulukko8[[#This Row],[Työvoimaviranomaisille siirtyvä kotoutumiskoulutus]:[Muut palvelut]])</f>
        <v>366665.45828739216</v>
      </c>
      <c r="P163" s="473">
        <f>Taulukko8[[#This Row],[Palvelut yhteensä]]+Taulukko8[[#This Row],[Toimintamenot yhteensä]]</f>
        <v>578435.86381514207</v>
      </c>
      <c r="Q163" s="481">
        <v>25381.338863232901</v>
      </c>
      <c r="R163" s="481">
        <v>42302.231438721501</v>
      </c>
      <c r="S163" s="473">
        <f>Taulukko8[[#This Row],[Palvelut + toimintamenot]]-Taulukko8[[#This Row],[Poistuva velvoitetyöllistäminen]]-Taulukko8[[#This Row],[Poistuvaksi ehdotettu  palkkatuki]]</f>
        <v>510752.29351318767</v>
      </c>
      <c r="T163" s="479">
        <f>(Taulukko8[[#This Row],[Palvelut + toimintamenot, huomioitu vuonna 2025 poistuvat tehtävät]]/$S$6)*$T$2</f>
        <v>481790.08759855648</v>
      </c>
      <c r="U163" s="481">
        <f>Taulukko8[[#This Row],[Skaalattu siirtyvän rahoituksen tasoon ]]*0.5</f>
        <v>240895.04379927824</v>
      </c>
    </row>
    <row r="164" spans="1:21">
      <c r="A164" s="465">
        <v>508</v>
      </c>
      <c r="B164" s="456" t="s">
        <v>169</v>
      </c>
      <c r="C164" s="459">
        <v>9360</v>
      </c>
      <c r="D164" s="459">
        <v>305782.68299860874</v>
      </c>
      <c r="E164" s="459">
        <v>65555.521393475865</v>
      </c>
      <c r="F164" s="473">
        <f>Taulukko8[[#This Row],[Siirtyvän henkilöstön ELY-keskus ja TE-toimistokohtaiset toimintamenot]]+Taulukko8[[#This Row],[Valtakunnalliset toimintamenot]]</f>
        <v>371338.20439208462</v>
      </c>
      <c r="G164" s="459">
        <v>111387.85619460262</v>
      </c>
      <c r="H164" s="459">
        <v>66832.713716761573</v>
      </c>
      <c r="I164" s="459">
        <v>21861.811112494808</v>
      </c>
      <c r="J164" s="459">
        <v>16072.781809318552</v>
      </c>
      <c r="K164" s="459">
        <v>325761.17864700529</v>
      </c>
      <c r="L164" s="459">
        <v>107099.01710059661</v>
      </c>
      <c r="M164" s="459">
        <v>39650.746250500466</v>
      </c>
      <c r="N164" s="459">
        <v>21038.416407716257</v>
      </c>
      <c r="O164" s="473">
        <f>SUM(Taulukko8[[#This Row],[Työvoimaviranomaisille siirtyvä kotoutumiskoulutus]:[Muut palvelut]])</f>
        <v>598316.66504439351</v>
      </c>
      <c r="P164" s="473">
        <f>Taulukko8[[#This Row],[Palvelut yhteensä]]+Taulukko8[[#This Row],[Toimintamenot yhteensä]]</f>
        <v>969654.86943647813</v>
      </c>
      <c r="Q164" s="481">
        <v>13387.377137574576</v>
      </c>
      <c r="R164" s="481">
        <v>80324.262825447455</v>
      </c>
      <c r="S164" s="473">
        <f>Taulukko8[[#This Row],[Palvelut + toimintamenot]]-Taulukko8[[#This Row],[Poistuva velvoitetyöllistäminen]]-Taulukko8[[#This Row],[Poistuvaksi ehdotettu  palkkatuki]]</f>
        <v>875943.22947345604</v>
      </c>
      <c r="T164" s="479">
        <f>(Taulukko8[[#This Row],[Palvelut + toimintamenot, huomioitu vuonna 2025 poistuvat tehtävät]]/$S$6)*$T$2</f>
        <v>826272.87360087445</v>
      </c>
      <c r="U164" s="481">
        <f>Taulukko8[[#This Row],[Skaalattu siirtyvän rahoituksen tasoon ]]*0.5</f>
        <v>413136.43680043722</v>
      </c>
    </row>
    <row r="165" spans="1:21">
      <c r="A165" s="465">
        <v>529</v>
      </c>
      <c r="B165" s="456" t="s">
        <v>170</v>
      </c>
      <c r="C165" s="459">
        <v>19850</v>
      </c>
      <c r="D165" s="459">
        <v>531061.77875185153</v>
      </c>
      <c r="E165" s="459">
        <v>113852.20201754443</v>
      </c>
      <c r="F165" s="473">
        <f>Taulukko8[[#This Row],[Siirtyvän henkilöstön ELY-keskus ja TE-toimistokohtaiset toimintamenot]]+Taulukko8[[#This Row],[Valtakunnalliset toimintamenot]]</f>
        <v>644913.98076939594</v>
      </c>
      <c r="G165" s="459">
        <v>111387.85619460262</v>
      </c>
      <c r="H165" s="459">
        <v>66832.713716761573</v>
      </c>
      <c r="I165" s="459">
        <v>251410.82779369029</v>
      </c>
      <c r="J165" s="459">
        <v>135011.36719827584</v>
      </c>
      <c r="K165" s="459">
        <v>387123.82125422277</v>
      </c>
      <c r="L165" s="459">
        <v>272151.84861500689</v>
      </c>
      <c r="M165" s="459">
        <v>108286.34816698793</v>
      </c>
      <c r="N165" s="459">
        <v>36538.036523326504</v>
      </c>
      <c r="O165" s="473">
        <f>SUM(Taulukko8[[#This Row],[Työvoimaviranomaisille siirtyvä kotoutumiskoulutus]:[Muut palvelut]])</f>
        <v>1257354.9632682719</v>
      </c>
      <c r="P165" s="473">
        <f>Taulukko8[[#This Row],[Palvelut yhteensä]]+Taulukko8[[#This Row],[Toimintamenot yhteensä]]</f>
        <v>1902268.9440376679</v>
      </c>
      <c r="Q165" s="481">
        <v>69782.525285899203</v>
      </c>
      <c r="R165" s="481">
        <v>167478.0606861581</v>
      </c>
      <c r="S165" s="473">
        <f>Taulukko8[[#This Row],[Palvelut + toimintamenot]]-Taulukko8[[#This Row],[Poistuva velvoitetyöllistäminen]]-Taulukko8[[#This Row],[Poistuvaksi ehdotettu  palkkatuki]]</f>
        <v>1665008.3580656108</v>
      </c>
      <c r="T165" s="479">
        <f>(Taulukko8[[#This Row],[Palvelut + toimintamenot, huomioitu vuonna 2025 poistuvat tehtävät]]/$S$6)*$T$2</f>
        <v>1570594.0685395019</v>
      </c>
      <c r="U165" s="481">
        <f>Taulukko8[[#This Row],[Skaalattu siirtyvän rahoituksen tasoon ]]*0.5</f>
        <v>785297.03426975093</v>
      </c>
    </row>
    <row r="166" spans="1:21">
      <c r="A166" s="465">
        <v>531</v>
      </c>
      <c r="B166" s="456" t="s">
        <v>171</v>
      </c>
      <c r="C166" s="459">
        <v>5072</v>
      </c>
      <c r="D166" s="459">
        <v>211996.74788351759</v>
      </c>
      <c r="E166" s="459">
        <v>45449.131405811095</v>
      </c>
      <c r="F166" s="473">
        <f>Taulukko8[[#This Row],[Siirtyvän henkilöstön ELY-keskus ja TE-toimistokohtaiset toimintamenot]]+Taulukko8[[#This Row],[Valtakunnalliset toimintamenot]]</f>
        <v>257445.87928932867</v>
      </c>
      <c r="G166" s="459">
        <v>8568.296630354047</v>
      </c>
      <c r="H166" s="459">
        <v>5140.9779782124278</v>
      </c>
      <c r="I166" s="459">
        <v>21861.811112494808</v>
      </c>
      <c r="J166" s="459">
        <v>16072.781809318552</v>
      </c>
      <c r="K166" s="459">
        <v>94627.083577430967</v>
      </c>
      <c r="L166" s="459">
        <v>52740.52258313998</v>
      </c>
      <c r="M166" s="459">
        <v>8061.8573999999999</v>
      </c>
      <c r="N166" s="459">
        <v>14585.769917766651</v>
      </c>
      <c r="O166" s="473">
        <f>SUM(Taulukko8[[#This Row],[Työvoimaviranomaisille siirtyvä kotoutumiskoulutus]:[Muut palvelut]])</f>
        <v>213090.80437836339</v>
      </c>
      <c r="P166" s="473">
        <f>Taulukko8[[#This Row],[Palvelut yhteensä]]+Taulukko8[[#This Row],[Toimintamenot yhteensä]]</f>
        <v>470536.68366769206</v>
      </c>
      <c r="Q166" s="481">
        <v>8790.0870971899967</v>
      </c>
      <c r="R166" s="481">
        <v>35160.348388759987</v>
      </c>
      <c r="S166" s="473">
        <f>Taulukko8[[#This Row],[Palvelut + toimintamenot]]-Taulukko8[[#This Row],[Poistuva velvoitetyöllistäminen]]-Taulukko8[[#This Row],[Poistuvaksi ehdotettu  palkkatuki]]</f>
        <v>426586.24818174209</v>
      </c>
      <c r="T166" s="479">
        <f>(Taulukko8[[#This Row],[Palvelut + toimintamenot, huomioitu vuonna 2025 poistuvat tehtävät]]/$S$6)*$T$2</f>
        <v>402396.67739155126</v>
      </c>
      <c r="U166" s="481">
        <f>Taulukko8[[#This Row],[Skaalattu siirtyvän rahoituksen tasoon ]]*0.5</f>
        <v>201198.33869577563</v>
      </c>
    </row>
    <row r="167" spans="1:21">
      <c r="A167" s="465">
        <v>535</v>
      </c>
      <c r="B167" s="456" t="s">
        <v>172</v>
      </c>
      <c r="C167" s="459">
        <v>10419</v>
      </c>
      <c r="D167" s="459">
        <v>283461.91019490286</v>
      </c>
      <c r="E167" s="459">
        <v>60770.260551680869</v>
      </c>
      <c r="F167" s="473">
        <f>Taulukko8[[#This Row],[Siirtyvän henkilöstön ELY-keskus ja TE-toimistokohtaiset toimintamenot]]+Taulukko8[[#This Row],[Valtakunnalliset toimintamenot]]</f>
        <v>344232.17074658372</v>
      </c>
      <c r="G167" s="459">
        <v>8568.296630354047</v>
      </c>
      <c r="H167" s="459">
        <v>5140.9779782124278</v>
      </c>
      <c r="I167" s="459">
        <v>21861.811112494808</v>
      </c>
      <c r="J167" s="459">
        <v>6429.1127237274213</v>
      </c>
      <c r="K167" s="459">
        <v>294400.78008931992</v>
      </c>
      <c r="L167" s="459">
        <v>15795.057400365806</v>
      </c>
      <c r="M167" s="459">
        <v>43287.813468975466</v>
      </c>
      <c r="N167" s="459">
        <v>19502.705790681317</v>
      </c>
      <c r="O167" s="473">
        <f>SUM(Taulukko8[[#This Row],[Työvoimaviranomaisille siirtyvä kotoutumiskoulutus]:[Muut palvelut]])</f>
        <v>406418.2585637772</v>
      </c>
      <c r="P167" s="473">
        <f>Taulukko8[[#This Row],[Palvelut yhteensä]]+Taulukko8[[#This Row],[Toimintamenot yhteensä]]</f>
        <v>750650.42931036092</v>
      </c>
      <c r="Q167" s="481">
        <v>7897.5287001829029</v>
      </c>
      <c r="R167" s="481">
        <v>15795.057400365806</v>
      </c>
      <c r="S167" s="473">
        <f>Taulukko8[[#This Row],[Palvelut + toimintamenot]]-Taulukko8[[#This Row],[Poistuva velvoitetyöllistäminen]]-Taulukko8[[#This Row],[Poistuvaksi ehdotettu  palkkatuki]]</f>
        <v>726957.84320981218</v>
      </c>
      <c r="T167" s="479">
        <f>(Taulukko8[[#This Row],[Palvelut + toimintamenot, huomioitu vuonna 2025 poistuvat tehtävät]]/$S$6)*$T$2</f>
        <v>685735.70282258524</v>
      </c>
      <c r="U167" s="481">
        <f>Taulukko8[[#This Row],[Skaalattu siirtyvän rahoituksen tasoon ]]*0.5</f>
        <v>342867.85141129262</v>
      </c>
    </row>
    <row r="168" spans="1:21">
      <c r="A168" s="465">
        <v>536</v>
      </c>
      <c r="B168" s="456" t="s">
        <v>173</v>
      </c>
      <c r="C168" s="459">
        <v>35346</v>
      </c>
      <c r="D168" s="459">
        <v>1223984.8735670568</v>
      </c>
      <c r="E168" s="459">
        <v>262405.20155544952</v>
      </c>
      <c r="F168" s="473">
        <f>Taulukko8[[#This Row],[Siirtyvän henkilöstön ELY-keskus ja TE-toimistokohtaiset toimintamenot]]+Taulukko8[[#This Row],[Valtakunnalliset toimintamenot]]</f>
        <v>1486390.0751225064</v>
      </c>
      <c r="G168" s="459">
        <v>85682.966303540466</v>
      </c>
      <c r="H168" s="459">
        <v>51409.779782124278</v>
      </c>
      <c r="I168" s="459">
        <v>273272.63890618511</v>
      </c>
      <c r="J168" s="459">
        <v>115724.02902709358</v>
      </c>
      <c r="K168" s="459">
        <v>1160027.6117673847</v>
      </c>
      <c r="L168" s="459">
        <v>174035.90278846948</v>
      </c>
      <c r="M168" s="459">
        <v>220761.97792739893</v>
      </c>
      <c r="N168" s="459">
        <v>84212.432157143572</v>
      </c>
      <c r="O168" s="473">
        <f>SUM(Taulukko8[[#This Row],[Työvoimaviranomaisille siirtyvä kotoutumiskoulutus]:[Muut palvelut]])</f>
        <v>2079444.3723557997</v>
      </c>
      <c r="P168" s="473">
        <f>Taulukko8[[#This Row],[Palvelut yhteensä]]+Taulukko8[[#This Row],[Toimintamenot yhteensä]]</f>
        <v>3565834.447478306</v>
      </c>
      <c r="Q168" s="481">
        <v>113792.7056693839</v>
      </c>
      <c r="R168" s="481">
        <v>40162.131412723727</v>
      </c>
      <c r="S168" s="473">
        <f>Taulukko8[[#This Row],[Palvelut + toimintamenot]]-Taulukko8[[#This Row],[Poistuva velvoitetyöllistäminen]]-Taulukko8[[#This Row],[Poistuvaksi ehdotettu  palkkatuki]]</f>
        <v>3411879.6103961985</v>
      </c>
      <c r="T168" s="479">
        <f>(Taulukko8[[#This Row],[Palvelut + toimintamenot, huomioitu vuonna 2025 poistuvat tehtävät]]/$S$6)*$T$2</f>
        <v>3218408.9963877369</v>
      </c>
      <c r="U168" s="481">
        <f>Taulukko8[[#This Row],[Skaalattu siirtyvän rahoituksen tasoon ]]*0.5</f>
        <v>1609204.4981938684</v>
      </c>
    </row>
    <row r="169" spans="1:21">
      <c r="A169" s="465">
        <v>538</v>
      </c>
      <c r="B169" s="456" t="s">
        <v>174</v>
      </c>
      <c r="C169" s="459">
        <v>4644</v>
      </c>
      <c r="D169" s="459">
        <v>101854.15045787072</v>
      </c>
      <c r="E169" s="459">
        <v>21836.102273278942</v>
      </c>
      <c r="F169" s="473">
        <f>Taulukko8[[#This Row],[Siirtyvän henkilöstön ELY-keskus ja TE-toimistokohtaiset toimintamenot]]+Taulukko8[[#This Row],[Valtakunnalliset toimintamenot]]</f>
        <v>123690.25273114967</v>
      </c>
      <c r="G169" s="459">
        <v>8568.296630354047</v>
      </c>
      <c r="H169" s="459">
        <v>5140.9779782124278</v>
      </c>
      <c r="I169" s="459">
        <v>21861.811112494808</v>
      </c>
      <c r="J169" s="459">
        <v>19287.338171182266</v>
      </c>
      <c r="K169" s="459">
        <v>81499.751842994272</v>
      </c>
      <c r="L169" s="459">
        <v>20934.757585769763</v>
      </c>
      <c r="M169" s="459">
        <v>28965.675406656956</v>
      </c>
      <c r="N169" s="459">
        <v>7007.7546876538381</v>
      </c>
      <c r="O169" s="473">
        <f>SUM(Taulukko8[[#This Row],[Työvoimaviranomaisille siirtyvä kotoutumiskoulutus]:[Muut palvelut]])</f>
        <v>184698.06678496432</v>
      </c>
      <c r="P169" s="473">
        <f>Taulukko8[[#This Row],[Palvelut yhteensä]]+Taulukko8[[#This Row],[Toimintamenot yhteensä]]</f>
        <v>308388.31951611396</v>
      </c>
      <c r="Q169" s="481">
        <v>6978.252528589921</v>
      </c>
      <c r="R169" s="481">
        <v>13956.505057179842</v>
      </c>
      <c r="S169" s="473">
        <f>Taulukko8[[#This Row],[Palvelut + toimintamenot]]-Taulukko8[[#This Row],[Poistuva velvoitetyöllistäminen]]-Taulukko8[[#This Row],[Poistuvaksi ehdotettu  palkkatuki]]</f>
        <v>287453.56193034421</v>
      </c>
      <c r="T169" s="479">
        <f>(Taulukko8[[#This Row],[Palvelut + toimintamenot, huomioitu vuonna 2025 poistuvat tehtävät]]/$S$6)*$T$2</f>
        <v>271153.50932704471</v>
      </c>
      <c r="U169" s="481">
        <f>Taulukko8[[#This Row],[Skaalattu siirtyvän rahoituksen tasoon ]]*0.5</f>
        <v>135576.75466352236</v>
      </c>
    </row>
    <row r="170" spans="1:21">
      <c r="A170" s="465">
        <v>541</v>
      </c>
      <c r="B170" s="456" t="s">
        <v>175</v>
      </c>
      <c r="C170" s="459">
        <v>9243</v>
      </c>
      <c r="D170" s="459">
        <v>417749.63158807851</v>
      </c>
      <c r="E170" s="459">
        <v>89559.665845477401</v>
      </c>
      <c r="F170" s="473">
        <f>Taulukko8[[#This Row],[Siirtyvän henkilöstön ELY-keskus ja TE-toimistokohtaiset toimintamenot]]+Taulukko8[[#This Row],[Valtakunnalliset toimintamenot]]</f>
        <v>507309.29743355594</v>
      </c>
      <c r="G170" s="459">
        <v>68546.373042832376</v>
      </c>
      <c r="H170" s="459">
        <v>41127.823825699423</v>
      </c>
      <c r="I170" s="459">
        <v>142101.77223121625</v>
      </c>
      <c r="J170" s="459">
        <v>9643.6690855911329</v>
      </c>
      <c r="K170" s="459">
        <v>747475.03776538593</v>
      </c>
      <c r="L170" s="459">
        <v>206563.15270135895</v>
      </c>
      <c r="M170" s="459">
        <v>45674.297574967408</v>
      </c>
      <c r="N170" s="459">
        <v>28741.950385594726</v>
      </c>
      <c r="O170" s="473">
        <f>SUM(Taulukko8[[#This Row],[Työvoimaviranomaisille siirtyvä kotoutumiskoulutus]:[Muut palvelut]])</f>
        <v>1221327.7035698139</v>
      </c>
      <c r="P170" s="473">
        <f>Taulukko8[[#This Row],[Palvelut yhteensä]]+Taulukko8[[#This Row],[Toimintamenot yhteensä]]</f>
        <v>1728637.0010033697</v>
      </c>
      <c r="Q170" s="481">
        <v>54358.724395094461</v>
      </c>
      <c r="R170" s="481">
        <v>86973.959032151135</v>
      </c>
      <c r="S170" s="473">
        <f>Taulukko8[[#This Row],[Palvelut + toimintamenot]]-Taulukko8[[#This Row],[Poistuva velvoitetyöllistäminen]]-Taulukko8[[#This Row],[Poistuvaksi ehdotettu  palkkatuki]]</f>
        <v>1587304.3175761241</v>
      </c>
      <c r="T170" s="479">
        <f>(Taulukko8[[#This Row],[Palvelut + toimintamenot, huomioitu vuonna 2025 poistuvat tehtävät]]/$S$6)*$T$2</f>
        <v>1497296.2352264442</v>
      </c>
      <c r="U170" s="481">
        <f>Taulukko8[[#This Row],[Skaalattu siirtyvän rahoituksen tasoon ]]*0.5</f>
        <v>748648.1176132221</v>
      </c>
    </row>
    <row r="171" spans="1:21">
      <c r="A171" s="465">
        <v>543</v>
      </c>
      <c r="B171" s="456" t="s">
        <v>176</v>
      </c>
      <c r="C171" s="459">
        <v>44458</v>
      </c>
      <c r="D171" s="459">
        <v>1240505.2215448394</v>
      </c>
      <c r="E171" s="459">
        <v>265946.93261315668</v>
      </c>
      <c r="F171" s="473">
        <f>Taulukko8[[#This Row],[Siirtyvän henkilöstön ELY-keskus ja TE-toimistokohtaiset toimintamenot]]+Taulukko8[[#This Row],[Valtakunnalliset toimintamenot]]</f>
        <v>1506452.1541579962</v>
      </c>
      <c r="G171" s="459">
        <v>248480.60228026737</v>
      </c>
      <c r="H171" s="459">
        <v>149088.3613681604</v>
      </c>
      <c r="I171" s="459">
        <v>207687.20556870068</v>
      </c>
      <c r="J171" s="459">
        <v>135011.36719827584</v>
      </c>
      <c r="K171" s="459">
        <v>656645.59301492828</v>
      </c>
      <c r="L171" s="459">
        <v>427397.63907670864</v>
      </c>
      <c r="M171" s="459">
        <v>315922.98954608553</v>
      </c>
      <c r="N171" s="459">
        <v>85349.062775165032</v>
      </c>
      <c r="O171" s="473">
        <f>SUM(Taulukko8[[#This Row],[Työvoimaviranomaisille siirtyvä kotoutumiskoulutus]:[Muut palvelut]])</f>
        <v>1977102.2185480243</v>
      </c>
      <c r="P171" s="473">
        <f>Taulukko8[[#This Row],[Palvelut yhteensä]]+Taulukko8[[#This Row],[Toimintamenot yhteensä]]</f>
        <v>3483554.3727060203</v>
      </c>
      <c r="Q171" s="481">
        <v>146214.98178940034</v>
      </c>
      <c r="R171" s="481">
        <v>101225.75662343099</v>
      </c>
      <c r="S171" s="473">
        <f>Taulukko8[[#This Row],[Palvelut + toimintamenot]]-Taulukko8[[#This Row],[Poistuva velvoitetyöllistäminen]]-Taulukko8[[#This Row],[Poistuvaksi ehdotettu  palkkatuki]]</f>
        <v>3236113.6342931888</v>
      </c>
      <c r="T171" s="479">
        <f>(Taulukko8[[#This Row],[Palvelut + toimintamenot, huomioitu vuonna 2025 poistuvat tehtävät]]/$S$6)*$T$2</f>
        <v>3052609.8289654404</v>
      </c>
      <c r="U171" s="481">
        <f>Taulukko8[[#This Row],[Skaalattu siirtyvän rahoituksen tasoon ]]*0.5</f>
        <v>1526304.9144827202</v>
      </c>
    </row>
    <row r="172" spans="1:21">
      <c r="A172" s="465">
        <v>545</v>
      </c>
      <c r="B172" s="456" t="s">
        <v>177</v>
      </c>
      <c r="C172" s="459">
        <v>9584</v>
      </c>
      <c r="D172" s="459">
        <v>209148.61727376468</v>
      </c>
      <c r="E172" s="459">
        <v>44838.53212239805</v>
      </c>
      <c r="F172" s="473">
        <f>Taulukko8[[#This Row],[Siirtyvän henkilöstön ELY-keskus ja TE-toimistokohtaiset toimintamenot]]+Taulukko8[[#This Row],[Valtakunnalliset toimintamenot]]</f>
        <v>253987.14939616274</v>
      </c>
      <c r="G172" s="459">
        <v>119956.15282495666</v>
      </c>
      <c r="H172" s="459">
        <v>71973.691694973997</v>
      </c>
      <c r="I172" s="459">
        <v>43723.622224989616</v>
      </c>
      <c r="J172" s="459">
        <v>41789.232704228241</v>
      </c>
      <c r="K172" s="459">
        <v>63410.865411764702</v>
      </c>
      <c r="L172" s="459">
        <v>46928.445802324561</v>
      </c>
      <c r="M172" s="459">
        <v>33682.024064516132</v>
      </c>
      <c r="N172" s="459">
        <v>14389.813243032992</v>
      </c>
      <c r="O172" s="473">
        <f>SUM(Taulukko8[[#This Row],[Työvoimaviranomaisille siirtyvä kotoutumiskoulutus]:[Muut palvelut]])</f>
        <v>315897.69514583028</v>
      </c>
      <c r="P172" s="473">
        <f>Taulukko8[[#This Row],[Palvelut yhteensä]]+Taulukko8[[#This Row],[Toimintamenot yhteensä]]</f>
        <v>569884.84454199299</v>
      </c>
      <c r="Q172" s="481">
        <v>18771.378320929824</v>
      </c>
      <c r="R172" s="481">
        <v>18771.378320929824</v>
      </c>
      <c r="S172" s="473">
        <f>Taulukko8[[#This Row],[Palvelut + toimintamenot]]-Taulukko8[[#This Row],[Poistuva velvoitetyöllistäminen]]-Taulukko8[[#This Row],[Poistuvaksi ehdotettu  palkkatuki]]</f>
        <v>532342.08790013334</v>
      </c>
      <c r="T172" s="479">
        <f>(Taulukko8[[#This Row],[Palvelut + toimintamenot, huomioitu vuonna 2025 poistuvat tehtävät]]/$S$6)*$T$2</f>
        <v>502155.63281691156</v>
      </c>
      <c r="U172" s="481">
        <f>Taulukko8[[#This Row],[Skaalattu siirtyvän rahoituksen tasoon ]]*0.5</f>
        <v>251077.81640845578</v>
      </c>
    </row>
    <row r="173" spans="1:21">
      <c r="A173" s="465">
        <v>560</v>
      </c>
      <c r="B173" s="456" t="s">
        <v>178</v>
      </c>
      <c r="C173" s="459">
        <v>15735</v>
      </c>
      <c r="D173" s="459">
        <v>582646.57275273616</v>
      </c>
      <c r="E173" s="459">
        <v>124911.25884032213</v>
      </c>
      <c r="F173" s="473">
        <f>Taulukko8[[#This Row],[Siirtyvän henkilöstön ELY-keskus ja TE-toimistokohtaiset toimintamenot]]+Taulukko8[[#This Row],[Valtakunnalliset toimintamenot]]</f>
        <v>707557.8315930583</v>
      </c>
      <c r="G173" s="459">
        <v>59978.076412478331</v>
      </c>
      <c r="H173" s="459">
        <v>35986.845847486999</v>
      </c>
      <c r="I173" s="459">
        <v>87447.244449979233</v>
      </c>
      <c r="J173" s="459">
        <v>112509.47266522987</v>
      </c>
      <c r="K173" s="459">
        <v>608131.27283288212</v>
      </c>
      <c r="L173" s="459">
        <v>97239.633556322398</v>
      </c>
      <c r="M173" s="459">
        <v>96572.411829585806</v>
      </c>
      <c r="N173" s="459">
        <v>40087.166140002046</v>
      </c>
      <c r="O173" s="473">
        <f>SUM(Taulukko8[[#This Row],[Työvoimaviranomaisille siirtyvä kotoutumiskoulutus]:[Muut palvelut]])</f>
        <v>1077974.0473214884</v>
      </c>
      <c r="P173" s="473">
        <f>Taulukko8[[#This Row],[Palvelut yhteensä]]+Taulukko8[[#This Row],[Toimintamenot yhteensä]]</f>
        <v>1785531.8789145467</v>
      </c>
      <c r="Q173" s="481">
        <v>19447.926711264481</v>
      </c>
      <c r="R173" s="481">
        <v>48619.816778161199</v>
      </c>
      <c r="S173" s="473">
        <f>Taulukko8[[#This Row],[Palvelut + toimintamenot]]-Taulukko8[[#This Row],[Poistuva velvoitetyöllistäminen]]-Taulukko8[[#This Row],[Poistuvaksi ehdotettu  palkkatuki]]</f>
        <v>1717464.1354251211</v>
      </c>
      <c r="T173" s="479">
        <f>(Taulukko8[[#This Row],[Palvelut + toimintamenot, huomioitu vuonna 2025 poistuvat tehtävät]]/$S$6)*$T$2</f>
        <v>1620075.3413405537</v>
      </c>
      <c r="U173" s="481">
        <f>Taulukko8[[#This Row],[Skaalattu siirtyvän rahoituksen tasoon ]]*0.5</f>
        <v>810037.67067027686</v>
      </c>
    </row>
    <row r="174" spans="1:21">
      <c r="A174" s="465">
        <v>561</v>
      </c>
      <c r="B174" s="456" t="s">
        <v>179</v>
      </c>
      <c r="C174" s="459">
        <v>1317</v>
      </c>
      <c r="D174" s="459">
        <v>39480.982935194981</v>
      </c>
      <c r="E174" s="459">
        <v>8464.1693769669946</v>
      </c>
      <c r="F174" s="473">
        <f>Taulukko8[[#This Row],[Siirtyvän henkilöstön ELY-keskus ja TE-toimistokohtaiset toimintamenot]]+Taulukko8[[#This Row],[Valtakunnalliset toimintamenot]]</f>
        <v>47945.152312161976</v>
      </c>
      <c r="G174" s="459">
        <v>17136.593260708094</v>
      </c>
      <c r="H174" s="459">
        <v>10281.955956424856</v>
      </c>
      <c r="I174" s="459">
        <v>21861.811112494808</v>
      </c>
      <c r="J174" s="459">
        <v>6429.1127237274213</v>
      </c>
      <c r="K174" s="459">
        <v>33958.229934580944</v>
      </c>
      <c r="L174" s="459">
        <v>13956.505057179842</v>
      </c>
      <c r="M174" s="459">
        <v>19419.864569836871</v>
      </c>
      <c r="N174" s="459">
        <v>2716.3649394114018</v>
      </c>
      <c r="O174" s="473">
        <f>SUM(Taulukko8[[#This Row],[Työvoimaviranomaisille siirtyvä kotoutumiskoulutus]:[Muut palvelut]])</f>
        <v>108623.84429365615</v>
      </c>
      <c r="P174" s="473">
        <f>Taulukko8[[#This Row],[Palvelut yhteensä]]+Taulukko8[[#This Row],[Toimintamenot yhteensä]]</f>
        <v>156568.99660581813</v>
      </c>
      <c r="Q174" s="481">
        <v>0</v>
      </c>
      <c r="R174" s="481">
        <v>6978.252528589921</v>
      </c>
      <c r="S174" s="473">
        <f>Taulukko8[[#This Row],[Palvelut + toimintamenot]]-Taulukko8[[#This Row],[Poistuva velvoitetyöllistäminen]]-Taulukko8[[#This Row],[Poistuvaksi ehdotettu  palkkatuki]]</f>
        <v>149590.74407722821</v>
      </c>
      <c r="T174" s="479">
        <f>(Taulukko8[[#This Row],[Palvelut + toimintamenot, huomioitu vuonna 2025 poistuvat tehtävät]]/$S$6)*$T$2</f>
        <v>141108.20178047841</v>
      </c>
      <c r="U174" s="481">
        <f>Taulukko8[[#This Row],[Skaalattu siirtyvän rahoituksen tasoon ]]*0.5</f>
        <v>70554.100890239206</v>
      </c>
    </row>
    <row r="175" spans="1:21">
      <c r="A175" s="465">
        <v>562</v>
      </c>
      <c r="B175" s="456" t="s">
        <v>180</v>
      </c>
      <c r="C175" s="459">
        <v>8935</v>
      </c>
      <c r="D175" s="459">
        <v>294330.63849878742</v>
      </c>
      <c r="E175" s="459">
        <v>63100.363564245577</v>
      </c>
      <c r="F175" s="473">
        <f>Taulukko8[[#This Row],[Siirtyvän henkilöstön ELY-keskus ja TE-toimistokohtaiset toimintamenot]]+Taulukko8[[#This Row],[Valtakunnalliset toimintamenot]]</f>
        <v>357431.002063033</v>
      </c>
      <c r="G175" s="459">
        <v>17136.593260708094</v>
      </c>
      <c r="H175" s="459">
        <v>10281.955956424856</v>
      </c>
      <c r="I175" s="459">
        <v>54654.527781237019</v>
      </c>
      <c r="J175" s="459">
        <v>12858.225447454843</v>
      </c>
      <c r="K175" s="459">
        <v>246307.2326355406</v>
      </c>
      <c r="L175" s="459">
        <v>73630.574256660169</v>
      </c>
      <c r="M175" s="459">
        <v>53971.006504737757</v>
      </c>
      <c r="N175" s="459">
        <v>20250.494480469533</v>
      </c>
      <c r="O175" s="473">
        <f>SUM(Taulukko8[[#This Row],[Työvoimaviranomaisille siirtyvä kotoutumiskoulutus]:[Muut palvelut]])</f>
        <v>471954.01706252486</v>
      </c>
      <c r="P175" s="473">
        <f>Taulukko8[[#This Row],[Palvelut yhteensä]]+Taulukko8[[#This Row],[Toimintamenot yhteensä]]</f>
        <v>829385.01912555785</v>
      </c>
      <c r="Q175" s="481">
        <v>20081.065706361864</v>
      </c>
      <c r="R175" s="481">
        <v>40162.131412723727</v>
      </c>
      <c r="S175" s="473">
        <f>Taulukko8[[#This Row],[Palvelut + toimintamenot]]-Taulukko8[[#This Row],[Poistuva velvoitetyöllistäminen]]-Taulukko8[[#This Row],[Poistuvaksi ehdotettu  palkkatuki]]</f>
        <v>769141.82200647227</v>
      </c>
      <c r="T175" s="479">
        <f>(Taulukko8[[#This Row],[Palvelut + toimintamenot, huomioitu vuonna 2025 poistuvat tehtävät]]/$S$6)*$T$2</f>
        <v>725527.63934019138</v>
      </c>
      <c r="U175" s="481">
        <f>Taulukko8[[#This Row],[Skaalattu siirtyvän rahoituksen tasoon ]]*0.5</f>
        <v>362763.81967009569</v>
      </c>
    </row>
    <row r="176" spans="1:21">
      <c r="A176" s="465">
        <v>563</v>
      </c>
      <c r="B176" s="456" t="s">
        <v>181</v>
      </c>
      <c r="C176" s="459">
        <v>7025</v>
      </c>
      <c r="D176" s="459">
        <v>235597.24499463593</v>
      </c>
      <c r="E176" s="459">
        <v>50508.747202535669</v>
      </c>
      <c r="F176" s="473">
        <f>Taulukko8[[#This Row],[Siirtyvän henkilöstön ELY-keskus ja TE-toimistokohtaiset toimintamenot]]+Taulukko8[[#This Row],[Valtakunnalliset toimintamenot]]</f>
        <v>286105.99219717161</v>
      </c>
      <c r="G176" s="459">
        <v>0</v>
      </c>
      <c r="H176" s="459">
        <v>0</v>
      </c>
      <c r="I176" s="459">
        <v>32792.716668742214</v>
      </c>
      <c r="J176" s="459">
        <v>12858.225447454843</v>
      </c>
      <c r="K176" s="459">
        <v>187345.95096593085</v>
      </c>
      <c r="L176" s="459">
        <v>78975.287001829027</v>
      </c>
      <c r="M176" s="459">
        <v>40955.472614718616</v>
      </c>
      <c r="N176" s="459">
        <v>16209.527943511594</v>
      </c>
      <c r="O176" s="473">
        <f>SUM(Taulukko8[[#This Row],[Työvoimaviranomaisille siirtyvä kotoutumiskoulutus]:[Muut palvelut]])</f>
        <v>369137.18064218713</v>
      </c>
      <c r="P176" s="473">
        <f>Taulukko8[[#This Row],[Palvelut yhteensä]]+Taulukko8[[#This Row],[Toimintamenot yhteensä]]</f>
        <v>655243.17283935868</v>
      </c>
      <c r="Q176" s="481">
        <v>7897.5287001829029</v>
      </c>
      <c r="R176" s="481">
        <v>47385.172201097412</v>
      </c>
      <c r="S176" s="473">
        <f>Taulukko8[[#This Row],[Palvelut + toimintamenot]]-Taulukko8[[#This Row],[Poistuva velvoitetyöllistäminen]]-Taulukko8[[#This Row],[Poistuvaksi ehdotettu  palkkatuki]]</f>
        <v>599960.47193807841</v>
      </c>
      <c r="T176" s="479">
        <f>(Taulukko8[[#This Row],[Palvelut + toimintamenot, huomioitu vuonna 2025 poistuvat tehtävät]]/$S$6)*$T$2</f>
        <v>565939.71677046351</v>
      </c>
      <c r="U176" s="481">
        <f>Taulukko8[[#This Row],[Skaalattu siirtyvän rahoituksen tasoon ]]*0.5</f>
        <v>282969.85838523175</v>
      </c>
    </row>
    <row r="177" spans="1:21">
      <c r="A177" s="465">
        <v>564</v>
      </c>
      <c r="B177" s="456" t="s">
        <v>182</v>
      </c>
      <c r="C177" s="459">
        <v>211848</v>
      </c>
      <c r="D177" s="459">
        <v>10321643.18636265</v>
      </c>
      <c r="E177" s="459">
        <v>2212815.6312975371</v>
      </c>
      <c r="F177" s="473">
        <f>Taulukko8[[#This Row],[Siirtyvän henkilöstön ELY-keskus ja TE-toimistokohtaiset toimintamenot]]+Taulukko8[[#This Row],[Valtakunnalliset toimintamenot]]</f>
        <v>12534458.817660186</v>
      </c>
      <c r="G177" s="459">
        <v>2210620.5306313443</v>
      </c>
      <c r="H177" s="459">
        <v>1326372.3183788066</v>
      </c>
      <c r="I177" s="459">
        <v>1901977.5667870482</v>
      </c>
      <c r="J177" s="459">
        <v>771493.52684729057</v>
      </c>
      <c r="K177" s="459">
        <v>7297570.8519110205</v>
      </c>
      <c r="L177" s="459">
        <v>1666378.5557385925</v>
      </c>
      <c r="M177" s="459">
        <v>1246910.9305223664</v>
      </c>
      <c r="N177" s="459">
        <v>710148.21780327149</v>
      </c>
      <c r="O177" s="473">
        <f>SUM(Taulukko8[[#This Row],[Työvoimaviranomaisille siirtyvä kotoutumiskoulutus]:[Muut palvelut]])</f>
        <v>14920851.967988396</v>
      </c>
      <c r="P177" s="473">
        <f>Taulukko8[[#This Row],[Palvelut yhteensä]]+Taulukko8[[#This Row],[Toimintamenot yhteensä]]</f>
        <v>27455310.785648584</v>
      </c>
      <c r="Q177" s="481">
        <v>655494.88211518095</v>
      </c>
      <c r="R177" s="481">
        <v>758162.7552175587</v>
      </c>
      <c r="S177" s="473">
        <f>Taulukko8[[#This Row],[Palvelut + toimintamenot]]-Taulukko8[[#This Row],[Poistuva velvoitetyöllistäminen]]-Taulukko8[[#This Row],[Poistuvaksi ehdotettu  palkkatuki]]</f>
        <v>26041653.148315843</v>
      </c>
      <c r="T177" s="479">
        <f>(Taulukko8[[#This Row],[Palvelut + toimintamenot, huomioitu vuonna 2025 poistuvat tehtävät]]/$S$6)*$T$2</f>
        <v>24564961.353843354</v>
      </c>
      <c r="U177" s="481">
        <f>Taulukko8[[#This Row],[Skaalattu siirtyvän rahoituksen tasoon ]]*0.5</f>
        <v>12282480.676921677</v>
      </c>
    </row>
    <row r="178" spans="1:21">
      <c r="A178" s="465">
        <v>576</v>
      </c>
      <c r="B178" s="456" t="s">
        <v>183</v>
      </c>
      <c r="C178" s="459">
        <v>2750</v>
      </c>
      <c r="D178" s="459">
        <v>102517.82143590091</v>
      </c>
      <c r="E178" s="459">
        <v>21978.384028974979</v>
      </c>
      <c r="F178" s="473">
        <f>Taulukko8[[#This Row],[Siirtyvän henkilöstön ELY-keskus ja TE-toimistokohtaiset toimintamenot]]+Taulukko8[[#This Row],[Valtakunnalliset toimintamenot]]</f>
        <v>124496.20546487589</v>
      </c>
      <c r="G178" s="459">
        <v>0</v>
      </c>
      <c r="H178" s="459">
        <v>0</v>
      </c>
      <c r="I178" s="459">
        <v>0</v>
      </c>
      <c r="J178" s="459">
        <v>16072.781809318552</v>
      </c>
      <c r="K178" s="459">
        <v>103658.73968742308</v>
      </c>
      <c r="L178" s="459">
        <v>58343.780133793443</v>
      </c>
      <c r="M178" s="459">
        <v>7077.4152000000004</v>
      </c>
      <c r="N178" s="459">
        <v>7053.4164833336772</v>
      </c>
      <c r="O178" s="473">
        <f>SUM(Taulukko8[[#This Row],[Työvoimaviranomaisille siirtyvä kotoutumiskoulutus]:[Muut palvelut]])</f>
        <v>192206.13331386875</v>
      </c>
      <c r="P178" s="473">
        <f>Taulukko8[[#This Row],[Palvelut yhteensä]]+Taulukko8[[#This Row],[Toimintamenot yhteensä]]</f>
        <v>316702.33877874463</v>
      </c>
      <c r="Q178" s="481">
        <v>9723.9633556322406</v>
      </c>
      <c r="R178" s="481">
        <v>29171.890066896722</v>
      </c>
      <c r="S178" s="473">
        <f>Taulukko8[[#This Row],[Palvelut + toimintamenot]]-Taulukko8[[#This Row],[Poistuva velvoitetyöllistäminen]]-Taulukko8[[#This Row],[Poistuvaksi ehdotettu  palkkatuki]]</f>
        <v>277806.48535621562</v>
      </c>
      <c r="T178" s="479">
        <f>(Taulukko8[[#This Row],[Palvelut + toimintamenot, huomioitu vuonna 2025 poistuvat tehtävät]]/$S$6)*$T$2</f>
        <v>262053.47017548408</v>
      </c>
      <c r="U178" s="481">
        <f>Taulukko8[[#This Row],[Skaalattu siirtyvän rahoituksen tasoon ]]*0.5</f>
        <v>131026.73508774204</v>
      </c>
    </row>
    <row r="179" spans="1:21">
      <c r="A179" s="465">
        <v>577</v>
      </c>
      <c r="B179" s="456" t="s">
        <v>184</v>
      </c>
      <c r="C179" s="459">
        <v>11138</v>
      </c>
      <c r="D179" s="459">
        <v>247513.5615687744</v>
      </c>
      <c r="E179" s="459">
        <v>53063.438457275297</v>
      </c>
      <c r="F179" s="473">
        <f>Taulukko8[[#This Row],[Siirtyvän henkilöstön ELY-keskus ja TE-toimistokohtaiset toimintamenot]]+Taulukko8[[#This Row],[Valtakunnalliset toimintamenot]]</f>
        <v>300577.00002604967</v>
      </c>
      <c r="G179" s="459">
        <v>59978.076412478331</v>
      </c>
      <c r="H179" s="459">
        <v>35986.845847486999</v>
      </c>
      <c r="I179" s="459">
        <v>131170.86667496886</v>
      </c>
      <c r="J179" s="459">
        <v>28931.007256773395</v>
      </c>
      <c r="K179" s="459">
        <v>230915.96355515043</v>
      </c>
      <c r="L179" s="459">
        <v>167478.0606861581</v>
      </c>
      <c r="M179" s="459">
        <v>68133.647442527392</v>
      </c>
      <c r="N179" s="459">
        <v>17029.392651592647</v>
      </c>
      <c r="O179" s="473">
        <f>SUM(Taulukko8[[#This Row],[Työvoimaviranomaisille siirtyvä kotoutumiskoulutus]:[Muut palvelut]])</f>
        <v>679645.78411465778</v>
      </c>
      <c r="P179" s="473">
        <f>Taulukko8[[#This Row],[Palvelut yhteensä]]+Taulukko8[[#This Row],[Toimintamenot yhteensä]]</f>
        <v>980222.78414070746</v>
      </c>
      <c r="Q179" s="481">
        <v>13956.505057179842</v>
      </c>
      <c r="R179" s="481">
        <v>90717.282871668969</v>
      </c>
      <c r="S179" s="473">
        <f>Taulukko8[[#This Row],[Palvelut + toimintamenot]]-Taulukko8[[#This Row],[Poistuva velvoitetyöllistäminen]]-Taulukko8[[#This Row],[Poistuvaksi ehdotettu  palkkatuki]]</f>
        <v>875548.9962118587</v>
      </c>
      <c r="T179" s="479">
        <f>(Taulukko8[[#This Row],[Palvelut + toimintamenot, huomioitu vuonna 2025 poistuvat tehtävät]]/$S$6)*$T$2</f>
        <v>825900.99533414608</v>
      </c>
      <c r="U179" s="481">
        <f>Taulukko8[[#This Row],[Skaalattu siirtyvän rahoituksen tasoon ]]*0.5</f>
        <v>412950.49766707304</v>
      </c>
    </row>
    <row r="180" spans="1:21">
      <c r="A180" s="465">
        <v>578</v>
      </c>
      <c r="B180" s="456" t="s">
        <v>185</v>
      </c>
      <c r="C180" s="459">
        <v>3100</v>
      </c>
      <c r="D180" s="459">
        <v>111532.43754555759</v>
      </c>
      <c r="E180" s="459">
        <v>23910.991374281253</v>
      </c>
      <c r="F180" s="473">
        <f>Taulukko8[[#This Row],[Siirtyvän henkilöstön ELY-keskus ja TE-toimistokohtaiset toimintamenot]]+Taulukko8[[#This Row],[Valtakunnalliset toimintamenot]]</f>
        <v>135443.42891983886</v>
      </c>
      <c r="G180" s="459">
        <v>17136.593260708094</v>
      </c>
      <c r="H180" s="459">
        <v>10281.955956424856</v>
      </c>
      <c r="I180" s="459">
        <v>32792.716668742214</v>
      </c>
      <c r="J180" s="459">
        <v>6429.1127237274213</v>
      </c>
      <c r="K180" s="459">
        <v>207102.63939473685</v>
      </c>
      <c r="L180" s="459">
        <v>64627.008481517354</v>
      </c>
      <c r="M180" s="459">
        <v>6794.6134482758616</v>
      </c>
      <c r="N180" s="459">
        <v>7673.6388112001878</v>
      </c>
      <c r="O180" s="473">
        <f>SUM(Taulukko8[[#This Row],[Työvoimaviranomaisille siirtyvä kotoutumiskoulutus]:[Muut palvelut]])</f>
        <v>335701.6854846247</v>
      </c>
      <c r="P180" s="473">
        <f>Taulukko8[[#This Row],[Palvelut yhteensä]]+Taulukko8[[#This Row],[Toimintamenot yhteensä]]</f>
        <v>471145.11440446356</v>
      </c>
      <c r="Q180" s="481">
        <v>8078.3760601896693</v>
      </c>
      <c r="R180" s="481">
        <v>16156.752120379339</v>
      </c>
      <c r="S180" s="473">
        <f>Taulukko8[[#This Row],[Palvelut + toimintamenot]]-Taulukko8[[#This Row],[Poistuva velvoitetyöllistäminen]]-Taulukko8[[#This Row],[Poistuvaksi ehdotettu  palkkatuki]]</f>
        <v>446909.98622389452</v>
      </c>
      <c r="T180" s="479">
        <f>(Taulukko8[[#This Row],[Palvelut + toimintamenot, huomioitu vuonna 2025 poistuvat tehtävät]]/$S$6)*$T$2</f>
        <v>421567.95798298321</v>
      </c>
      <c r="U180" s="481">
        <f>Taulukko8[[#This Row],[Skaalattu siirtyvän rahoituksen tasoon ]]*0.5</f>
        <v>210783.9789914916</v>
      </c>
    </row>
    <row r="181" spans="1:21">
      <c r="A181" s="465">
        <v>580</v>
      </c>
      <c r="B181" s="456" t="s">
        <v>186</v>
      </c>
      <c r="C181" s="459">
        <v>4438</v>
      </c>
      <c r="D181" s="459">
        <v>143790.41840147335</v>
      </c>
      <c r="E181" s="459">
        <v>30826.650342843386</v>
      </c>
      <c r="F181" s="473">
        <f>Taulukko8[[#This Row],[Siirtyvän henkilöstön ELY-keskus ja TE-toimistokohtaiset toimintamenot]]+Taulukko8[[#This Row],[Valtakunnalliset toimintamenot]]</f>
        <v>174617.06874431673</v>
      </c>
      <c r="G181" s="459">
        <v>8568.296630354047</v>
      </c>
      <c r="H181" s="459">
        <v>5140.9779782124278</v>
      </c>
      <c r="I181" s="459">
        <v>10930.905556247404</v>
      </c>
      <c r="J181" s="459">
        <v>12858.225447454843</v>
      </c>
      <c r="K181" s="459">
        <v>205206.61632255552</v>
      </c>
      <c r="L181" s="459">
        <v>31278.059037224022</v>
      </c>
      <c r="M181" s="459">
        <v>6763.376153846154</v>
      </c>
      <c r="N181" s="459">
        <v>9893.0477949390825</v>
      </c>
      <c r="O181" s="473">
        <f>SUM(Taulukko8[[#This Row],[Työvoimaviranomaisille siirtyvä kotoutumiskoulutus]:[Muut palvelut]])</f>
        <v>282071.20829047944</v>
      </c>
      <c r="P181" s="473">
        <f>Taulukko8[[#This Row],[Palvelut yhteensä]]+Taulukko8[[#This Row],[Toimintamenot yhteensä]]</f>
        <v>456688.27703479619</v>
      </c>
      <c r="Q181" s="481">
        <v>0</v>
      </c>
      <c r="R181" s="481">
        <v>20852.039358149348</v>
      </c>
      <c r="S181" s="473">
        <f>Taulukko8[[#This Row],[Palvelut + toimintamenot]]-Taulukko8[[#This Row],[Poistuva velvoitetyöllistäminen]]-Taulukko8[[#This Row],[Poistuvaksi ehdotettu  palkkatuki]]</f>
        <v>435836.23767664685</v>
      </c>
      <c r="T181" s="479">
        <f>(Taulukko8[[#This Row],[Palvelut + toimintamenot, huomioitu vuonna 2025 poistuvat tehtävät]]/$S$6)*$T$2</f>
        <v>411122.14628446935</v>
      </c>
      <c r="U181" s="481">
        <f>Taulukko8[[#This Row],[Skaalattu siirtyvän rahoituksen tasoon ]]*0.5</f>
        <v>205561.07314223467</v>
      </c>
    </row>
    <row r="182" spans="1:21">
      <c r="A182" s="465">
        <v>581</v>
      </c>
      <c r="B182" s="456" t="s">
        <v>187</v>
      </c>
      <c r="C182" s="459">
        <v>6240</v>
      </c>
      <c r="D182" s="459">
        <v>225829.67481573424</v>
      </c>
      <c r="E182" s="459">
        <v>48414.717058166178</v>
      </c>
      <c r="F182" s="473">
        <f>Taulukko8[[#This Row],[Siirtyvän henkilöstön ELY-keskus ja TE-toimistokohtaiset toimintamenot]]+Taulukko8[[#This Row],[Valtakunnalliset toimintamenot]]</f>
        <v>274244.39187390043</v>
      </c>
      <c r="G182" s="459">
        <v>25704.889891062143</v>
      </c>
      <c r="H182" s="459">
        <v>15422.933934637285</v>
      </c>
      <c r="I182" s="459">
        <v>10930.905556247404</v>
      </c>
      <c r="J182" s="459">
        <v>6429.1127237274213</v>
      </c>
      <c r="K182" s="459">
        <v>357542.75705159118</v>
      </c>
      <c r="L182" s="459">
        <v>120486.39423817118</v>
      </c>
      <c r="M182" s="459">
        <v>30103.906081008943</v>
      </c>
      <c r="N182" s="459">
        <v>15537.500977497104</v>
      </c>
      <c r="O182" s="473">
        <f>SUM(Taulukko8[[#This Row],[Työvoimaviranomaisille siirtyvä kotoutumiskoulutus]:[Muut palvelut]])</f>
        <v>556453.51056288043</v>
      </c>
      <c r="P182" s="473">
        <f>Taulukko8[[#This Row],[Palvelut yhteensä]]+Taulukko8[[#This Row],[Toimintamenot yhteensä]]</f>
        <v>830697.90243678086</v>
      </c>
      <c r="Q182" s="481">
        <v>13387.377137574575</v>
      </c>
      <c r="R182" s="481">
        <v>60243.197119085591</v>
      </c>
      <c r="S182" s="473">
        <f>Taulukko8[[#This Row],[Palvelut + toimintamenot]]-Taulukko8[[#This Row],[Poistuva velvoitetyöllistäminen]]-Taulukko8[[#This Row],[Poistuvaksi ehdotettu  palkkatuki]]</f>
        <v>757067.32818012068</v>
      </c>
      <c r="T182" s="479">
        <f>(Taulukko8[[#This Row],[Palvelut + toimintamenot, huomioitu vuonna 2025 poistuvat tehtävät]]/$S$6)*$T$2</f>
        <v>714137.82961796445</v>
      </c>
      <c r="U182" s="481">
        <f>Taulukko8[[#This Row],[Skaalattu siirtyvän rahoituksen tasoon ]]*0.5</f>
        <v>357068.91480898223</v>
      </c>
    </row>
    <row r="183" spans="1:21">
      <c r="A183" s="465">
        <v>583</v>
      </c>
      <c r="B183" s="456" t="s">
        <v>188</v>
      </c>
      <c r="C183" s="459">
        <v>947</v>
      </c>
      <c r="D183" s="459">
        <v>41686.275288201126</v>
      </c>
      <c r="E183" s="459">
        <v>8936.953148136341</v>
      </c>
      <c r="F183" s="473">
        <f>Taulukko8[[#This Row],[Siirtyvän henkilöstön ELY-keskus ja TE-toimistokohtaiset toimintamenot]]+Taulukko8[[#This Row],[Valtakunnalliset toimintamenot]]</f>
        <v>50623.228436337464</v>
      </c>
      <c r="G183" s="459">
        <v>0</v>
      </c>
      <c r="H183" s="459">
        <v>0</v>
      </c>
      <c r="I183" s="459">
        <v>0</v>
      </c>
      <c r="J183" s="459">
        <v>6429.1127237274213</v>
      </c>
      <c r="K183" s="459">
        <v>8503.7053007164413</v>
      </c>
      <c r="L183" s="459">
        <v>57921.000841022324</v>
      </c>
      <c r="M183" s="459">
        <v>19951.157851851851</v>
      </c>
      <c r="N183" s="459">
        <v>2868.0931483744539</v>
      </c>
      <c r="O183" s="473">
        <f>SUM(Taulukko8[[#This Row],[Työvoimaviranomaisille siirtyvä kotoutumiskoulutus]:[Muut palvelut]])</f>
        <v>95673.069865692494</v>
      </c>
      <c r="P183" s="473">
        <f>Taulukko8[[#This Row],[Palvelut yhteensä]]+Taulukko8[[#This Row],[Toimintamenot yhteensä]]</f>
        <v>146296.29830202996</v>
      </c>
      <c r="Q183" s="481">
        <v>9653.5001401703867</v>
      </c>
      <c r="R183" s="481">
        <v>19307.000280340773</v>
      </c>
      <c r="S183" s="473">
        <f>Taulukko8[[#This Row],[Palvelut + toimintamenot]]-Taulukko8[[#This Row],[Poistuva velvoitetyöllistäminen]]-Taulukko8[[#This Row],[Poistuvaksi ehdotettu  palkkatuki]]</f>
        <v>117335.7978815188</v>
      </c>
      <c r="T183" s="479">
        <f>(Taulukko8[[#This Row],[Palvelut + toimintamenot, huomioitu vuonna 2025 poistuvat tehtävät]]/$S$6)*$T$2</f>
        <v>110682.27212634888</v>
      </c>
      <c r="U183" s="481">
        <f>Taulukko8[[#This Row],[Skaalattu siirtyvän rahoituksen tasoon ]]*0.5</f>
        <v>55341.136063174439</v>
      </c>
    </row>
    <row r="184" spans="1:21">
      <c r="A184" s="465">
        <v>584</v>
      </c>
      <c r="B184" s="456" t="s">
        <v>189</v>
      </c>
      <c r="C184" s="459">
        <v>2653</v>
      </c>
      <c r="D184" s="459">
        <v>72221.092483670785</v>
      </c>
      <c r="E184" s="459">
        <v>15483.1899797119</v>
      </c>
      <c r="F184" s="473">
        <f>Taulukko8[[#This Row],[Siirtyvän henkilöstön ELY-keskus ja TE-toimistokohtaiset toimintamenot]]+Taulukko8[[#This Row],[Valtakunnalliset toimintamenot]]</f>
        <v>87704.282463382682</v>
      </c>
      <c r="G184" s="459">
        <v>0</v>
      </c>
      <c r="H184" s="459">
        <v>0</v>
      </c>
      <c r="I184" s="459">
        <v>0</v>
      </c>
      <c r="J184" s="459">
        <v>0</v>
      </c>
      <c r="K184" s="459">
        <v>71337.223588235283</v>
      </c>
      <c r="L184" s="459">
        <v>28157.067481394733</v>
      </c>
      <c r="M184" s="459">
        <v>16295.56546451613</v>
      </c>
      <c r="N184" s="459">
        <v>4968.9452724782514</v>
      </c>
      <c r="O184" s="473">
        <f>SUM(Taulukko8[[#This Row],[Työvoimaviranomaisille siirtyvä kotoutumiskoulutus]:[Muut palvelut]])</f>
        <v>120758.80180662438</v>
      </c>
      <c r="P184" s="473">
        <f>Taulukko8[[#This Row],[Palvelut yhteensä]]+Taulukko8[[#This Row],[Toimintamenot yhteensä]]</f>
        <v>208463.08427000706</v>
      </c>
      <c r="Q184" s="481">
        <v>0</v>
      </c>
      <c r="R184" s="481">
        <v>18771.37832092982</v>
      </c>
      <c r="S184" s="473">
        <f>Taulukko8[[#This Row],[Palvelut + toimintamenot]]-Taulukko8[[#This Row],[Poistuva velvoitetyöllistäminen]]-Taulukko8[[#This Row],[Poistuvaksi ehdotettu  palkkatuki]]</f>
        <v>189691.70594907724</v>
      </c>
      <c r="T184" s="479">
        <f>(Taulukko8[[#This Row],[Palvelut + toimintamenot, huomioitu vuonna 2025 poistuvat tehtävät]]/$S$6)*$T$2</f>
        <v>178935.23883621249</v>
      </c>
      <c r="U184" s="481">
        <f>Taulukko8[[#This Row],[Skaalattu siirtyvän rahoituksen tasoon ]]*0.5</f>
        <v>89467.619418106246</v>
      </c>
    </row>
    <row r="185" spans="1:21">
      <c r="A185" s="465">
        <v>588</v>
      </c>
      <c r="B185" s="456" t="s">
        <v>190</v>
      </c>
      <c r="C185" s="459">
        <v>1600</v>
      </c>
      <c r="D185" s="459">
        <v>53367.479722140539</v>
      </c>
      <c r="E185" s="459">
        <v>11441.23965534239</v>
      </c>
      <c r="F185" s="473">
        <f>Taulukko8[[#This Row],[Siirtyvän henkilöstön ELY-keskus ja TE-toimistokohtaiset toimintamenot]]+Taulukko8[[#This Row],[Valtakunnalliset toimintamenot]]</f>
        <v>64808.719377482928</v>
      </c>
      <c r="G185" s="459">
        <v>8568.296630354047</v>
      </c>
      <c r="H185" s="459">
        <v>5140.9779782124278</v>
      </c>
      <c r="I185" s="459">
        <v>10930.905556247404</v>
      </c>
      <c r="J185" s="459">
        <v>6429.1127237274213</v>
      </c>
      <c r="K185" s="459">
        <v>62401.108316993457</v>
      </c>
      <c r="L185" s="459">
        <v>25381.338863232901</v>
      </c>
      <c r="M185" s="459">
        <v>15652.330182720954</v>
      </c>
      <c r="N185" s="459">
        <v>3671.7817046227392</v>
      </c>
      <c r="O185" s="473">
        <f>SUM(Taulukko8[[#This Row],[Työvoimaviranomaisille siirtyvä kotoutumiskoulutus]:[Muut palvelut]])</f>
        <v>129607.5553257573</v>
      </c>
      <c r="P185" s="473">
        <f>Taulukko8[[#This Row],[Palvelut yhteensä]]+Taulukko8[[#This Row],[Toimintamenot yhteensä]]</f>
        <v>194416.27470324023</v>
      </c>
      <c r="Q185" s="481">
        <v>0</v>
      </c>
      <c r="R185" s="481">
        <v>16920.8925754886</v>
      </c>
      <c r="S185" s="473">
        <f>Taulukko8[[#This Row],[Palvelut + toimintamenot]]-Taulukko8[[#This Row],[Poistuva velvoitetyöllistäminen]]-Taulukko8[[#This Row],[Poistuvaksi ehdotettu  palkkatuki]]</f>
        <v>177495.38212775163</v>
      </c>
      <c r="T185" s="479">
        <f>(Taulukko8[[#This Row],[Palvelut + toimintamenot, huomioitu vuonna 2025 poistuvat tehtävät]]/$S$6)*$T$2</f>
        <v>167430.50748818752</v>
      </c>
      <c r="U185" s="481">
        <f>Taulukko8[[#This Row],[Skaalattu siirtyvän rahoituksen tasoon ]]*0.5</f>
        <v>83715.253744093759</v>
      </c>
    </row>
    <row r="186" spans="1:21">
      <c r="A186" s="465">
        <v>592</v>
      </c>
      <c r="B186" s="456" t="s">
        <v>191</v>
      </c>
      <c r="C186" s="459">
        <v>3651</v>
      </c>
      <c r="D186" s="459">
        <v>150602.71826116441</v>
      </c>
      <c r="E186" s="459">
        <v>32287.11195175922</v>
      </c>
      <c r="F186" s="473">
        <f>Taulukko8[[#This Row],[Siirtyvän henkilöstön ELY-keskus ja TE-toimistokohtaiset toimintamenot]]+Taulukko8[[#This Row],[Valtakunnalliset toimintamenot]]</f>
        <v>182889.83021292364</v>
      </c>
      <c r="G186" s="459">
        <v>8568.296630354047</v>
      </c>
      <c r="H186" s="459">
        <v>5140.9779782124278</v>
      </c>
      <c r="I186" s="459">
        <v>32792.716668742214</v>
      </c>
      <c r="J186" s="459">
        <v>19287.338171182266</v>
      </c>
      <c r="K186" s="459">
        <v>148328.43790886097</v>
      </c>
      <c r="L186" s="459">
        <v>86408.389898352005</v>
      </c>
      <c r="M186" s="459">
        <v>16387.096746505125</v>
      </c>
      <c r="N186" s="459">
        <v>10361.746675258148</v>
      </c>
      <c r="O186" s="473">
        <f>SUM(Taulukko8[[#This Row],[Työvoimaviranomaisille siirtyvä kotoutumiskoulutus]:[Muut palvelut]])</f>
        <v>318706.70404711319</v>
      </c>
      <c r="P186" s="473">
        <f>Taulukko8[[#This Row],[Palvelut yhteensä]]+Taulukko8[[#This Row],[Toimintamenot yhteensä]]</f>
        <v>501596.53426003683</v>
      </c>
      <c r="Q186" s="481">
        <v>19201.864421856</v>
      </c>
      <c r="R186" s="481">
        <v>57605.593265568001</v>
      </c>
      <c r="S186" s="473">
        <f>Taulukko8[[#This Row],[Palvelut + toimintamenot]]-Taulukko8[[#This Row],[Poistuva velvoitetyöllistäminen]]-Taulukko8[[#This Row],[Poistuvaksi ehdotettu  palkkatuki]]</f>
        <v>424789.0765726128</v>
      </c>
      <c r="T186" s="479">
        <f>(Taulukko8[[#This Row],[Palvelut + toimintamenot, huomioitu vuonna 2025 poistuvat tehtävät]]/$S$6)*$T$2</f>
        <v>400701.41438835202</v>
      </c>
      <c r="U186" s="481">
        <f>Taulukko8[[#This Row],[Skaalattu siirtyvän rahoituksen tasoon ]]*0.5</f>
        <v>200350.70719417601</v>
      </c>
    </row>
    <row r="187" spans="1:21">
      <c r="A187" s="465">
        <v>593</v>
      </c>
      <c r="B187" s="456" t="s">
        <v>192</v>
      </c>
      <c r="C187" s="459">
        <v>17077</v>
      </c>
      <c r="D187" s="459">
        <v>575358.0964065661</v>
      </c>
      <c r="E187" s="459">
        <v>123348.71166678134</v>
      </c>
      <c r="F187" s="473">
        <f>Taulukko8[[#This Row],[Siirtyvän henkilöstön ELY-keskus ja TE-toimistokohtaiset toimintamenot]]+Taulukko8[[#This Row],[Valtakunnalliset toimintamenot]]</f>
        <v>698706.80807334743</v>
      </c>
      <c r="G187" s="459">
        <v>102819.55956424857</v>
      </c>
      <c r="H187" s="459">
        <v>61691.735738549141</v>
      </c>
      <c r="I187" s="459">
        <v>306065.35557492729</v>
      </c>
      <c r="J187" s="459">
        <v>170371.48717877668</v>
      </c>
      <c r="K187" s="459">
        <v>585010.39047181362</v>
      </c>
      <c r="L187" s="459">
        <v>84604.462877443002</v>
      </c>
      <c r="M187" s="459">
        <v>98385.75732869911</v>
      </c>
      <c r="N187" s="459">
        <v>39585.705433186238</v>
      </c>
      <c r="O187" s="473">
        <f>SUM(Taulukko8[[#This Row],[Työvoimaviranomaisille siirtyvä kotoutumiskoulutus]:[Muut palvelut]])</f>
        <v>1345714.8946033951</v>
      </c>
      <c r="P187" s="473">
        <f>Taulukko8[[#This Row],[Palvelut yhteensä]]+Taulukko8[[#This Row],[Toimintamenot yhteensä]]</f>
        <v>2044421.7026767426</v>
      </c>
      <c r="Q187" s="481">
        <v>33841.785150977201</v>
      </c>
      <c r="R187" s="481">
        <v>8460.4462877443002</v>
      </c>
      <c r="S187" s="473">
        <f>Taulukko8[[#This Row],[Palvelut + toimintamenot]]-Taulukko8[[#This Row],[Poistuva velvoitetyöllistäminen]]-Taulukko8[[#This Row],[Poistuvaksi ehdotettu  palkkatuki]]</f>
        <v>2002119.4712380213</v>
      </c>
      <c r="T187" s="479">
        <f>(Taulukko8[[#This Row],[Palvelut + toimintamenot, huomioitu vuonna 2025 poistuvat tehtävät]]/$S$6)*$T$2</f>
        <v>1888589.297946316</v>
      </c>
      <c r="U187" s="481">
        <f>Taulukko8[[#This Row],[Skaalattu siirtyvän rahoituksen tasoon ]]*0.5</f>
        <v>944294.64897315798</v>
      </c>
    </row>
    <row r="188" spans="1:21">
      <c r="A188" s="465">
        <v>595</v>
      </c>
      <c r="B188" s="456" t="s">
        <v>193</v>
      </c>
      <c r="C188" s="459">
        <v>4140</v>
      </c>
      <c r="D188" s="459">
        <v>117838.79988836464</v>
      </c>
      <c r="E188" s="459">
        <v>25262.987070783067</v>
      </c>
      <c r="F188" s="473">
        <f>Taulukko8[[#This Row],[Siirtyvän henkilöstön ELY-keskus ja TE-toimistokohtaiset toimintamenot]]+Taulukko8[[#This Row],[Valtakunnalliset toimintamenot]]</f>
        <v>143101.78695914769</v>
      </c>
      <c r="G188" s="459">
        <v>0</v>
      </c>
      <c r="H188" s="459">
        <v>0</v>
      </c>
      <c r="I188" s="459">
        <v>32792.716668742214</v>
      </c>
      <c r="J188" s="459">
        <v>19287.338171182266</v>
      </c>
      <c r="K188" s="459">
        <v>78951.459095022627</v>
      </c>
      <c r="L188" s="459">
        <v>37934.033201141603</v>
      </c>
      <c r="M188" s="459">
        <v>31904.014165348104</v>
      </c>
      <c r="N188" s="459">
        <v>8107.5282508664595</v>
      </c>
      <c r="O188" s="473">
        <f>SUM(Taulukko8[[#This Row],[Työvoimaviranomaisille siirtyvä kotoutumiskoulutus]:[Muut palvelut]])</f>
        <v>208977.08955230328</v>
      </c>
      <c r="P188" s="473">
        <f>Taulukko8[[#This Row],[Palvelut yhteensä]]+Taulukko8[[#This Row],[Toimintamenot yhteensä]]</f>
        <v>352078.87651145097</v>
      </c>
      <c r="Q188" s="481">
        <v>7586.8066402283212</v>
      </c>
      <c r="R188" s="481">
        <v>22760.419920684963</v>
      </c>
      <c r="S188" s="473">
        <f>Taulukko8[[#This Row],[Palvelut + toimintamenot]]-Taulukko8[[#This Row],[Poistuva velvoitetyöllistäminen]]-Taulukko8[[#This Row],[Poistuvaksi ehdotettu  palkkatuki]]</f>
        <v>321731.64995053771</v>
      </c>
      <c r="T188" s="479">
        <f>(Taulukko8[[#This Row],[Palvelut + toimintamenot, huomioitu vuonna 2025 poistuvat tehtävät]]/$S$6)*$T$2</f>
        <v>303487.85855994473</v>
      </c>
      <c r="U188" s="481">
        <f>Taulukko8[[#This Row],[Skaalattu siirtyvän rahoituksen tasoon ]]*0.5</f>
        <v>151743.92927997236</v>
      </c>
    </row>
    <row r="189" spans="1:21">
      <c r="A189" s="465">
        <v>598</v>
      </c>
      <c r="B189" s="456" t="s">
        <v>194</v>
      </c>
      <c r="C189" s="459">
        <v>19207</v>
      </c>
      <c r="D189" s="459">
        <v>725097.74478598719</v>
      </c>
      <c r="E189" s="459">
        <v>155450.79353265782</v>
      </c>
      <c r="F189" s="473">
        <f>Taulukko8[[#This Row],[Siirtyvän henkilöstön ELY-keskus ja TE-toimistokohtaiset toimintamenot]]+Taulukko8[[#This Row],[Valtakunnalliset toimintamenot]]</f>
        <v>880548.53831864498</v>
      </c>
      <c r="G189" s="459">
        <v>531234.39108195086</v>
      </c>
      <c r="H189" s="459">
        <v>318740.6346491705</v>
      </c>
      <c r="I189" s="459">
        <v>295134.4500186799</v>
      </c>
      <c r="J189" s="459">
        <v>157513.26173132184</v>
      </c>
      <c r="K189" s="459">
        <v>396317.90882352937</v>
      </c>
      <c r="L189" s="459">
        <v>112628.26992557893</v>
      </c>
      <c r="M189" s="459">
        <v>55773.075729032265</v>
      </c>
      <c r="N189" s="459">
        <v>49888.071297919036</v>
      </c>
      <c r="O189" s="473">
        <f>SUM(Taulukko8[[#This Row],[Työvoimaviranomaisille siirtyvä kotoutumiskoulutus]:[Muut palvelut]])</f>
        <v>1385995.6721752319</v>
      </c>
      <c r="P189" s="473">
        <f>Taulukko8[[#This Row],[Palvelut yhteensä]]+Taulukko8[[#This Row],[Toimintamenot yhteensä]]</f>
        <v>2266544.2104938766</v>
      </c>
      <c r="Q189" s="481">
        <v>0</v>
      </c>
      <c r="R189" s="481">
        <v>84471.202444184193</v>
      </c>
      <c r="S189" s="473">
        <f>Taulukko8[[#This Row],[Palvelut + toimintamenot]]-Taulukko8[[#This Row],[Poistuva velvoitetyöllistäminen]]-Taulukko8[[#This Row],[Poistuvaksi ehdotettu  palkkatuki]]</f>
        <v>2182073.0080496925</v>
      </c>
      <c r="T189" s="479">
        <f>(Taulukko8[[#This Row],[Palvelut + toimintamenot, huomioitu vuonna 2025 poistuvat tehtävät]]/$S$6)*$T$2</f>
        <v>2058338.5704709757</v>
      </c>
      <c r="U189" s="481">
        <f>Taulukko8[[#This Row],[Skaalattu siirtyvän rahoituksen tasoon ]]*0.5</f>
        <v>1029169.2852354879</v>
      </c>
    </row>
    <row r="190" spans="1:21">
      <c r="A190" s="465">
        <v>599</v>
      </c>
      <c r="B190" s="456" t="s">
        <v>195</v>
      </c>
      <c r="C190" s="459">
        <v>11206</v>
      </c>
      <c r="D190" s="459">
        <v>137067.40163299715</v>
      </c>
      <c r="E190" s="459">
        <v>29385.329777294734</v>
      </c>
      <c r="F190" s="473">
        <f>Taulukko8[[#This Row],[Siirtyvän henkilöstön ELY-keskus ja TE-toimistokohtaiset toimintamenot]]+Taulukko8[[#This Row],[Valtakunnalliset toimintamenot]]</f>
        <v>166452.73141029189</v>
      </c>
      <c r="G190" s="459">
        <v>25704.889891062143</v>
      </c>
      <c r="H190" s="459">
        <v>15422.933934637285</v>
      </c>
      <c r="I190" s="459">
        <v>43723.622224989616</v>
      </c>
      <c r="J190" s="459">
        <v>19287.338171182266</v>
      </c>
      <c r="K190" s="459">
        <v>63410.865411764702</v>
      </c>
      <c r="L190" s="459">
        <v>103242.58076511403</v>
      </c>
      <c r="M190" s="459">
        <v>91636.886064516133</v>
      </c>
      <c r="N190" s="459">
        <v>9430.4917570881589</v>
      </c>
      <c r="O190" s="473">
        <f>SUM(Taulukko8[[#This Row],[Työvoimaviranomaisille siirtyvä kotoutumiskoulutus]:[Muut palvelut]])</f>
        <v>346154.7183292922</v>
      </c>
      <c r="P190" s="473">
        <f>Taulukko8[[#This Row],[Palvelut yhteensä]]+Taulukko8[[#This Row],[Toimintamenot yhteensä]]</f>
        <v>512607.44973958412</v>
      </c>
      <c r="Q190" s="481">
        <v>0</v>
      </c>
      <c r="R190" s="481">
        <v>46928.445802324561</v>
      </c>
      <c r="S190" s="473">
        <f>Taulukko8[[#This Row],[Palvelut + toimintamenot]]-Taulukko8[[#This Row],[Poistuva velvoitetyöllistäminen]]-Taulukko8[[#This Row],[Poistuvaksi ehdotettu  palkkatuki]]</f>
        <v>465679.00393725955</v>
      </c>
      <c r="T190" s="479">
        <f>(Taulukko8[[#This Row],[Palvelut + toimintamenot, huomioitu vuonna 2025 poistuvat tehtävät]]/$S$6)*$T$2</f>
        <v>439272.67865307746</v>
      </c>
      <c r="U190" s="481">
        <f>Taulukko8[[#This Row],[Skaalattu siirtyvän rahoituksen tasoon ]]*0.5</f>
        <v>219636.33932653873</v>
      </c>
    </row>
    <row r="191" spans="1:21">
      <c r="A191" s="465">
        <v>601</v>
      </c>
      <c r="B191" s="456" t="s">
        <v>196</v>
      </c>
      <c r="C191" s="459">
        <v>3786</v>
      </c>
      <c r="D191" s="459">
        <v>141852.97532211168</v>
      </c>
      <c r="E191" s="459">
        <v>30411.289701775579</v>
      </c>
      <c r="F191" s="473">
        <f>Taulukko8[[#This Row],[Siirtyvän henkilöstön ELY-keskus ja TE-toimistokohtaiset toimintamenot]]+Taulukko8[[#This Row],[Valtakunnalliset toimintamenot]]</f>
        <v>172264.26502388727</v>
      </c>
      <c r="G191" s="459">
        <v>25704.889891062143</v>
      </c>
      <c r="H191" s="459">
        <v>15422.933934637285</v>
      </c>
      <c r="I191" s="459">
        <v>21861.811112494808</v>
      </c>
      <c r="J191" s="459">
        <v>54647.45815168308</v>
      </c>
      <c r="K191" s="459">
        <v>242009.5565881416</v>
      </c>
      <c r="L191" s="459">
        <v>76807.457687424001</v>
      </c>
      <c r="M191" s="459">
        <v>39845.814508387695</v>
      </c>
      <c r="N191" s="459">
        <v>9759.7481133804504</v>
      </c>
      <c r="O191" s="473">
        <f>SUM(Taulukko8[[#This Row],[Työvoimaviranomaisille siirtyvä kotoutumiskoulutus]:[Muut palvelut]])</f>
        <v>460354.7800961489</v>
      </c>
      <c r="P191" s="473">
        <f>Taulukko8[[#This Row],[Palvelut yhteensä]]+Taulukko8[[#This Row],[Toimintamenot yhteensä]]</f>
        <v>632619.04512003623</v>
      </c>
      <c r="Q191" s="481">
        <v>19201.864421856</v>
      </c>
      <c r="R191" s="481">
        <v>57605.593265568001</v>
      </c>
      <c r="S191" s="473">
        <f>Taulukko8[[#This Row],[Palvelut + toimintamenot]]-Taulukko8[[#This Row],[Poistuva velvoitetyöllistäminen]]-Taulukko8[[#This Row],[Poistuvaksi ehdotettu  palkkatuki]]</f>
        <v>555811.5874326122</v>
      </c>
      <c r="T191" s="479">
        <f>(Taulukko8[[#This Row],[Palvelut + toimintamenot, huomioitu vuonna 2025 poistuvat tehtävät]]/$S$6)*$T$2</f>
        <v>524294.29451115464</v>
      </c>
      <c r="U191" s="481">
        <f>Taulukko8[[#This Row],[Skaalattu siirtyvän rahoituksen tasoon ]]*0.5</f>
        <v>262147.14725557732</v>
      </c>
    </row>
    <row r="192" spans="1:21">
      <c r="A192" s="465">
        <v>604</v>
      </c>
      <c r="B192" s="456" t="s">
        <v>197</v>
      </c>
      <c r="C192" s="459">
        <v>20405</v>
      </c>
      <c r="D192" s="459">
        <v>602910.85835546057</v>
      </c>
      <c r="E192" s="459">
        <v>129255.63764989309</v>
      </c>
      <c r="F192" s="473">
        <f>Taulukko8[[#This Row],[Siirtyvän henkilöstön ELY-keskus ja TE-toimistokohtaiset toimintamenot]]+Taulukko8[[#This Row],[Valtakunnalliset toimintamenot]]</f>
        <v>732166.49600535363</v>
      </c>
      <c r="G192" s="459">
        <v>51409.779782124286</v>
      </c>
      <c r="H192" s="459">
        <v>30845.867869274571</v>
      </c>
      <c r="I192" s="459">
        <v>229549.0166811955</v>
      </c>
      <c r="J192" s="459">
        <v>45003.789066091951</v>
      </c>
      <c r="K192" s="459">
        <v>405215.12465846998</v>
      </c>
      <c r="L192" s="459">
        <v>167342.21421968221</v>
      </c>
      <c r="M192" s="459">
        <v>162993.14171960496</v>
      </c>
      <c r="N192" s="459">
        <v>41481.386618854172</v>
      </c>
      <c r="O192" s="473">
        <f>SUM(Taulukko8[[#This Row],[Työvoimaviranomaisille siirtyvä kotoutumiskoulutus]:[Muut palvelut]])</f>
        <v>1082430.5408331733</v>
      </c>
      <c r="P192" s="473">
        <f>Taulukko8[[#This Row],[Palvelut yhteensä]]+Taulukko8[[#This Row],[Toimintamenot yhteensä]]</f>
        <v>1814597.0368385268</v>
      </c>
      <c r="Q192" s="481">
        <v>26774.754275149153</v>
      </c>
      <c r="R192" s="481">
        <v>113792.70566938391</v>
      </c>
      <c r="S192" s="473">
        <f>Taulukko8[[#This Row],[Palvelut + toimintamenot]]-Taulukko8[[#This Row],[Poistuva velvoitetyöllistäminen]]-Taulukko8[[#This Row],[Poistuvaksi ehdotettu  palkkatuki]]</f>
        <v>1674029.5768939937</v>
      </c>
      <c r="T192" s="479">
        <f>(Taulukko8[[#This Row],[Palvelut + toimintamenot, huomioitu vuonna 2025 poistuvat tehtävät]]/$S$6)*$T$2</f>
        <v>1579103.7392052491</v>
      </c>
      <c r="U192" s="481">
        <f>Taulukko8[[#This Row],[Skaalattu siirtyvän rahoituksen tasoon ]]*0.5</f>
        <v>789551.86960262456</v>
      </c>
    </row>
    <row r="193" spans="1:21">
      <c r="A193" s="465">
        <v>607</v>
      </c>
      <c r="B193" s="456" t="s">
        <v>198</v>
      </c>
      <c r="C193" s="459">
        <v>4084</v>
      </c>
      <c r="D193" s="459">
        <v>182935.1016930925</v>
      </c>
      <c r="E193" s="459">
        <v>39218.721789793999</v>
      </c>
      <c r="F193" s="473">
        <f>Taulukko8[[#This Row],[Siirtyvän henkilöstön ELY-keskus ja TE-toimistokohtaiset toimintamenot]]+Taulukko8[[#This Row],[Valtakunnalliset toimintamenot]]</f>
        <v>222153.82348288648</v>
      </c>
      <c r="G193" s="459">
        <v>8568.296630354047</v>
      </c>
      <c r="H193" s="459">
        <v>5140.9779782124278</v>
      </c>
      <c r="I193" s="459">
        <v>10930.905556247404</v>
      </c>
      <c r="J193" s="459">
        <v>3214.5563618637107</v>
      </c>
      <c r="K193" s="459">
        <v>181206.06976130567</v>
      </c>
      <c r="L193" s="459">
        <v>152204.42830626448</v>
      </c>
      <c r="M193" s="459">
        <v>38578.525710560629</v>
      </c>
      <c r="N193" s="459">
        <v>12586.274694387159</v>
      </c>
      <c r="O193" s="473">
        <f>SUM(Taulukko8[[#This Row],[Työvoimaviranomaisille siirtyvä kotoutumiskoulutus]:[Muut palvelut]])</f>
        <v>403861.73836884147</v>
      </c>
      <c r="P193" s="473">
        <f>Taulukko8[[#This Row],[Palvelut yhteensä]]+Taulukko8[[#This Row],[Toimintamenot yhteensä]]</f>
        <v>626015.56185172801</v>
      </c>
      <c r="Q193" s="481">
        <v>10871.744879018892</v>
      </c>
      <c r="R193" s="481">
        <v>65230.469274113348</v>
      </c>
      <c r="S193" s="473">
        <f>Taulukko8[[#This Row],[Palvelut + toimintamenot]]-Taulukko8[[#This Row],[Poistuva velvoitetyöllistäminen]]-Taulukko8[[#This Row],[Poistuvaksi ehdotettu  palkkatuki]]</f>
        <v>549913.34769859584</v>
      </c>
      <c r="T193" s="479">
        <f>(Taulukko8[[#This Row],[Palvelut + toimintamenot, huomioitu vuonna 2025 poistuvat tehtävät]]/$S$6)*$T$2</f>
        <v>518730.51442789281</v>
      </c>
      <c r="U193" s="481">
        <f>Taulukko8[[#This Row],[Skaalattu siirtyvän rahoituksen tasoon ]]*0.5</f>
        <v>259365.2572139464</v>
      </c>
    </row>
    <row r="194" spans="1:21">
      <c r="A194" s="465">
        <v>608</v>
      </c>
      <c r="B194" s="456" t="s">
        <v>199</v>
      </c>
      <c r="C194" s="459">
        <v>1980</v>
      </c>
      <c r="D194" s="459">
        <v>64545.722742236452</v>
      </c>
      <c r="E194" s="459">
        <v>13837.698284913326</v>
      </c>
      <c r="F194" s="473">
        <f>Taulukko8[[#This Row],[Siirtyvän henkilöstön ELY-keskus ja TE-toimistokohtaiset toimintamenot]]+Taulukko8[[#This Row],[Valtakunnalliset toimintamenot]]</f>
        <v>78383.421027149772</v>
      </c>
      <c r="G194" s="459">
        <v>0</v>
      </c>
      <c r="H194" s="459">
        <v>0</v>
      </c>
      <c r="I194" s="459">
        <v>21861.811112494808</v>
      </c>
      <c r="J194" s="459">
        <v>0</v>
      </c>
      <c r="K194" s="459">
        <v>43674.038574198908</v>
      </c>
      <c r="L194" s="459">
        <v>17580.174194379993</v>
      </c>
      <c r="M194" s="459">
        <v>8061.8573999999999</v>
      </c>
      <c r="N194" s="459">
        <v>4440.8655816338369</v>
      </c>
      <c r="O194" s="473">
        <f>SUM(Taulukko8[[#This Row],[Työvoimaviranomaisille siirtyvä kotoutumiskoulutus]:[Muut palvelut]])</f>
        <v>95618.746862707558</v>
      </c>
      <c r="P194" s="473">
        <f>Taulukko8[[#This Row],[Palvelut yhteensä]]+Taulukko8[[#This Row],[Toimintamenot yhteensä]]</f>
        <v>174002.16788985732</v>
      </c>
      <c r="Q194" s="481">
        <v>8790.0870971899967</v>
      </c>
      <c r="R194" s="481">
        <v>0</v>
      </c>
      <c r="S194" s="473">
        <f>Taulukko8[[#This Row],[Palvelut + toimintamenot]]-Taulukko8[[#This Row],[Poistuva velvoitetyöllistäminen]]-Taulukko8[[#This Row],[Poistuvaksi ehdotettu  palkkatuki]]</f>
        <v>165212.08079266732</v>
      </c>
      <c r="T194" s="479">
        <f>(Taulukko8[[#This Row],[Palvelut + toimintamenot, huomioitu vuonna 2025 poistuvat tehtävät]]/$S$6)*$T$2</f>
        <v>155843.73068582953</v>
      </c>
      <c r="U194" s="481">
        <f>Taulukko8[[#This Row],[Skaalattu siirtyvän rahoituksen tasoon ]]*0.5</f>
        <v>77921.865342914767</v>
      </c>
    </row>
    <row r="195" spans="1:21">
      <c r="A195" s="465">
        <v>609</v>
      </c>
      <c r="B195" s="456" t="s">
        <v>200</v>
      </c>
      <c r="C195" s="459">
        <v>83205</v>
      </c>
      <c r="D195" s="459">
        <v>3860681.2189110643</v>
      </c>
      <c r="E195" s="459">
        <v>827675.94213589351</v>
      </c>
      <c r="F195" s="473">
        <f>Taulukko8[[#This Row],[Siirtyvän henkilöstön ELY-keskus ja TE-toimistokohtaiset toimintamenot]]+Taulukko8[[#This Row],[Valtakunnalliset toimintamenot]]</f>
        <v>4688357.1610469576</v>
      </c>
      <c r="G195" s="459">
        <v>993922.40912106948</v>
      </c>
      <c r="H195" s="459">
        <v>596353.44547264162</v>
      </c>
      <c r="I195" s="459">
        <v>863541.53894354496</v>
      </c>
      <c r="J195" s="459">
        <v>247520.83986350571</v>
      </c>
      <c r="K195" s="459">
        <v>2307445.0380035089</v>
      </c>
      <c r="L195" s="459">
        <v>2452434.3001160091</v>
      </c>
      <c r="M195" s="459">
        <v>372358.64130810805</v>
      </c>
      <c r="N195" s="459">
        <v>265622.03688058455</v>
      </c>
      <c r="O195" s="473">
        <f>SUM(Taulukko8[[#This Row],[Työvoimaviranomaisille siirtyvä kotoutumiskoulutus]:[Muut palvelut]])</f>
        <v>7105275.8405879028</v>
      </c>
      <c r="P195" s="473">
        <f>Taulukko8[[#This Row],[Palvelut yhteensä]]+Taulukko8[[#This Row],[Toimintamenot yhteensä]]</f>
        <v>11793633.00163486</v>
      </c>
      <c r="Q195" s="481">
        <v>747157.40326114965</v>
      </c>
      <c r="R195" s="481">
        <v>1520685.0678138693</v>
      </c>
      <c r="S195" s="473">
        <f>Taulukko8[[#This Row],[Palvelut + toimintamenot]]-Taulukko8[[#This Row],[Poistuva velvoitetyöllistäminen]]-Taulukko8[[#This Row],[Poistuvaksi ehdotettu  palkkatuki]]</f>
        <v>9525790.5305598415</v>
      </c>
      <c r="T195" s="479">
        <f>(Taulukko8[[#This Row],[Palvelut + toimintamenot, huomioitu vuonna 2025 poistuvat tehtävät]]/$S$6)*$T$2</f>
        <v>8985630.6324064042</v>
      </c>
      <c r="U195" s="481">
        <f>Taulukko8[[#This Row],[Skaalattu siirtyvän rahoituksen tasoon ]]*0.5</f>
        <v>4492815.3162032021</v>
      </c>
    </row>
    <row r="196" spans="1:21">
      <c r="A196" s="465">
        <v>611</v>
      </c>
      <c r="B196" s="456" t="s">
        <v>201</v>
      </c>
      <c r="C196" s="459">
        <v>5011</v>
      </c>
      <c r="D196" s="459">
        <v>123112.45447612021</v>
      </c>
      <c r="E196" s="459">
        <v>26393.584699004499</v>
      </c>
      <c r="F196" s="473">
        <f>Taulukko8[[#This Row],[Siirtyvän henkilöstön ELY-keskus ja TE-toimistokohtaiset toimintamenot]]+Taulukko8[[#This Row],[Valtakunnalliset toimintamenot]]</f>
        <v>149506.03917512472</v>
      </c>
      <c r="G196" s="459">
        <v>0</v>
      </c>
      <c r="H196" s="459">
        <v>0</v>
      </c>
      <c r="I196" s="459">
        <v>10930.905556247404</v>
      </c>
      <c r="J196" s="459">
        <v>25716.450894909685</v>
      </c>
      <c r="K196" s="459">
        <v>109440.93216915471</v>
      </c>
      <c r="L196" s="459">
        <v>33741.918874476993</v>
      </c>
      <c r="M196" s="459">
        <v>28437.90452699153</v>
      </c>
      <c r="N196" s="459">
        <v>8470.3654793179139</v>
      </c>
      <c r="O196" s="473">
        <f>SUM(Taulukko8[[#This Row],[Työvoimaviranomaisille siirtyvä kotoutumiskoulutus]:[Muut palvelut]])</f>
        <v>216738.47750109824</v>
      </c>
      <c r="P196" s="473">
        <f>Taulukko8[[#This Row],[Palvelut yhteensä]]+Taulukko8[[#This Row],[Toimintamenot yhteensä]]</f>
        <v>366244.51667622296</v>
      </c>
      <c r="Q196" s="481">
        <v>0</v>
      </c>
      <c r="R196" s="481">
        <v>33741.918874476993</v>
      </c>
      <c r="S196" s="473">
        <f>Taulukko8[[#This Row],[Palvelut + toimintamenot]]-Taulukko8[[#This Row],[Poistuva velvoitetyöllistäminen]]-Taulukko8[[#This Row],[Poistuvaksi ehdotettu  palkkatuki]]</f>
        <v>332502.59780174599</v>
      </c>
      <c r="T196" s="479">
        <f>(Taulukko8[[#This Row],[Palvelut + toimintamenot, huomioitu vuonna 2025 poistuvat tehtävät]]/$S$6)*$T$2</f>
        <v>313648.03987417533</v>
      </c>
      <c r="U196" s="481">
        <f>Taulukko8[[#This Row],[Skaalattu siirtyvän rahoituksen tasoon ]]*0.5</f>
        <v>156824.01993708767</v>
      </c>
    </row>
    <row r="197" spans="1:21">
      <c r="A197" s="465">
        <v>614</v>
      </c>
      <c r="B197" s="456" t="s">
        <v>202</v>
      </c>
      <c r="C197" s="459">
        <v>2999</v>
      </c>
      <c r="D197" s="459">
        <v>135876.9604167995</v>
      </c>
      <c r="E197" s="459">
        <v>29130.115865732332</v>
      </c>
      <c r="F197" s="473">
        <f>Taulukko8[[#This Row],[Siirtyvän henkilöstön ELY-keskus ja TE-toimistokohtaiset toimintamenot]]+Taulukko8[[#This Row],[Valtakunnalliset toimintamenot]]</f>
        <v>165007.07628253184</v>
      </c>
      <c r="G197" s="459">
        <v>8568.296630354047</v>
      </c>
      <c r="H197" s="459">
        <v>5140.9779782124278</v>
      </c>
      <c r="I197" s="459">
        <v>10930.905556247404</v>
      </c>
      <c r="J197" s="459">
        <v>9643.6690855911329</v>
      </c>
      <c r="K197" s="459">
        <v>85037.053007164417</v>
      </c>
      <c r="L197" s="459">
        <v>173763.00252306697</v>
      </c>
      <c r="M197" s="459">
        <v>18361.088370370369</v>
      </c>
      <c r="N197" s="459">
        <v>9348.5871908462959</v>
      </c>
      <c r="O197" s="473">
        <f>SUM(Taulukko8[[#This Row],[Työvoimaviranomaisille siirtyvä kotoutumiskoulutus]:[Muut palvelut]])</f>
        <v>312225.28371149901</v>
      </c>
      <c r="P197" s="473">
        <f>Taulukko8[[#This Row],[Palvelut yhteensä]]+Taulukko8[[#This Row],[Toimintamenot yhteensä]]</f>
        <v>477232.35999403085</v>
      </c>
      <c r="Q197" s="481">
        <v>19307.000280340773</v>
      </c>
      <c r="R197" s="481">
        <v>115842.00168204465</v>
      </c>
      <c r="S197" s="473">
        <f>Taulukko8[[#This Row],[Palvelut + toimintamenot]]-Taulukko8[[#This Row],[Poistuva velvoitetyöllistäminen]]-Taulukko8[[#This Row],[Poistuvaksi ehdotettu  palkkatuki]]</f>
        <v>342083.35803164542</v>
      </c>
      <c r="T197" s="479">
        <f>(Taulukko8[[#This Row],[Palvelut + toimintamenot, huomioitu vuonna 2025 poistuvat tehtävät]]/$S$6)*$T$2</f>
        <v>322685.52314943122</v>
      </c>
      <c r="U197" s="481">
        <f>Taulukko8[[#This Row],[Skaalattu siirtyvän rahoituksen tasoon ]]*0.5</f>
        <v>161342.76157471561</v>
      </c>
    </row>
    <row r="198" spans="1:21">
      <c r="A198" s="465">
        <v>615</v>
      </c>
      <c r="B198" s="456" t="s">
        <v>203</v>
      </c>
      <c r="C198" s="459">
        <v>7603</v>
      </c>
      <c r="D198" s="459">
        <v>345314.25968549208</v>
      </c>
      <c r="E198" s="459">
        <v>74030.53736168427</v>
      </c>
      <c r="F198" s="473">
        <f>Taulukko8[[#This Row],[Siirtyvän henkilöstön ELY-keskus ja TE-toimistokohtaiset toimintamenot]]+Taulukko8[[#This Row],[Valtakunnalliset toimintamenot]]</f>
        <v>419344.79704717634</v>
      </c>
      <c r="G198" s="459">
        <v>85682.966303540466</v>
      </c>
      <c r="H198" s="459">
        <v>51409.779782124278</v>
      </c>
      <c r="I198" s="459">
        <v>32792.716668742214</v>
      </c>
      <c r="J198" s="459">
        <v>9643.6690855911329</v>
      </c>
      <c r="K198" s="459">
        <v>437140.55225383863</v>
      </c>
      <c r="L198" s="459">
        <v>197438.21750457256</v>
      </c>
      <c r="M198" s="459">
        <v>40955.472614718616</v>
      </c>
      <c r="N198" s="459">
        <v>23758.262291192939</v>
      </c>
      <c r="O198" s="473">
        <f>SUM(Taulukko8[[#This Row],[Työvoimaviranomaisille siirtyvä kotoutumiskoulutus]:[Muut palvelut]])</f>
        <v>793138.67020078038</v>
      </c>
      <c r="P198" s="473">
        <f>Taulukko8[[#This Row],[Palvelut yhteensä]]+Taulukko8[[#This Row],[Toimintamenot yhteensä]]</f>
        <v>1212483.4672479567</v>
      </c>
      <c r="Q198" s="481">
        <v>47385.172201097412</v>
      </c>
      <c r="R198" s="481">
        <v>63180.229601463223</v>
      </c>
      <c r="S198" s="473">
        <f>Taulukko8[[#This Row],[Palvelut + toimintamenot]]-Taulukko8[[#This Row],[Poistuva velvoitetyöllistäminen]]-Taulukko8[[#This Row],[Poistuvaksi ehdotettu  palkkatuki]]</f>
        <v>1101918.0654453959</v>
      </c>
      <c r="T198" s="479">
        <f>(Taulukko8[[#This Row],[Palvelut + toimintamenot, huomioitu vuonna 2025 poistuvat tehtävät]]/$S$6)*$T$2</f>
        <v>1039433.807777236</v>
      </c>
      <c r="U198" s="481">
        <f>Taulukko8[[#This Row],[Skaalattu siirtyvän rahoituksen tasoon ]]*0.5</f>
        <v>519716.90388861799</v>
      </c>
    </row>
    <row r="199" spans="1:21">
      <c r="A199" s="465">
        <v>616</v>
      </c>
      <c r="B199" s="456" t="s">
        <v>204</v>
      </c>
      <c r="C199" s="459">
        <v>1807</v>
      </c>
      <c r="D199" s="459">
        <v>63515.991090225485</v>
      </c>
      <c r="E199" s="459">
        <v>13616.93825141185</v>
      </c>
      <c r="F199" s="473">
        <f>Taulukko8[[#This Row],[Siirtyvän henkilöstön ELY-keskus ja TE-toimistokohtaiset toimintamenot]]+Taulukko8[[#This Row],[Valtakunnalliset toimintamenot]]</f>
        <v>77132.92934163734</v>
      </c>
      <c r="G199" s="459">
        <v>8568.296630354047</v>
      </c>
      <c r="H199" s="459">
        <v>5140.9779782124278</v>
      </c>
      <c r="I199" s="459">
        <v>10930.905556247404</v>
      </c>
      <c r="J199" s="459">
        <v>16072.781809318552</v>
      </c>
      <c r="K199" s="459">
        <v>58368.497156882513</v>
      </c>
      <c r="L199" s="459">
        <v>44989.225165969328</v>
      </c>
      <c r="M199" s="459">
        <v>5905.1893807040415</v>
      </c>
      <c r="N199" s="459">
        <v>4370.0181318346249</v>
      </c>
      <c r="O199" s="473">
        <f>SUM(Taulukko8[[#This Row],[Työvoimaviranomaisille siirtyvä kotoutumiskoulutus]:[Muut palvelut]])</f>
        <v>145777.59517916889</v>
      </c>
      <c r="P199" s="473">
        <f>Taulukko8[[#This Row],[Palvelut yhteensä]]+Taulukko8[[#This Row],[Toimintamenot yhteensä]]</f>
        <v>222910.52452080621</v>
      </c>
      <c r="Q199" s="481">
        <v>0</v>
      </c>
      <c r="R199" s="481">
        <v>11247.306291492332</v>
      </c>
      <c r="S199" s="473">
        <f>Taulukko8[[#This Row],[Palvelut + toimintamenot]]-Taulukko8[[#This Row],[Poistuva velvoitetyöllistäminen]]-Taulukko8[[#This Row],[Poistuvaksi ehdotettu  palkkatuki]]</f>
        <v>211663.21822931388</v>
      </c>
      <c r="T199" s="479">
        <f>(Taulukko8[[#This Row],[Palvelut + toimintamenot, huomioitu vuonna 2025 poistuvat tehtävät]]/$S$6)*$T$2</f>
        <v>199660.8566368786</v>
      </c>
      <c r="U199" s="481">
        <f>Taulukko8[[#This Row],[Skaalattu siirtyvän rahoituksen tasoon ]]*0.5</f>
        <v>99830.428318439299</v>
      </c>
    </row>
    <row r="200" spans="1:21">
      <c r="A200" s="465">
        <v>619</v>
      </c>
      <c r="B200" s="456" t="s">
        <v>205</v>
      </c>
      <c r="C200" s="459">
        <v>2675</v>
      </c>
      <c r="D200" s="459">
        <v>70625.901253965931</v>
      </c>
      <c r="E200" s="459">
        <v>15141.203338218284</v>
      </c>
      <c r="F200" s="473">
        <f>Taulukko8[[#This Row],[Siirtyvän henkilöstön ELY-keskus ja TE-toimistokohtaiset toimintamenot]]+Taulukko8[[#This Row],[Valtakunnalliset toimintamenot]]</f>
        <v>85767.104592184216</v>
      </c>
      <c r="G200" s="459">
        <v>0</v>
      </c>
      <c r="H200" s="459">
        <v>0</v>
      </c>
      <c r="I200" s="459">
        <v>32792.716668742214</v>
      </c>
      <c r="J200" s="459">
        <v>6429.1127237274213</v>
      </c>
      <c r="K200" s="459">
        <v>39726.973005732354</v>
      </c>
      <c r="L200" s="459">
        <v>26774.754275149153</v>
      </c>
      <c r="M200" s="459">
        <v>20069.270720672626</v>
      </c>
      <c r="N200" s="459">
        <v>4859.1931537141545</v>
      </c>
      <c r="O200" s="473">
        <f>SUM(Taulukko8[[#This Row],[Työvoimaviranomaisille siirtyvä kotoutumiskoulutus]:[Muut palvelut]])</f>
        <v>130652.02054773792</v>
      </c>
      <c r="P200" s="473">
        <f>Taulukko8[[#This Row],[Palvelut yhteensä]]+Taulukko8[[#This Row],[Toimintamenot yhteensä]]</f>
        <v>216419.12513992214</v>
      </c>
      <c r="Q200" s="481">
        <v>6693.6885687872882</v>
      </c>
      <c r="R200" s="481">
        <v>0</v>
      </c>
      <c r="S200" s="473">
        <f>Taulukko8[[#This Row],[Palvelut + toimintamenot]]-Taulukko8[[#This Row],[Poistuva velvoitetyöllistäminen]]-Taulukko8[[#This Row],[Poistuvaksi ehdotettu  palkkatuki]]</f>
        <v>209725.43657113484</v>
      </c>
      <c r="T200" s="479">
        <f>(Taulukko8[[#This Row],[Palvelut + toimintamenot, huomioitu vuonna 2025 poistuvat tehtävät]]/$S$6)*$T$2</f>
        <v>197832.95687666567</v>
      </c>
      <c r="U200" s="481">
        <f>Taulukko8[[#This Row],[Skaalattu siirtyvän rahoituksen tasoon ]]*0.5</f>
        <v>98916.478438332837</v>
      </c>
    </row>
    <row r="201" spans="1:21">
      <c r="A201" s="465">
        <v>620</v>
      </c>
      <c r="B201" s="456" t="s">
        <v>206</v>
      </c>
      <c r="C201" s="459">
        <v>2380</v>
      </c>
      <c r="D201" s="459">
        <v>132442.53750806928</v>
      </c>
      <c r="E201" s="459">
        <v>28393.823730874807</v>
      </c>
      <c r="F201" s="473">
        <f>Taulukko8[[#This Row],[Siirtyvän henkilöstön ELY-keskus ja TE-toimistokohtaiset toimintamenot]]+Taulukko8[[#This Row],[Valtakunnalliset toimintamenot]]</f>
        <v>160836.36123894408</v>
      </c>
      <c r="G201" s="459">
        <v>17136.593260708094</v>
      </c>
      <c r="H201" s="459">
        <v>10281.955956424856</v>
      </c>
      <c r="I201" s="459">
        <v>32792.716668742214</v>
      </c>
      <c r="J201" s="459">
        <v>3214.5563618637107</v>
      </c>
      <c r="K201" s="459">
        <v>118344.36536842104</v>
      </c>
      <c r="L201" s="459">
        <v>105018.8887824657</v>
      </c>
      <c r="M201" s="459">
        <v>41293.062681992335</v>
      </c>
      <c r="N201" s="459">
        <v>9112.2925172385203</v>
      </c>
      <c r="O201" s="473">
        <f>SUM(Taulukko8[[#This Row],[Työvoimaviranomaisille siirtyvä kotoutumiskoulutus]:[Muut palvelut]])</f>
        <v>320057.83833714842</v>
      </c>
      <c r="P201" s="473">
        <f>Taulukko8[[#This Row],[Palvelut yhteensä]]+Taulukko8[[#This Row],[Toimintamenot yhteensä]]</f>
        <v>480894.19957609253</v>
      </c>
      <c r="Q201" s="481">
        <v>32313.504240758677</v>
      </c>
      <c r="R201" s="481">
        <v>64627.008481517354</v>
      </c>
      <c r="S201" s="473">
        <f>Taulukko8[[#This Row],[Palvelut + toimintamenot]]-Taulukko8[[#This Row],[Poistuva velvoitetyöllistäminen]]-Taulukko8[[#This Row],[Poistuvaksi ehdotettu  palkkatuki]]</f>
        <v>383953.6868538165</v>
      </c>
      <c r="T201" s="479">
        <f>(Taulukko8[[#This Row],[Palvelut + toimintamenot, huomioitu vuonna 2025 poistuvat tehtävät]]/$S$6)*$T$2</f>
        <v>362181.59521257761</v>
      </c>
      <c r="U201" s="481">
        <f>Taulukko8[[#This Row],[Skaalattu siirtyvän rahoituksen tasoon ]]*0.5</f>
        <v>181090.7976062888</v>
      </c>
    </row>
    <row r="202" spans="1:21">
      <c r="A202" s="465">
        <v>623</v>
      </c>
      <c r="B202" s="456" t="s">
        <v>207</v>
      </c>
      <c r="C202" s="459">
        <v>2107</v>
      </c>
      <c r="D202" s="459">
        <v>55397.181995757528</v>
      </c>
      <c r="E202" s="459">
        <v>11876.379374556282</v>
      </c>
      <c r="F202" s="473">
        <f>Taulukko8[[#This Row],[Siirtyvän henkilöstön ELY-keskus ja TE-toimistokohtaiset toimintamenot]]+Taulukko8[[#This Row],[Valtakunnalliset toimintamenot]]</f>
        <v>67273.561370313808</v>
      </c>
      <c r="G202" s="459">
        <v>17136.593260708094</v>
      </c>
      <c r="H202" s="459">
        <v>10281.955956424856</v>
      </c>
      <c r="I202" s="459">
        <v>10930.905556247404</v>
      </c>
      <c r="J202" s="459">
        <v>6429.1127237274213</v>
      </c>
      <c r="K202" s="459">
        <v>15600.277079248364</v>
      </c>
      <c r="L202" s="459">
        <v>8460.4462877443002</v>
      </c>
      <c r="M202" s="459">
        <v>20683.35678649454</v>
      </c>
      <c r="N202" s="459">
        <v>3811.4289900651161</v>
      </c>
      <c r="O202" s="473">
        <f>SUM(Taulukko8[[#This Row],[Työvoimaviranomaisille siirtyvä kotoutumiskoulutus]:[Muut palvelut]])</f>
        <v>76197.483379951998</v>
      </c>
      <c r="P202" s="473">
        <f>Taulukko8[[#This Row],[Palvelut yhteensä]]+Taulukko8[[#This Row],[Toimintamenot yhteensä]]</f>
        <v>143471.04475026581</v>
      </c>
      <c r="Q202" s="481">
        <v>0</v>
      </c>
      <c r="R202" s="481">
        <v>0</v>
      </c>
      <c r="S202" s="473">
        <f>Taulukko8[[#This Row],[Palvelut + toimintamenot]]-Taulukko8[[#This Row],[Poistuva velvoitetyöllistäminen]]-Taulukko8[[#This Row],[Poistuvaksi ehdotettu  palkkatuki]]</f>
        <v>143471.04475026581</v>
      </c>
      <c r="T202" s="479">
        <f>(Taulukko8[[#This Row],[Palvelut + toimintamenot, huomioitu vuonna 2025 poistuvat tehtävät]]/$S$6)*$T$2</f>
        <v>135335.51996923576</v>
      </c>
      <c r="U202" s="481">
        <f>Taulukko8[[#This Row],[Skaalattu siirtyvän rahoituksen tasoon ]]*0.5</f>
        <v>67667.759984617878</v>
      </c>
    </row>
    <row r="203" spans="1:21">
      <c r="A203" s="465">
        <v>624</v>
      </c>
      <c r="B203" s="456" t="s">
        <v>208</v>
      </c>
      <c r="C203" s="459">
        <v>5117</v>
      </c>
      <c r="D203" s="459">
        <v>178351.90301073156</v>
      </c>
      <c r="E203" s="459">
        <v>38236.148230278763</v>
      </c>
      <c r="F203" s="473">
        <f>Taulukko8[[#This Row],[Siirtyvän henkilöstön ELY-keskus ja TE-toimistokohtaiset toimintamenot]]+Taulukko8[[#This Row],[Valtakunnalliset toimintamenot]]</f>
        <v>216588.05124101031</v>
      </c>
      <c r="G203" s="459">
        <v>8568.296630354047</v>
      </c>
      <c r="H203" s="459">
        <v>5140.9779782124278</v>
      </c>
      <c r="I203" s="459">
        <v>32792.716668742214</v>
      </c>
      <c r="J203" s="459">
        <v>6429.1127237274213</v>
      </c>
      <c r="K203" s="459">
        <v>172805.57164004675</v>
      </c>
      <c r="L203" s="459">
        <v>31278.059037224022</v>
      </c>
      <c r="M203" s="459">
        <v>20512.825057692309</v>
      </c>
      <c r="N203" s="459">
        <v>12270.942114355985</v>
      </c>
      <c r="O203" s="473">
        <f>SUM(Taulukko8[[#This Row],[Työvoimaviranomaisille siirtyvä kotoutumiskoulutus]:[Muut palvelut]])</f>
        <v>281230.20522000111</v>
      </c>
      <c r="P203" s="473">
        <f>Taulukko8[[#This Row],[Palvelut yhteensä]]+Taulukko8[[#This Row],[Toimintamenot yhteensä]]</f>
        <v>497818.25646101142</v>
      </c>
      <c r="Q203" s="481">
        <v>0</v>
      </c>
      <c r="R203" s="481">
        <v>0</v>
      </c>
      <c r="S203" s="473">
        <f>Taulukko8[[#This Row],[Palvelut + toimintamenot]]-Taulukko8[[#This Row],[Poistuva velvoitetyöllistäminen]]-Taulukko8[[#This Row],[Poistuvaksi ehdotettu  palkkatuki]]</f>
        <v>497818.25646101142</v>
      </c>
      <c r="T203" s="479">
        <f>(Taulukko8[[#This Row],[Palvelut + toimintamenot, huomioitu vuonna 2025 poistuvat tehtävät]]/$S$6)*$T$2</f>
        <v>469589.47504426341</v>
      </c>
      <c r="U203" s="481">
        <f>Taulukko8[[#This Row],[Skaalattu siirtyvän rahoituksen tasoon ]]*0.5</f>
        <v>234794.73752213171</v>
      </c>
    </row>
    <row r="204" spans="1:21">
      <c r="A204" s="465">
        <v>625</v>
      </c>
      <c r="B204" s="456" t="s">
        <v>209</v>
      </c>
      <c r="C204" s="459">
        <v>2991</v>
      </c>
      <c r="D204" s="459">
        <v>103199.34903217407</v>
      </c>
      <c r="E204" s="459">
        <v>22124.493993344451</v>
      </c>
      <c r="F204" s="473">
        <f>Taulukko8[[#This Row],[Siirtyvän henkilöstön ELY-keskus ja TE-toimistokohtaiset toimintamenot]]+Taulukko8[[#This Row],[Valtakunnalliset toimintamenot]]</f>
        <v>125323.84302551852</v>
      </c>
      <c r="G204" s="459">
        <v>59978.076412478331</v>
      </c>
      <c r="H204" s="459">
        <v>35986.845847486999</v>
      </c>
      <c r="I204" s="459">
        <v>21861.811112494808</v>
      </c>
      <c r="J204" s="459">
        <v>6429.1127237274213</v>
      </c>
      <c r="K204" s="459">
        <v>62448.650321976951</v>
      </c>
      <c r="L204" s="459">
        <v>47385.172201097419</v>
      </c>
      <c r="M204" s="459">
        <v>22226.991948051949</v>
      </c>
      <c r="N204" s="459">
        <v>7100.3068475071441</v>
      </c>
      <c r="O204" s="473">
        <f>SUM(Taulukko8[[#This Row],[Työvoimaviranomaisille siirtyvä kotoutumiskoulutus]:[Muut palvelut]])</f>
        <v>203438.89100234269</v>
      </c>
      <c r="P204" s="473">
        <f>Taulukko8[[#This Row],[Palvelut yhteensä]]+Taulukko8[[#This Row],[Toimintamenot yhteensä]]</f>
        <v>328762.73402786121</v>
      </c>
      <c r="Q204" s="481">
        <v>7897.5287001829029</v>
      </c>
      <c r="R204" s="481">
        <v>39487.643500914521</v>
      </c>
      <c r="S204" s="473">
        <f>Taulukko8[[#This Row],[Palvelut + toimintamenot]]-Taulukko8[[#This Row],[Poistuva velvoitetyöllistäminen]]-Taulukko8[[#This Row],[Poistuvaksi ehdotettu  palkkatuki]]</f>
        <v>281377.56182676379</v>
      </c>
      <c r="T204" s="479">
        <f>(Taulukko8[[#This Row],[Palvelut + toimintamenot, huomioitu vuonna 2025 poistuvat tehtävät]]/$S$6)*$T$2</f>
        <v>265422.04877496936</v>
      </c>
      <c r="U204" s="481">
        <f>Taulukko8[[#This Row],[Skaalattu siirtyvän rahoituksen tasoon ]]*0.5</f>
        <v>132711.02438748468</v>
      </c>
    </row>
    <row r="205" spans="1:21">
      <c r="A205" s="465">
        <v>626</v>
      </c>
      <c r="B205" s="456" t="s">
        <v>210</v>
      </c>
      <c r="C205" s="459">
        <v>4835</v>
      </c>
      <c r="D205" s="459">
        <v>187268.30772005193</v>
      </c>
      <c r="E205" s="459">
        <v>40147.700427881136</v>
      </c>
      <c r="F205" s="473">
        <f>Taulukko8[[#This Row],[Siirtyvän henkilöstön ELY-keskus ja TE-toimistokohtaiset toimintamenot]]+Taulukko8[[#This Row],[Valtakunnalliset toimintamenot]]</f>
        <v>227416.00814793305</v>
      </c>
      <c r="G205" s="459">
        <v>17136.593260708094</v>
      </c>
      <c r="H205" s="459">
        <v>10281.955956424856</v>
      </c>
      <c r="I205" s="459">
        <v>21861.811112494808</v>
      </c>
      <c r="J205" s="459">
        <v>9643.6690855911329</v>
      </c>
      <c r="K205" s="459">
        <v>169503.47944536601</v>
      </c>
      <c r="L205" s="459">
        <v>94770.344402194838</v>
      </c>
      <c r="M205" s="459">
        <v>27303.648409812409</v>
      </c>
      <c r="N205" s="459">
        <v>12884.407315507542</v>
      </c>
      <c r="O205" s="473">
        <f>SUM(Taulukko8[[#This Row],[Työvoimaviranomaisille siirtyvä kotoutumiskoulutus]:[Muut palvelut]])</f>
        <v>346249.31572739157</v>
      </c>
      <c r="P205" s="473">
        <f>Taulukko8[[#This Row],[Palvelut yhteensä]]+Taulukko8[[#This Row],[Toimintamenot yhteensä]]</f>
        <v>573665.32387532457</v>
      </c>
      <c r="Q205" s="481">
        <v>0</v>
      </c>
      <c r="R205" s="481">
        <v>71077.758301646129</v>
      </c>
      <c r="S205" s="473">
        <f>Taulukko8[[#This Row],[Palvelut + toimintamenot]]-Taulukko8[[#This Row],[Poistuva velvoitetyöllistäminen]]-Taulukko8[[#This Row],[Poistuvaksi ehdotettu  palkkatuki]]</f>
        <v>502587.56557367847</v>
      </c>
      <c r="T205" s="479">
        <f>(Taulukko8[[#This Row],[Palvelut + toimintamenot, huomioitu vuonna 2025 poistuvat tehtävät]]/$S$6)*$T$2</f>
        <v>474088.34051067394</v>
      </c>
      <c r="U205" s="481">
        <f>Taulukko8[[#This Row],[Skaalattu siirtyvän rahoituksen tasoon ]]*0.5</f>
        <v>237044.17025533697</v>
      </c>
    </row>
    <row r="206" spans="1:21">
      <c r="A206" s="465">
        <v>630</v>
      </c>
      <c r="B206" s="456" t="s">
        <v>211</v>
      </c>
      <c r="C206" s="459">
        <v>1635</v>
      </c>
      <c r="D206" s="459">
        <v>52209.775639388325</v>
      </c>
      <c r="E206" s="459">
        <v>11193.044126347957</v>
      </c>
      <c r="F206" s="473">
        <f>Taulukko8[[#This Row],[Siirtyvän henkilöstön ELY-keskus ja TE-toimistokohtaiset toimintamenot]]+Taulukko8[[#This Row],[Valtakunnalliset toimintamenot]]</f>
        <v>63402.819765736283</v>
      </c>
      <c r="G206" s="459">
        <v>0</v>
      </c>
      <c r="H206" s="459">
        <v>0</v>
      </c>
      <c r="I206" s="459">
        <v>0</v>
      </c>
      <c r="J206" s="459">
        <v>3214.5563618637107</v>
      </c>
      <c r="K206" s="459">
        <v>8921.2357602824213</v>
      </c>
      <c r="L206" s="459">
        <v>15795.057400365806</v>
      </c>
      <c r="M206" s="459">
        <v>7408.9973160173167</v>
      </c>
      <c r="N206" s="459">
        <v>3592.1295139525268</v>
      </c>
      <c r="O206" s="473">
        <f>SUM(Taulukko8[[#This Row],[Työvoimaviranomaisille siirtyvä kotoutumiskoulutus]:[Muut palvelut]])</f>
        <v>38931.976352481783</v>
      </c>
      <c r="P206" s="473">
        <f>Taulukko8[[#This Row],[Palvelut yhteensä]]+Taulukko8[[#This Row],[Toimintamenot yhteensä]]</f>
        <v>102334.79611821807</v>
      </c>
      <c r="Q206" s="481">
        <v>0</v>
      </c>
      <c r="R206" s="481">
        <v>7897.5287001829029</v>
      </c>
      <c r="S206" s="473">
        <f>Taulukko8[[#This Row],[Palvelut + toimintamenot]]-Taulukko8[[#This Row],[Poistuva velvoitetyöllistäminen]]-Taulukko8[[#This Row],[Poistuvaksi ehdotettu  palkkatuki]]</f>
        <v>94437.267418035175</v>
      </c>
      <c r="T206" s="479">
        <f>(Taulukko8[[#This Row],[Palvelut + toimintamenot, huomioitu vuonna 2025 poistuvat tehtävät]]/$S$6)*$T$2</f>
        <v>89082.2027032732</v>
      </c>
      <c r="U206" s="481">
        <f>Taulukko8[[#This Row],[Skaalattu siirtyvän rahoituksen tasoon ]]*0.5</f>
        <v>44541.1013516366</v>
      </c>
    </row>
    <row r="207" spans="1:21">
      <c r="A207" s="465">
        <v>631</v>
      </c>
      <c r="B207" s="456" t="s">
        <v>212</v>
      </c>
      <c r="C207" s="459">
        <v>1963</v>
      </c>
      <c r="D207" s="459">
        <v>63200.524167933108</v>
      </c>
      <c r="E207" s="459">
        <v>13549.306564847813</v>
      </c>
      <c r="F207" s="473">
        <f>Taulukko8[[#This Row],[Siirtyvän henkilöstön ELY-keskus ja TE-toimistokohtaiset toimintamenot]]+Taulukko8[[#This Row],[Valtakunnalliset toimintamenot]]</f>
        <v>76749.830732780916</v>
      </c>
      <c r="G207" s="459">
        <v>8568.296630354047</v>
      </c>
      <c r="H207" s="459">
        <v>5140.9779782124278</v>
      </c>
      <c r="I207" s="459">
        <v>54654.527781237019</v>
      </c>
      <c r="J207" s="459">
        <v>6429.1127237274213</v>
      </c>
      <c r="K207" s="459">
        <v>20374.937960748568</v>
      </c>
      <c r="L207" s="459">
        <v>0</v>
      </c>
      <c r="M207" s="459">
        <v>14646.959151426827</v>
      </c>
      <c r="N207" s="459">
        <v>4348.3134217805309</v>
      </c>
      <c r="O207" s="473">
        <f>SUM(Taulukko8[[#This Row],[Työvoimaviranomaisille siirtyvä kotoutumiskoulutus]:[Muut palvelut]])</f>
        <v>105594.82901713278</v>
      </c>
      <c r="P207" s="473">
        <f>Taulukko8[[#This Row],[Palvelut yhteensä]]+Taulukko8[[#This Row],[Toimintamenot yhteensä]]</f>
        <v>182344.6597499137</v>
      </c>
      <c r="Q207" s="481">
        <v>0</v>
      </c>
      <c r="R207" s="481">
        <v>0</v>
      </c>
      <c r="S207" s="473">
        <f>Taulukko8[[#This Row],[Palvelut + toimintamenot]]-Taulukko8[[#This Row],[Poistuva velvoitetyöllistäminen]]-Taulukko8[[#This Row],[Poistuvaksi ehdotettu  palkkatuki]]</f>
        <v>182344.6597499137</v>
      </c>
      <c r="T207" s="479">
        <f>(Taulukko8[[#This Row],[Palvelut + toimintamenot, huomioitu vuonna 2025 poistuvat tehtävät]]/$S$6)*$T$2</f>
        <v>172004.80685021446</v>
      </c>
      <c r="U207" s="481">
        <f>Taulukko8[[#This Row],[Skaalattu siirtyvän rahoituksen tasoon ]]*0.5</f>
        <v>86002.40342510723</v>
      </c>
    </row>
    <row r="208" spans="1:21">
      <c r="A208" s="465">
        <v>635</v>
      </c>
      <c r="B208" s="456" t="s">
        <v>213</v>
      </c>
      <c r="C208" s="459">
        <v>6347</v>
      </c>
      <c r="D208" s="459">
        <v>161551.80134714226</v>
      </c>
      <c r="E208" s="459">
        <v>34634.441903354396</v>
      </c>
      <c r="F208" s="473">
        <f>Taulukko8[[#This Row],[Siirtyvän henkilöstön ELY-keskus ja TE-toimistokohtaiset toimintamenot]]+Taulukko8[[#This Row],[Valtakunnalliset toimintamenot]]</f>
        <v>196186.24325049666</v>
      </c>
      <c r="G208" s="459">
        <v>8568.296630354047</v>
      </c>
      <c r="H208" s="459">
        <v>5140.9779782124278</v>
      </c>
      <c r="I208" s="459">
        <v>32792.716668742214</v>
      </c>
      <c r="J208" s="459">
        <v>3214.5563618637107</v>
      </c>
      <c r="K208" s="459">
        <v>150962.49742178293</v>
      </c>
      <c r="L208" s="459">
        <v>153954.83708210764</v>
      </c>
      <c r="M208" s="459">
        <v>44911.961526091021</v>
      </c>
      <c r="N208" s="459">
        <v>11115.063923267686</v>
      </c>
      <c r="O208" s="473">
        <f>SUM(Taulukko8[[#This Row],[Työvoimaviranomaisille siirtyvä kotoutumiskoulutus]:[Muut palvelut]])</f>
        <v>402092.61096206761</v>
      </c>
      <c r="P208" s="473">
        <f>Taulukko8[[#This Row],[Palvelut yhteensä]]+Taulukko8[[#This Row],[Toimintamenot yhteensä]]</f>
        <v>598278.8542125643</v>
      </c>
      <c r="Q208" s="481">
        <v>53549.508550298306</v>
      </c>
      <c r="R208" s="481">
        <v>26774.754275149153</v>
      </c>
      <c r="S208" s="473">
        <f>Taulukko8[[#This Row],[Palvelut + toimintamenot]]-Taulukko8[[#This Row],[Poistuva velvoitetyöllistäminen]]-Taulukko8[[#This Row],[Poistuvaksi ehdotettu  palkkatuki]]</f>
        <v>517954.59138711687</v>
      </c>
      <c r="T208" s="479">
        <f>(Taulukko8[[#This Row],[Palvelut + toimintamenot, huomioitu vuonna 2025 poistuvat tehtävät]]/$S$6)*$T$2</f>
        <v>488583.9792122838</v>
      </c>
      <c r="U208" s="481">
        <f>Taulukko8[[#This Row],[Skaalattu siirtyvän rahoituksen tasoon ]]*0.5</f>
        <v>244291.9896061419</v>
      </c>
    </row>
    <row r="209" spans="1:21">
      <c r="A209" s="465">
        <v>636</v>
      </c>
      <c r="B209" s="456" t="s">
        <v>214</v>
      </c>
      <c r="C209" s="459">
        <v>8154</v>
      </c>
      <c r="D209" s="459">
        <v>224975.53324311244</v>
      </c>
      <c r="E209" s="459">
        <v>48231.601076620158</v>
      </c>
      <c r="F209" s="473">
        <f>Taulukko8[[#This Row],[Siirtyvän henkilöstön ELY-keskus ja TE-toimistokohtaiset toimintamenot]]+Taulukko8[[#This Row],[Valtakunnalliset toimintamenot]]</f>
        <v>273207.13431973261</v>
      </c>
      <c r="G209" s="459">
        <v>77114.669673186421</v>
      </c>
      <c r="H209" s="459">
        <v>46268.801803911854</v>
      </c>
      <c r="I209" s="459">
        <v>65585.433337484428</v>
      </c>
      <c r="J209" s="459">
        <v>32145.563618637105</v>
      </c>
      <c r="K209" s="459">
        <v>156207.85769907234</v>
      </c>
      <c r="L209" s="459">
        <v>111652.04045743874</v>
      </c>
      <c r="M209" s="459">
        <v>73563.038653330834</v>
      </c>
      <c r="N209" s="459">
        <v>15478.734451218566</v>
      </c>
      <c r="O209" s="473">
        <f>SUM(Taulukko8[[#This Row],[Työvoimaviranomaisille siirtyvä kotoutumiskoulutus]:[Muut palvelut]])</f>
        <v>500901.47002109385</v>
      </c>
      <c r="P209" s="473">
        <f>Taulukko8[[#This Row],[Palvelut yhteensä]]+Taulukko8[[#This Row],[Toimintamenot yhteensä]]</f>
        <v>774108.60434082639</v>
      </c>
      <c r="Q209" s="481">
        <v>6978.252528589921</v>
      </c>
      <c r="R209" s="481">
        <v>69782.525285899203</v>
      </c>
      <c r="S209" s="473">
        <f>Taulukko8[[#This Row],[Palvelut + toimintamenot]]-Taulukko8[[#This Row],[Poistuva velvoitetyöllistäminen]]-Taulukko8[[#This Row],[Poistuvaksi ehdotettu  palkkatuki]]</f>
        <v>697347.8265263373</v>
      </c>
      <c r="T209" s="479">
        <f>(Taulukko8[[#This Row],[Palvelut + toimintamenot, huomioitu vuonna 2025 poistuvat tehtävät]]/$S$6)*$T$2</f>
        <v>657804.72196765977</v>
      </c>
      <c r="U209" s="481">
        <f>Taulukko8[[#This Row],[Skaalattu siirtyvän rahoituksen tasoon ]]*0.5</f>
        <v>328902.36098382989</v>
      </c>
    </row>
    <row r="210" spans="1:21">
      <c r="A210" s="465">
        <v>638</v>
      </c>
      <c r="B210" s="456" t="s">
        <v>215</v>
      </c>
      <c r="C210" s="459">
        <v>51232</v>
      </c>
      <c r="D210" s="459">
        <v>1860811.4021719885</v>
      </c>
      <c r="E210" s="459">
        <v>398931.88354575535</v>
      </c>
      <c r="F210" s="473">
        <f>Taulukko8[[#This Row],[Siirtyvän henkilöstön ELY-keskus ja TE-toimistokohtaiset toimintamenot]]+Taulukko8[[#This Row],[Valtakunnalliset toimintamenot]]</f>
        <v>2259743.2857177439</v>
      </c>
      <c r="G210" s="459">
        <v>548370.98434265901</v>
      </c>
      <c r="H210" s="459">
        <v>329022.59060559538</v>
      </c>
      <c r="I210" s="459">
        <v>404443.50558115396</v>
      </c>
      <c r="J210" s="459">
        <v>163942.37445504926</v>
      </c>
      <c r="K210" s="459">
        <v>846343.20877479645</v>
      </c>
      <c r="L210" s="459">
        <v>607354.53974058595</v>
      </c>
      <c r="M210" s="459">
        <v>483286.28957844869</v>
      </c>
      <c r="N210" s="459">
        <v>128027.27986822843</v>
      </c>
      <c r="O210" s="473">
        <f>SUM(Taulukko8[[#This Row],[Työvoimaviranomaisille siirtyvä kotoutumiskoulutus]:[Muut palvelut]])</f>
        <v>2962419.7886038576</v>
      </c>
      <c r="P210" s="473">
        <f>Taulukko8[[#This Row],[Palvelut yhteensä]]+Taulukko8[[#This Row],[Toimintamenot yhteensä]]</f>
        <v>5222163.0743216015</v>
      </c>
      <c r="Q210" s="481">
        <v>179956.90066387731</v>
      </c>
      <c r="R210" s="481">
        <v>337419.18874477001</v>
      </c>
      <c r="S210" s="473">
        <f>Taulukko8[[#This Row],[Palvelut + toimintamenot]]-Taulukko8[[#This Row],[Poistuva velvoitetyöllistäminen]]-Taulukko8[[#This Row],[Poistuvaksi ehdotettu  palkkatuki]]</f>
        <v>4704786.9849129543</v>
      </c>
      <c r="T210" s="479">
        <f>(Taulukko8[[#This Row],[Palvelut + toimintamenot, huomioitu vuonna 2025 poistuvat tehtävät]]/$S$6)*$T$2</f>
        <v>4438002.0655457592</v>
      </c>
      <c r="U210" s="481">
        <f>Taulukko8[[#This Row],[Skaalattu siirtyvän rahoituksen tasoon ]]*0.5</f>
        <v>2219001.0327728796</v>
      </c>
    </row>
    <row r="211" spans="1:21">
      <c r="A211" s="465">
        <v>678</v>
      </c>
      <c r="B211" s="456" t="s">
        <v>216</v>
      </c>
      <c r="C211" s="459">
        <v>24073</v>
      </c>
      <c r="D211" s="459">
        <v>990813.15255042352</v>
      </c>
      <c r="E211" s="459">
        <v>212416.45269772221</v>
      </c>
      <c r="F211" s="473">
        <f>Taulukko8[[#This Row],[Siirtyvän henkilöstön ELY-keskus ja TE-toimistokohtaiset toimintamenot]]+Taulukko8[[#This Row],[Valtakunnalliset toimintamenot]]</f>
        <v>1203229.6052481458</v>
      </c>
      <c r="G211" s="459">
        <v>411278.23825699429</v>
      </c>
      <c r="H211" s="459">
        <v>246766.94295419657</v>
      </c>
      <c r="I211" s="459">
        <v>131170.86667496886</v>
      </c>
      <c r="J211" s="459">
        <v>112509.47266522987</v>
      </c>
      <c r="K211" s="459">
        <v>722620.09658287617</v>
      </c>
      <c r="L211" s="459">
        <v>252720.91840585289</v>
      </c>
      <c r="M211" s="459">
        <v>102971.76675036075</v>
      </c>
      <c r="N211" s="459">
        <v>68169.784767349774</v>
      </c>
      <c r="O211" s="473">
        <f>SUM(Taulukko8[[#This Row],[Työvoimaviranomaisille siirtyvä kotoutumiskoulutus]:[Muut palvelut]])</f>
        <v>1636929.848800835</v>
      </c>
      <c r="P211" s="473">
        <f>Taulukko8[[#This Row],[Palvelut yhteensä]]+Taulukko8[[#This Row],[Toimintamenot yhteensä]]</f>
        <v>2840159.454048981</v>
      </c>
      <c r="Q211" s="481">
        <v>39487.643500914513</v>
      </c>
      <c r="R211" s="481">
        <v>157950.57400365805</v>
      </c>
      <c r="S211" s="473">
        <f>Taulukko8[[#This Row],[Palvelut + toimintamenot]]-Taulukko8[[#This Row],[Poistuva velvoitetyöllistäminen]]-Taulukko8[[#This Row],[Poistuvaksi ehdotettu  palkkatuki]]</f>
        <v>2642721.2365444084</v>
      </c>
      <c r="T211" s="479">
        <f>(Taulukko8[[#This Row],[Palvelut + toimintamenot, huomioitu vuonna 2025 poistuvat tehtävät]]/$S$6)*$T$2</f>
        <v>2492865.7437745226</v>
      </c>
      <c r="U211" s="481">
        <f>Taulukko8[[#This Row],[Skaalattu siirtyvän rahoituksen tasoon ]]*0.5</f>
        <v>1246432.8718872613</v>
      </c>
    </row>
    <row r="212" spans="1:21">
      <c r="A212" s="465">
        <v>680</v>
      </c>
      <c r="B212" s="456" t="s">
        <v>217</v>
      </c>
      <c r="C212" s="459">
        <v>24942</v>
      </c>
      <c r="D212" s="459">
        <v>831419.02590763953</v>
      </c>
      <c r="E212" s="459">
        <v>178244.58600907467</v>
      </c>
      <c r="F212" s="473">
        <f>Taulukko8[[#This Row],[Siirtyvän henkilöstön ELY-keskus ja TE-toimistokohtaiset toimintamenot]]+Taulukko8[[#This Row],[Valtakunnalliset toimintamenot]]</f>
        <v>1009663.6119167142</v>
      </c>
      <c r="G212" s="459">
        <v>359868.45847486996</v>
      </c>
      <c r="H212" s="459">
        <v>215921.07508492196</v>
      </c>
      <c r="I212" s="459">
        <v>284203.5444624325</v>
      </c>
      <c r="J212" s="459">
        <v>253949.95258723313</v>
      </c>
      <c r="K212" s="459">
        <v>821789.16441685893</v>
      </c>
      <c r="L212" s="459">
        <v>327977.86884372629</v>
      </c>
      <c r="M212" s="459">
        <v>185965.80644633539</v>
      </c>
      <c r="N212" s="459">
        <v>57203.172870395465</v>
      </c>
      <c r="O212" s="473">
        <f>SUM(Taulukko8[[#This Row],[Työvoimaviranomaisille siirtyvä kotoutumiskoulutus]:[Muut palvelut]])</f>
        <v>2147010.5847119032</v>
      </c>
      <c r="P212" s="473">
        <f>Taulukko8[[#This Row],[Palvelut yhteensä]]+Taulukko8[[#This Row],[Toimintamenot yhteensä]]</f>
        <v>3156674.1966286176</v>
      </c>
      <c r="Q212" s="481">
        <v>69782.525285899217</v>
      </c>
      <c r="R212" s="481">
        <v>153521.55562897827</v>
      </c>
      <c r="S212" s="473">
        <f>Taulukko8[[#This Row],[Palvelut + toimintamenot]]-Taulukko8[[#This Row],[Poistuva velvoitetyöllistäminen]]-Taulukko8[[#This Row],[Poistuvaksi ehdotettu  palkkatuki]]</f>
        <v>2933370.1157137402</v>
      </c>
      <c r="T212" s="479">
        <f>(Taulukko8[[#This Row],[Palvelut + toimintamenot, huomioitu vuonna 2025 poistuvat tehtävät]]/$S$6)*$T$2</f>
        <v>2767033.3798945923</v>
      </c>
      <c r="U212" s="481">
        <f>Taulukko8[[#This Row],[Skaalattu siirtyvän rahoituksen tasoon ]]*0.5</f>
        <v>1383516.6899472962</v>
      </c>
    </row>
    <row r="213" spans="1:21">
      <c r="A213" s="465">
        <v>681</v>
      </c>
      <c r="B213" s="456" t="s">
        <v>218</v>
      </c>
      <c r="C213" s="459">
        <v>3308</v>
      </c>
      <c r="D213" s="459">
        <v>106395.68369766475</v>
      </c>
      <c r="E213" s="459">
        <v>22809.743345889496</v>
      </c>
      <c r="F213" s="473">
        <f>Taulukko8[[#This Row],[Siirtyvän henkilöstön ELY-keskus ja TE-toimistokohtaiset toimintamenot]]+Taulukko8[[#This Row],[Valtakunnalliset toimintamenot]]</f>
        <v>129205.42704355424</v>
      </c>
      <c r="G213" s="459">
        <v>17136.593260708094</v>
      </c>
      <c r="H213" s="459">
        <v>10281.955956424856</v>
      </c>
      <c r="I213" s="459">
        <v>32792.716668742214</v>
      </c>
      <c r="J213" s="459">
        <v>12858.225447454843</v>
      </c>
      <c r="K213" s="459">
        <v>117002.07809436273</v>
      </c>
      <c r="L213" s="459">
        <v>33841.785150977201</v>
      </c>
      <c r="M213" s="459">
        <v>10621.303578947369</v>
      </c>
      <c r="N213" s="459">
        <v>7320.2206078665467</v>
      </c>
      <c r="O213" s="473">
        <f>SUM(Taulukko8[[#This Row],[Työvoimaviranomaisille siirtyvä kotoutumiskoulutus]:[Muut palvelut]])</f>
        <v>224718.28550477576</v>
      </c>
      <c r="P213" s="473">
        <f>Taulukko8[[#This Row],[Palvelut yhteensä]]+Taulukko8[[#This Row],[Toimintamenot yhteensä]]</f>
        <v>353923.71254833002</v>
      </c>
      <c r="Q213" s="481">
        <v>16920.8925754886</v>
      </c>
      <c r="R213" s="481">
        <v>8460.4462877443002</v>
      </c>
      <c r="S213" s="473">
        <f>Taulukko8[[#This Row],[Palvelut + toimintamenot]]-Taulukko8[[#This Row],[Poistuva velvoitetyöllistäminen]]-Taulukko8[[#This Row],[Poistuvaksi ehdotettu  palkkatuki]]</f>
        <v>328542.37368509709</v>
      </c>
      <c r="T213" s="479">
        <f>(Taulukko8[[#This Row],[Palvelut + toimintamenot, huomioitu vuonna 2025 poistuvat tehtävät]]/$S$6)*$T$2</f>
        <v>309912.38024366024</v>
      </c>
      <c r="U213" s="481">
        <f>Taulukko8[[#This Row],[Skaalattu siirtyvän rahoituksen tasoon ]]*0.5</f>
        <v>154956.19012183012</v>
      </c>
    </row>
    <row r="214" spans="1:21">
      <c r="A214" s="465">
        <v>683</v>
      </c>
      <c r="B214" s="456" t="s">
        <v>219</v>
      </c>
      <c r="C214" s="459">
        <v>3618</v>
      </c>
      <c r="D214" s="459">
        <v>118314.9763748437</v>
      </c>
      <c r="E214" s="459">
        <v>25365.072635408025</v>
      </c>
      <c r="F214" s="473">
        <f>Taulukko8[[#This Row],[Siirtyvän henkilöstön ELY-keskus ja TE-toimistokohtaiset toimintamenot]]+Taulukko8[[#This Row],[Valtakunnalliset toimintamenot]]</f>
        <v>143680.04901025171</v>
      </c>
      <c r="G214" s="459">
        <v>0</v>
      </c>
      <c r="H214" s="459">
        <v>0</v>
      </c>
      <c r="I214" s="459">
        <v>21861.811112494808</v>
      </c>
      <c r="J214" s="459">
        <v>12858.225447454843</v>
      </c>
      <c r="K214" s="459">
        <v>76533.347706447967</v>
      </c>
      <c r="L214" s="459">
        <v>48267.500700851931</v>
      </c>
      <c r="M214" s="459">
        <v>12770.748740740741</v>
      </c>
      <c r="N214" s="459">
        <v>8140.2900773632045</v>
      </c>
      <c r="O214" s="473">
        <f>SUM(Taulukko8[[#This Row],[Työvoimaviranomaisille siirtyvä kotoutumiskoulutus]:[Muut palvelut]])</f>
        <v>180431.92378535349</v>
      </c>
      <c r="P214" s="473">
        <f>Taulukko8[[#This Row],[Palvelut yhteensä]]+Taulukko8[[#This Row],[Toimintamenot yhteensä]]</f>
        <v>324111.97279560519</v>
      </c>
      <c r="Q214" s="481">
        <v>9653.5001401703867</v>
      </c>
      <c r="R214" s="481">
        <v>19307.000280340773</v>
      </c>
      <c r="S214" s="473">
        <f>Taulukko8[[#This Row],[Palvelut + toimintamenot]]-Taulukko8[[#This Row],[Poistuva velvoitetyöllistäminen]]-Taulukko8[[#This Row],[Poistuvaksi ehdotettu  palkkatuki]]</f>
        <v>295151.47237509402</v>
      </c>
      <c r="T214" s="479">
        <f>(Taulukko8[[#This Row],[Palvelut + toimintamenot, huomioitu vuonna 2025 poistuvat tehtävät]]/$S$6)*$T$2</f>
        <v>278414.90980356769</v>
      </c>
      <c r="U214" s="481">
        <f>Taulukko8[[#This Row],[Skaalattu siirtyvän rahoituksen tasoon ]]*0.5</f>
        <v>139207.45490178384</v>
      </c>
    </row>
    <row r="215" spans="1:21">
      <c r="A215" s="465">
        <v>684</v>
      </c>
      <c r="B215" s="456" t="s">
        <v>220</v>
      </c>
      <c r="C215" s="459">
        <v>38667</v>
      </c>
      <c r="D215" s="459">
        <v>1497342.9139394823</v>
      </c>
      <c r="E215" s="459">
        <v>321009.33403274446</v>
      </c>
      <c r="F215" s="473">
        <f>Taulukko8[[#This Row],[Siirtyvän henkilöstön ELY-keskus ja TE-toimistokohtaiset toimintamenot]]+Taulukko8[[#This Row],[Valtakunnalliset toimintamenot]]</f>
        <v>1818352.2479722267</v>
      </c>
      <c r="G215" s="459">
        <v>582644.17086407519</v>
      </c>
      <c r="H215" s="459">
        <v>349586.50251844508</v>
      </c>
      <c r="I215" s="459">
        <v>459098.033362391</v>
      </c>
      <c r="J215" s="459">
        <v>212160.7198830049</v>
      </c>
      <c r="K215" s="459">
        <v>589599.52075168525</v>
      </c>
      <c r="L215" s="459">
        <v>448294.44195668981</v>
      </c>
      <c r="M215" s="459">
        <v>198804.0544378378</v>
      </c>
      <c r="N215" s="459">
        <v>103019.97294184707</v>
      </c>
      <c r="O215" s="473">
        <f>SUM(Taulukko8[[#This Row],[Työvoimaviranomaisille siirtyvä kotoutumiskoulutus]:[Muut palvelut]])</f>
        <v>2360563.2458519009</v>
      </c>
      <c r="P215" s="473">
        <f>Taulukko8[[#This Row],[Palvelut yhteensä]]+Taulukko8[[#This Row],[Toimintamenot yhteensä]]</f>
        <v>4178915.4938241276</v>
      </c>
      <c r="Q215" s="481">
        <v>105481.04516627996</v>
      </c>
      <c r="R215" s="481">
        <v>272492.70001288987</v>
      </c>
      <c r="S215" s="473">
        <f>Taulukko8[[#This Row],[Palvelut + toimintamenot]]-Taulukko8[[#This Row],[Poistuva velvoitetyöllistäminen]]-Taulukko8[[#This Row],[Poistuvaksi ehdotettu  palkkatuki]]</f>
        <v>3800941.7486449578</v>
      </c>
      <c r="T215" s="479">
        <f>(Taulukko8[[#This Row],[Palvelut + toimintamenot, huomioitu vuonna 2025 poistuvat tehtävät]]/$S$6)*$T$2</f>
        <v>3585409.3682878027</v>
      </c>
      <c r="U215" s="481">
        <f>Taulukko8[[#This Row],[Skaalattu siirtyvän rahoituksen tasoon ]]*0.5</f>
        <v>1792704.6841439013</v>
      </c>
    </row>
    <row r="216" spans="1:21">
      <c r="A216" s="465">
        <v>686</v>
      </c>
      <c r="B216" s="456" t="s">
        <v>221</v>
      </c>
      <c r="C216" s="459">
        <v>2964</v>
      </c>
      <c r="D216" s="459">
        <v>88128.363235111858</v>
      </c>
      <c r="E216" s="459">
        <v>18893.485872964469</v>
      </c>
      <c r="F216" s="473">
        <f>Taulukko8[[#This Row],[Siirtyvän henkilöstön ELY-keskus ja TE-toimistokohtaiset toimintamenot]]+Taulukko8[[#This Row],[Valtakunnalliset toimintamenot]]</f>
        <v>107021.84910807633</v>
      </c>
      <c r="G216" s="459">
        <v>25704.889891062143</v>
      </c>
      <c r="H216" s="459">
        <v>15422.933934637285</v>
      </c>
      <c r="I216" s="459">
        <v>21861.811112494808</v>
      </c>
      <c r="J216" s="459">
        <v>12858.225447454843</v>
      </c>
      <c r="K216" s="459">
        <v>87723.843438914031</v>
      </c>
      <c r="L216" s="459">
        <v>53107.64648159824</v>
      </c>
      <c r="M216" s="459">
        <v>4819.4079687499998</v>
      </c>
      <c r="N216" s="459">
        <v>6063.3950388851526</v>
      </c>
      <c r="O216" s="473">
        <f>SUM(Taulukko8[[#This Row],[Työvoimaviranomaisille siirtyvä kotoutumiskoulutus]:[Muut palvelut]])</f>
        <v>201857.26342273434</v>
      </c>
      <c r="P216" s="473">
        <f>Taulukko8[[#This Row],[Palvelut yhteensä]]+Taulukko8[[#This Row],[Toimintamenot yhteensä]]</f>
        <v>308879.11253081064</v>
      </c>
      <c r="Q216" s="481">
        <v>7586.8066402283193</v>
      </c>
      <c r="R216" s="481">
        <v>22760.419920684959</v>
      </c>
      <c r="S216" s="473">
        <f>Taulukko8[[#This Row],[Palvelut + toimintamenot]]-Taulukko8[[#This Row],[Poistuva velvoitetyöllistäminen]]-Taulukko8[[#This Row],[Poistuvaksi ehdotettu  palkkatuki]]</f>
        <v>278531.88596989738</v>
      </c>
      <c r="T216" s="479">
        <f>(Taulukko8[[#This Row],[Palvelut + toimintamenot, huomioitu vuonna 2025 poistuvat tehtävät]]/$S$6)*$T$2</f>
        <v>262737.7369514702</v>
      </c>
      <c r="U216" s="481">
        <f>Taulukko8[[#This Row],[Skaalattu siirtyvän rahoituksen tasoon ]]*0.5</f>
        <v>131368.8684757351</v>
      </c>
    </row>
    <row r="217" spans="1:21">
      <c r="A217" s="465">
        <v>687</v>
      </c>
      <c r="B217" s="456" t="s">
        <v>222</v>
      </c>
      <c r="C217" s="459">
        <v>1477</v>
      </c>
      <c r="D217" s="459">
        <v>56769.165497425318</v>
      </c>
      <c r="E217" s="459">
        <v>12170.513407631948</v>
      </c>
      <c r="F217" s="473">
        <f>Taulukko8[[#This Row],[Siirtyvän henkilöstön ELY-keskus ja TE-toimistokohtaiset toimintamenot]]+Taulukko8[[#This Row],[Valtakunnalliset toimintamenot]]</f>
        <v>68939.67890505727</v>
      </c>
      <c r="G217" s="459">
        <v>8568.296630354047</v>
      </c>
      <c r="H217" s="459">
        <v>5140.9779782124278</v>
      </c>
      <c r="I217" s="459">
        <v>10930.905556247404</v>
      </c>
      <c r="J217" s="459">
        <v>3214.5563618637107</v>
      </c>
      <c r="K217" s="459">
        <v>43861.921719457016</v>
      </c>
      <c r="L217" s="459">
        <v>22760.419920684959</v>
      </c>
      <c r="M217" s="459">
        <v>0</v>
      </c>
      <c r="N217" s="459">
        <v>3905.8240026588637</v>
      </c>
      <c r="O217" s="473">
        <f>SUM(Taulukko8[[#This Row],[Työvoimaviranomaisille siirtyvä kotoutumiskoulutus]:[Muut palvelut]])</f>
        <v>89814.605539124372</v>
      </c>
      <c r="P217" s="473">
        <f>Taulukko8[[#This Row],[Palvelut yhteensä]]+Taulukko8[[#This Row],[Toimintamenot yhteensä]]</f>
        <v>158754.28444418166</v>
      </c>
      <c r="Q217" s="481">
        <v>15173.613280456639</v>
      </c>
      <c r="R217" s="481">
        <v>7586.8066402283193</v>
      </c>
      <c r="S217" s="473">
        <f>Taulukko8[[#This Row],[Palvelut + toimintamenot]]-Taulukko8[[#This Row],[Poistuva velvoitetyöllistäminen]]-Taulukko8[[#This Row],[Poistuvaksi ehdotettu  palkkatuki]]</f>
        <v>135993.86452349671</v>
      </c>
      <c r="T217" s="479">
        <f>(Taulukko8[[#This Row],[Palvelut + toimintamenot, huomioitu vuonna 2025 poistuvat tehtävät]]/$S$6)*$T$2</f>
        <v>128282.33320493146</v>
      </c>
      <c r="U217" s="481">
        <f>Taulukko8[[#This Row],[Skaalattu siirtyvän rahoituksen tasoon ]]*0.5</f>
        <v>64141.166602465732</v>
      </c>
    </row>
    <row r="218" spans="1:21">
      <c r="A218" s="465">
        <v>689</v>
      </c>
      <c r="B218" s="456" t="s">
        <v>223</v>
      </c>
      <c r="C218" s="459">
        <v>3093</v>
      </c>
      <c r="D218" s="459">
        <v>154501.4132442117</v>
      </c>
      <c r="E218" s="459">
        <v>33122.937512126082</v>
      </c>
      <c r="F218" s="473">
        <f>Taulukko8[[#This Row],[Siirtyvän henkilöstön ELY-keskus ja TE-toimistokohtaiset toimintamenot]]+Taulukko8[[#This Row],[Valtakunnalliset toimintamenot]]</f>
        <v>187624.35075633778</v>
      </c>
      <c r="G218" s="459">
        <v>34273.186521416188</v>
      </c>
      <c r="H218" s="459">
        <v>20563.911912849711</v>
      </c>
      <c r="I218" s="459">
        <v>43723.622224989616</v>
      </c>
      <c r="J218" s="459">
        <v>9643.6690855911329</v>
      </c>
      <c r="K218" s="459">
        <v>162005.22341254383</v>
      </c>
      <c r="L218" s="459">
        <v>93834.177111672063</v>
      </c>
      <c r="M218" s="459">
        <v>27944.290999999997</v>
      </c>
      <c r="N218" s="459">
        <v>10629.984129700249</v>
      </c>
      <c r="O218" s="473">
        <f>SUM(Taulukko8[[#This Row],[Työvoimaviranomaisille siirtyvä kotoutumiskoulutus]:[Muut palvelut]])</f>
        <v>368344.87887734652</v>
      </c>
      <c r="P218" s="473">
        <f>Taulukko8[[#This Row],[Palvelut yhteensä]]+Taulukko8[[#This Row],[Toimintamenot yhteensä]]</f>
        <v>555969.22963368427</v>
      </c>
      <c r="Q218" s="481">
        <v>20852.039358149344</v>
      </c>
      <c r="R218" s="481">
        <v>72982.137753522722</v>
      </c>
      <c r="S218" s="473">
        <f>Taulukko8[[#This Row],[Palvelut + toimintamenot]]-Taulukko8[[#This Row],[Poistuva velvoitetyöllistäminen]]-Taulukko8[[#This Row],[Poistuvaksi ehdotettu  palkkatuki]]</f>
        <v>462135.05252201215</v>
      </c>
      <c r="T218" s="479">
        <f>(Taulukko8[[#This Row],[Palvelut + toimintamenot, huomioitu vuonna 2025 poistuvat tehtävät]]/$S$6)*$T$2</f>
        <v>435929.68698278558</v>
      </c>
      <c r="U218" s="481">
        <f>Taulukko8[[#This Row],[Skaalattu siirtyvän rahoituksen tasoon ]]*0.5</f>
        <v>217964.84349139279</v>
      </c>
    </row>
    <row r="219" spans="1:21">
      <c r="A219" s="465">
        <v>691</v>
      </c>
      <c r="B219" s="456" t="s">
        <v>224</v>
      </c>
      <c r="C219" s="459">
        <v>2636</v>
      </c>
      <c r="D219" s="459">
        <v>61138.084760870683</v>
      </c>
      <c r="E219" s="459">
        <v>13107.148463065956</v>
      </c>
      <c r="F219" s="473">
        <f>Taulukko8[[#This Row],[Siirtyvän henkilöstön ELY-keskus ja TE-toimistokohtaiset toimintamenot]]+Taulukko8[[#This Row],[Valtakunnalliset toimintamenot]]</f>
        <v>74245.233223936637</v>
      </c>
      <c r="G219" s="459">
        <v>0</v>
      </c>
      <c r="H219" s="459">
        <v>0</v>
      </c>
      <c r="I219" s="459">
        <v>0</v>
      </c>
      <c r="J219" s="459">
        <v>6429.1127237274213</v>
      </c>
      <c r="K219" s="459">
        <v>62448.650321976951</v>
      </c>
      <c r="L219" s="459">
        <v>23692.58610054871</v>
      </c>
      <c r="M219" s="459">
        <v>14817.994632034633</v>
      </c>
      <c r="N219" s="459">
        <v>4206.4137607665025</v>
      </c>
      <c r="O219" s="473">
        <f>SUM(Taulukko8[[#This Row],[Työvoimaviranomaisille siirtyvä kotoutumiskoulutus]:[Muut palvelut]])</f>
        <v>111594.75753905422</v>
      </c>
      <c r="P219" s="473">
        <f>Taulukko8[[#This Row],[Palvelut yhteensä]]+Taulukko8[[#This Row],[Toimintamenot yhteensä]]</f>
        <v>185839.99076299084</v>
      </c>
      <c r="Q219" s="481">
        <v>0</v>
      </c>
      <c r="R219" s="481">
        <v>15795.057400365806</v>
      </c>
      <c r="S219" s="473">
        <f>Taulukko8[[#This Row],[Palvelut + toimintamenot]]-Taulukko8[[#This Row],[Poistuva velvoitetyöllistäminen]]-Taulukko8[[#This Row],[Poistuvaksi ehdotettu  palkkatuki]]</f>
        <v>170044.93336262504</v>
      </c>
      <c r="T219" s="479">
        <f>(Taulukko8[[#This Row],[Palvelut + toimintamenot, huomioitu vuonna 2025 poistuvat tehtävät]]/$S$6)*$T$2</f>
        <v>160402.53637814449</v>
      </c>
      <c r="U219" s="481">
        <f>Taulukko8[[#This Row],[Skaalattu siirtyvän rahoituksen tasoon ]]*0.5</f>
        <v>80201.268189072245</v>
      </c>
    </row>
    <row r="220" spans="1:21">
      <c r="A220" s="465">
        <v>694</v>
      </c>
      <c r="B220" s="456" t="s">
        <v>225</v>
      </c>
      <c r="C220" s="459">
        <v>28349</v>
      </c>
      <c r="D220" s="459">
        <v>1104559.8107581087</v>
      </c>
      <c r="E220" s="459">
        <v>236802.14194750952</v>
      </c>
      <c r="F220" s="473">
        <f>Taulukko8[[#This Row],[Siirtyvän henkilöstön ELY-keskus ja TE-toimistokohtaiset toimintamenot]]+Taulukko8[[#This Row],[Valtakunnalliset toimintamenot]]</f>
        <v>1341361.9527056182</v>
      </c>
      <c r="G220" s="459">
        <v>317026.97532309976</v>
      </c>
      <c r="H220" s="459">
        <v>190216.18519385986</v>
      </c>
      <c r="I220" s="459">
        <v>185825.39445620586</v>
      </c>
      <c r="J220" s="459">
        <v>228233.50169232345</v>
      </c>
      <c r="K220" s="459">
        <v>587399.52489539748</v>
      </c>
      <c r="L220" s="459">
        <v>583437.80133793445</v>
      </c>
      <c r="M220" s="459">
        <v>92919.559048520721</v>
      </c>
      <c r="N220" s="459">
        <v>75995.766071759834</v>
      </c>
      <c r="O220" s="473">
        <f>SUM(Taulukko8[[#This Row],[Työvoimaviranomaisille siirtyvä kotoutumiskoulutus]:[Muut palvelut]])</f>
        <v>1944027.7326960019</v>
      </c>
      <c r="P220" s="473">
        <f>Taulukko8[[#This Row],[Palvelut yhteensä]]+Taulukko8[[#This Row],[Toimintamenot yhteensä]]</f>
        <v>3285389.6854016203</v>
      </c>
      <c r="Q220" s="481">
        <v>48619.816778161199</v>
      </c>
      <c r="R220" s="481">
        <v>340338.71744712844</v>
      </c>
      <c r="S220" s="473">
        <f>Taulukko8[[#This Row],[Palvelut + toimintamenot]]-Taulukko8[[#This Row],[Poistuva velvoitetyöllistäminen]]-Taulukko8[[#This Row],[Poistuvaksi ehdotettu  palkkatuki]]</f>
        <v>2896431.1511763306</v>
      </c>
      <c r="T220" s="479">
        <f>(Taulukko8[[#This Row],[Palvelut + toimintamenot, huomioitu vuonna 2025 poistuvat tehtävät]]/$S$6)*$T$2</f>
        <v>2732189.0391323338</v>
      </c>
      <c r="U220" s="481">
        <f>Taulukko8[[#This Row],[Skaalattu siirtyvän rahoituksen tasoon ]]*0.5</f>
        <v>1366094.5195661669</v>
      </c>
    </row>
    <row r="221" spans="1:21">
      <c r="A221" s="465">
        <v>697</v>
      </c>
      <c r="B221" s="456" t="s">
        <v>226</v>
      </c>
      <c r="C221" s="459">
        <v>1174</v>
      </c>
      <c r="D221" s="459">
        <v>43070.16320203089</v>
      </c>
      <c r="E221" s="459">
        <v>9233.6393203276311</v>
      </c>
      <c r="F221" s="473">
        <f>Taulukko8[[#This Row],[Siirtyvän henkilöstön ELY-keskus ja TE-toimistokohtaiset toimintamenot]]+Taulukko8[[#This Row],[Valtakunnalliset toimintamenot]]</f>
        <v>52303.802522358521</v>
      </c>
      <c r="G221" s="459">
        <v>8568.296630354047</v>
      </c>
      <c r="H221" s="459">
        <v>5140.9779782124278</v>
      </c>
      <c r="I221" s="459">
        <v>10930.905556247404</v>
      </c>
      <c r="J221" s="459">
        <v>0</v>
      </c>
      <c r="K221" s="459">
        <v>98620.304473684213</v>
      </c>
      <c r="L221" s="459">
        <v>0</v>
      </c>
      <c r="M221" s="459">
        <v>6794.6134482758616</v>
      </c>
      <c r="N221" s="459">
        <v>2963.3072066306199</v>
      </c>
      <c r="O221" s="473">
        <f>SUM(Taulukko8[[#This Row],[Työvoimaviranomaisille siirtyvä kotoutumiskoulutus]:[Muut palvelut]])</f>
        <v>124450.10866305053</v>
      </c>
      <c r="P221" s="473">
        <f>Taulukko8[[#This Row],[Palvelut yhteensä]]+Taulukko8[[#This Row],[Toimintamenot yhteensä]]</f>
        <v>176753.91118540906</v>
      </c>
      <c r="Q221" s="481">
        <v>0</v>
      </c>
      <c r="R221" s="481">
        <v>0</v>
      </c>
      <c r="S221" s="473">
        <f>Taulukko8[[#This Row],[Palvelut + toimintamenot]]-Taulukko8[[#This Row],[Poistuva velvoitetyöllistäminen]]-Taulukko8[[#This Row],[Poistuvaksi ehdotettu  palkkatuki]]</f>
        <v>176753.91118540906</v>
      </c>
      <c r="T221" s="479">
        <f>(Taulukko8[[#This Row],[Palvelut + toimintamenot, huomioitu vuonna 2025 poistuvat tehtävät]]/$S$6)*$T$2</f>
        <v>166731.0816514364</v>
      </c>
      <c r="U221" s="481">
        <f>Taulukko8[[#This Row],[Skaalattu siirtyvän rahoituksen tasoon ]]*0.5</f>
        <v>83365.540825718199</v>
      </c>
    </row>
    <row r="222" spans="1:21">
      <c r="A222" s="465">
        <v>698</v>
      </c>
      <c r="B222" s="456" t="s">
        <v>227</v>
      </c>
      <c r="C222" s="459">
        <v>64535</v>
      </c>
      <c r="D222" s="459">
        <v>2530041.7406818196</v>
      </c>
      <c r="E222" s="459">
        <v>542405.48820878973</v>
      </c>
      <c r="F222" s="473">
        <f>Taulukko8[[#This Row],[Siirtyvän henkilöstön ELY-keskus ja TE-toimistokohtaiset toimintamenot]]+Taulukko8[[#This Row],[Valtakunnalliset toimintamenot]]</f>
        <v>3072447.2288906095</v>
      </c>
      <c r="G222" s="459">
        <v>822556.47651398857</v>
      </c>
      <c r="H222" s="459">
        <v>493533.88590839313</v>
      </c>
      <c r="I222" s="459">
        <v>1016574.2167310086</v>
      </c>
      <c r="J222" s="459">
        <v>1125094.7266522988</v>
      </c>
      <c r="K222" s="459">
        <v>2074904.0933748116</v>
      </c>
      <c r="L222" s="459">
        <v>579210.00841022318</v>
      </c>
      <c r="M222" s="459">
        <v>801276.64592592581</v>
      </c>
      <c r="N222" s="459">
        <v>174071.56987241682</v>
      </c>
      <c r="O222" s="473">
        <f>SUM(Taulukko8[[#This Row],[Työvoimaviranomaisille siirtyvä kotoutumiskoulutus]:[Muut palvelut]])</f>
        <v>6264665.1468750779</v>
      </c>
      <c r="P222" s="473">
        <f>Taulukko8[[#This Row],[Palvelut yhteensä]]+Taulukko8[[#This Row],[Toimintamenot yhteensä]]</f>
        <v>9337112.3757656869</v>
      </c>
      <c r="Q222" s="481">
        <v>154456.00224272619</v>
      </c>
      <c r="R222" s="481">
        <v>231684.00336408929</v>
      </c>
      <c r="S222" s="473">
        <f>Taulukko8[[#This Row],[Palvelut + toimintamenot]]-Taulukko8[[#This Row],[Poistuva velvoitetyöllistäminen]]-Taulukko8[[#This Row],[Poistuvaksi ehdotettu  palkkatuki]]</f>
        <v>8950972.3701588716</v>
      </c>
      <c r="T222" s="479">
        <f>(Taulukko8[[#This Row],[Palvelut + toimintamenot, huomioitu vuonna 2025 poistuvat tehtävät]]/$S$6)*$T$2</f>
        <v>8443407.5325395521</v>
      </c>
      <c r="U222" s="481">
        <f>Taulukko8[[#This Row],[Skaalattu siirtyvän rahoituksen tasoon ]]*0.5</f>
        <v>4221703.766269776</v>
      </c>
    </row>
    <row r="223" spans="1:21">
      <c r="A223" s="465">
        <v>700</v>
      </c>
      <c r="B223" s="456" t="s">
        <v>228</v>
      </c>
      <c r="C223" s="459">
        <v>4842</v>
      </c>
      <c r="D223" s="459">
        <v>177661.44710533691</v>
      </c>
      <c r="E223" s="459">
        <v>38088.124161572574</v>
      </c>
      <c r="F223" s="473">
        <f>Taulukko8[[#This Row],[Siirtyvän henkilöstön ELY-keskus ja TE-toimistokohtaiset toimintamenot]]+Taulukko8[[#This Row],[Valtakunnalliset toimintamenot]]</f>
        <v>215749.57126690948</v>
      </c>
      <c r="G223" s="459">
        <v>17136.593260708094</v>
      </c>
      <c r="H223" s="459">
        <v>10281.955956424856</v>
      </c>
      <c r="I223" s="459">
        <v>21861.811112494808</v>
      </c>
      <c r="J223" s="459">
        <v>12858.225447454843</v>
      </c>
      <c r="K223" s="459">
        <v>129604.17873003506</v>
      </c>
      <c r="L223" s="459">
        <v>93834.177111672063</v>
      </c>
      <c r="M223" s="459">
        <v>31325.979076923075</v>
      </c>
      <c r="N223" s="459">
        <v>12223.437465935704</v>
      </c>
      <c r="O223" s="473">
        <f>SUM(Taulukko8[[#This Row],[Työvoimaviranomaisille siirtyvä kotoutumiskoulutus]:[Muut palvelut]])</f>
        <v>311989.76490094047</v>
      </c>
      <c r="P223" s="473">
        <f>Taulukko8[[#This Row],[Palvelut yhteensä]]+Taulukko8[[#This Row],[Toimintamenot yhteensä]]</f>
        <v>527739.33616784995</v>
      </c>
      <c r="Q223" s="481">
        <v>10426.019679074672</v>
      </c>
      <c r="R223" s="481">
        <v>41704.078716298689</v>
      </c>
      <c r="S223" s="473">
        <f>Taulukko8[[#This Row],[Palvelut + toimintamenot]]-Taulukko8[[#This Row],[Poistuva velvoitetyöllistäminen]]-Taulukko8[[#This Row],[Poistuvaksi ehdotettu  palkkatuki]]</f>
        <v>475609.23777247657</v>
      </c>
      <c r="T223" s="479">
        <f>(Taulukko8[[#This Row],[Palvelut + toimintamenot, huomioitu vuonna 2025 poistuvat tehtävät]]/$S$6)*$T$2</f>
        <v>448639.81863483816</v>
      </c>
      <c r="U223" s="481">
        <f>Taulukko8[[#This Row],[Skaalattu siirtyvän rahoituksen tasoon ]]*0.5</f>
        <v>224319.90931741908</v>
      </c>
    </row>
    <row r="224" spans="1:21">
      <c r="A224" s="465">
        <v>702</v>
      </c>
      <c r="B224" s="456" t="s">
        <v>229</v>
      </c>
      <c r="C224" s="459">
        <v>4114</v>
      </c>
      <c r="D224" s="459">
        <v>144582.06181024478</v>
      </c>
      <c r="E224" s="459">
        <v>30996.367594032381</v>
      </c>
      <c r="F224" s="473">
        <f>Taulukko8[[#This Row],[Siirtyvän henkilöstön ELY-keskus ja TE-toimistokohtaiset toimintamenot]]+Taulukko8[[#This Row],[Valtakunnalliset toimintamenot]]</f>
        <v>175578.42940427715</v>
      </c>
      <c r="G224" s="459">
        <v>0</v>
      </c>
      <c r="H224" s="459">
        <v>0</v>
      </c>
      <c r="I224" s="459">
        <v>43723.622224989616</v>
      </c>
      <c r="J224" s="459">
        <v>0</v>
      </c>
      <c r="K224" s="459">
        <v>135071.70821948998</v>
      </c>
      <c r="L224" s="459">
        <v>194116.96849483135</v>
      </c>
      <c r="M224" s="459">
        <v>40138.541441345253</v>
      </c>
      <c r="N224" s="459">
        <v>9947.5143314899215</v>
      </c>
      <c r="O224" s="473">
        <f>SUM(Taulukko8[[#This Row],[Työvoimaviranomaisille siirtyvä kotoutumiskoulutus]:[Muut palvelut]])</f>
        <v>422998.3547121461</v>
      </c>
      <c r="P224" s="473">
        <f>Taulukko8[[#This Row],[Palvelut yhteensä]]+Taulukko8[[#This Row],[Toimintamenot yhteensä]]</f>
        <v>598576.78411642322</v>
      </c>
      <c r="Q224" s="481">
        <v>13387.377137574576</v>
      </c>
      <c r="R224" s="481">
        <v>107099.01710059661</v>
      </c>
      <c r="S224" s="473">
        <f>Taulukko8[[#This Row],[Palvelut + toimintamenot]]-Taulukko8[[#This Row],[Poistuva velvoitetyöllistäminen]]-Taulukko8[[#This Row],[Poistuvaksi ehdotettu  palkkatuki]]</f>
        <v>478090.389878252</v>
      </c>
      <c r="T224" s="479">
        <f>(Taulukko8[[#This Row],[Palvelut + toimintamenot, huomioitu vuonna 2025 poistuvat tehtävät]]/$S$6)*$T$2</f>
        <v>450980.27702449006</v>
      </c>
      <c r="U224" s="481">
        <f>Taulukko8[[#This Row],[Skaalattu siirtyvän rahoituksen tasoon ]]*0.5</f>
        <v>225490.13851224503</v>
      </c>
    </row>
    <row r="225" spans="1:21">
      <c r="A225" s="465">
        <v>704</v>
      </c>
      <c r="B225" s="456" t="s">
        <v>230</v>
      </c>
      <c r="C225" s="459">
        <v>6428</v>
      </c>
      <c r="D225" s="459">
        <v>115886.4762938005</v>
      </c>
      <c r="E225" s="459">
        <v>24844.436255820732</v>
      </c>
      <c r="F225" s="473">
        <f>Taulukko8[[#This Row],[Siirtyvän henkilöstön ELY-keskus ja TE-toimistokohtaiset toimintamenot]]+Taulukko8[[#This Row],[Valtakunnalliset toimintamenot]]</f>
        <v>140730.91254962122</v>
      </c>
      <c r="G225" s="459">
        <v>8568.296630354047</v>
      </c>
      <c r="H225" s="459">
        <v>5140.9779782124278</v>
      </c>
      <c r="I225" s="459">
        <v>10930.905556247404</v>
      </c>
      <c r="J225" s="459">
        <v>28931.007256773395</v>
      </c>
      <c r="K225" s="459">
        <v>122249.62776449141</v>
      </c>
      <c r="L225" s="459">
        <v>20934.757585769763</v>
      </c>
      <c r="M225" s="459">
        <v>72906.552860937431</v>
      </c>
      <c r="N225" s="459">
        <v>7973.2047622298032</v>
      </c>
      <c r="O225" s="473">
        <f>SUM(Taulukko8[[#This Row],[Työvoimaviranomaisille siirtyvä kotoutumiskoulutus]:[Muut palvelut]])</f>
        <v>269067.03376466164</v>
      </c>
      <c r="P225" s="473">
        <f>Taulukko8[[#This Row],[Palvelut yhteensä]]+Taulukko8[[#This Row],[Toimintamenot yhteensä]]</f>
        <v>409797.94631428283</v>
      </c>
      <c r="Q225" s="481">
        <v>0</v>
      </c>
      <c r="R225" s="481">
        <v>20934.757585769763</v>
      </c>
      <c r="S225" s="473">
        <f>Taulukko8[[#This Row],[Palvelut + toimintamenot]]-Taulukko8[[#This Row],[Poistuva velvoitetyöllistäminen]]-Taulukko8[[#This Row],[Poistuvaksi ehdotettu  palkkatuki]]</f>
        <v>388863.18872851308</v>
      </c>
      <c r="T225" s="479">
        <f>(Taulukko8[[#This Row],[Palvelut + toimintamenot, huomioitu vuonna 2025 poistuvat tehtävät]]/$S$6)*$T$2</f>
        <v>366812.7038112398</v>
      </c>
      <c r="U225" s="481">
        <f>Taulukko8[[#This Row],[Skaalattu siirtyvän rahoituksen tasoon ]]*0.5</f>
        <v>183406.3519056199</v>
      </c>
    </row>
    <row r="226" spans="1:21">
      <c r="A226" s="465">
        <v>707</v>
      </c>
      <c r="B226" s="456" t="s">
        <v>231</v>
      </c>
      <c r="C226" s="459">
        <v>1960</v>
      </c>
      <c r="D226" s="459">
        <v>94488.295432647777</v>
      </c>
      <c r="E226" s="459">
        <v>20256.966195486591</v>
      </c>
      <c r="F226" s="473">
        <f>Taulukko8[[#This Row],[Siirtyvän henkilöstön ELY-keskus ja TE-toimistokohtaiset toimintamenot]]+Taulukko8[[#This Row],[Valtakunnalliset toimintamenot]]</f>
        <v>114745.26162813437</v>
      </c>
      <c r="G226" s="459">
        <v>59978.076412478331</v>
      </c>
      <c r="H226" s="459">
        <v>35986.845847486999</v>
      </c>
      <c r="I226" s="459">
        <v>0</v>
      </c>
      <c r="J226" s="459">
        <v>0</v>
      </c>
      <c r="K226" s="459">
        <v>192531.44912138727</v>
      </c>
      <c r="L226" s="459">
        <v>86973.959032151135</v>
      </c>
      <c r="M226" s="459">
        <v>0</v>
      </c>
      <c r="N226" s="459">
        <v>6500.9701840323078</v>
      </c>
      <c r="O226" s="473">
        <f>SUM(Taulukko8[[#This Row],[Työvoimaviranomaisille siirtyvä kotoutumiskoulutus]:[Muut palvelut]])</f>
        <v>321993.22418505768</v>
      </c>
      <c r="P226" s="473">
        <f>Taulukko8[[#This Row],[Palvelut yhteensä]]+Taulukko8[[#This Row],[Toimintamenot yhteensä]]</f>
        <v>436738.48581319203</v>
      </c>
      <c r="Q226" s="481">
        <v>0</v>
      </c>
      <c r="R226" s="481">
        <v>54358.724395094461</v>
      </c>
      <c r="S226" s="473">
        <f>Taulukko8[[#This Row],[Palvelut + toimintamenot]]-Taulukko8[[#This Row],[Poistuva velvoitetyöllistäminen]]-Taulukko8[[#This Row],[Poistuvaksi ehdotettu  palkkatuki]]</f>
        <v>382379.76141809759</v>
      </c>
      <c r="T226" s="479">
        <f>(Taulukko8[[#This Row],[Palvelut + toimintamenot, huomioitu vuonna 2025 poistuvat tehtävät]]/$S$6)*$T$2</f>
        <v>360696.91920978832</v>
      </c>
      <c r="U226" s="481">
        <f>Taulukko8[[#This Row],[Skaalattu siirtyvän rahoituksen tasoon ]]*0.5</f>
        <v>180348.45960489416</v>
      </c>
    </row>
    <row r="227" spans="1:21">
      <c r="A227" s="465">
        <v>710</v>
      </c>
      <c r="B227" s="456" t="s">
        <v>232</v>
      </c>
      <c r="C227" s="459">
        <v>27306</v>
      </c>
      <c r="D227" s="459">
        <v>964861.53403731482</v>
      </c>
      <c r="E227" s="459">
        <v>206852.78942566187</v>
      </c>
      <c r="F227" s="473">
        <f>Taulukko8[[#This Row],[Siirtyvän henkilöstön ELY-keskus ja TE-toimistokohtaiset toimintamenot]]+Taulukko8[[#This Row],[Valtakunnalliset toimintamenot]]</f>
        <v>1171714.3234629766</v>
      </c>
      <c r="G227" s="459">
        <v>239912.30564991332</v>
      </c>
      <c r="H227" s="459">
        <v>143947.38338994799</v>
      </c>
      <c r="I227" s="459">
        <v>54654.527781237019</v>
      </c>
      <c r="J227" s="459">
        <v>35360.119980500815</v>
      </c>
      <c r="K227" s="459">
        <v>532612.53655655298</v>
      </c>
      <c r="L227" s="459">
        <v>112473.06291492333</v>
      </c>
      <c r="M227" s="459">
        <v>235426.42296928627</v>
      </c>
      <c r="N227" s="459">
        <v>66384.265223277151</v>
      </c>
      <c r="O227" s="473">
        <f>SUM(Taulukko8[[#This Row],[Työvoimaviranomaisille siirtyvä kotoutumiskoulutus]:[Muut palvelut]])</f>
        <v>1180858.3188157254</v>
      </c>
      <c r="P227" s="473">
        <f>Taulukko8[[#This Row],[Palvelut yhteensä]]+Taulukko8[[#This Row],[Toimintamenot yhteensä]]</f>
        <v>2352572.642278702</v>
      </c>
      <c r="Q227" s="481">
        <v>56236.531457461664</v>
      </c>
      <c r="R227" s="481">
        <v>33741.918874477</v>
      </c>
      <c r="S227" s="473">
        <f>Taulukko8[[#This Row],[Palvelut + toimintamenot]]-Taulukko8[[#This Row],[Poistuva velvoitetyöllistäminen]]-Taulukko8[[#This Row],[Poistuvaksi ehdotettu  palkkatuki]]</f>
        <v>2262594.1919467631</v>
      </c>
      <c r="T227" s="479">
        <f>(Taulukko8[[#This Row],[Palvelut + toimintamenot, huomioitu vuonna 2025 poistuvat tehtävät]]/$S$6)*$T$2</f>
        <v>2134293.8010906251</v>
      </c>
      <c r="U227" s="481">
        <f>Taulukko8[[#This Row],[Skaalattu siirtyvän rahoituksen tasoon ]]*0.5</f>
        <v>1067146.9005453126</v>
      </c>
    </row>
    <row r="228" spans="1:21">
      <c r="A228" s="465">
        <v>729</v>
      </c>
      <c r="B228" s="456" t="s">
        <v>233</v>
      </c>
      <c r="C228" s="459">
        <v>8975</v>
      </c>
      <c r="D228" s="459">
        <v>463828.63496404892</v>
      </c>
      <c r="E228" s="459">
        <v>99438.358327278998</v>
      </c>
      <c r="F228" s="473">
        <f>Taulukko8[[#This Row],[Siirtyvän henkilöstön ELY-keskus ja TE-toimistokohtaiset toimintamenot]]+Taulukko8[[#This Row],[Valtakunnalliset toimintamenot]]</f>
        <v>563266.99329132796</v>
      </c>
      <c r="G228" s="459">
        <v>0</v>
      </c>
      <c r="H228" s="459">
        <v>0</v>
      </c>
      <c r="I228" s="459">
        <v>76516.338893731823</v>
      </c>
      <c r="J228" s="459">
        <v>22501.894533045976</v>
      </c>
      <c r="K228" s="459">
        <v>359110.95493724238</v>
      </c>
      <c r="L228" s="459">
        <v>268826.10190598399</v>
      </c>
      <c r="M228" s="459">
        <v>86687.681839235782</v>
      </c>
      <c r="N228" s="459">
        <v>31912.271383401658</v>
      </c>
      <c r="O228" s="473">
        <f>SUM(Taulukko8[[#This Row],[Työvoimaviranomaisille siirtyvä kotoutumiskoulutus]:[Muut palvelut]])</f>
        <v>845555.24349264172</v>
      </c>
      <c r="P228" s="473">
        <f>Taulukko8[[#This Row],[Palvelut yhteensä]]+Taulukko8[[#This Row],[Toimintamenot yhteensä]]</f>
        <v>1408822.2367839697</v>
      </c>
      <c r="Q228" s="481">
        <v>67206.525476495997</v>
      </c>
      <c r="R228" s="481">
        <v>153614.91537484797</v>
      </c>
      <c r="S228" s="473">
        <f>Taulukko8[[#This Row],[Palvelut + toimintamenot]]-Taulukko8[[#This Row],[Poistuva velvoitetyöllistäminen]]-Taulukko8[[#This Row],[Poistuvaksi ehdotettu  palkkatuki]]</f>
        <v>1188000.7959326257</v>
      </c>
      <c r="T228" s="479">
        <f>(Taulukko8[[#This Row],[Palvelut + toimintamenot, huomioitu vuonna 2025 poistuvat tehtävät]]/$S$6)*$T$2</f>
        <v>1120635.2175191082</v>
      </c>
      <c r="U228" s="481">
        <f>Taulukko8[[#This Row],[Skaalattu siirtyvän rahoituksen tasoon ]]*0.5</f>
        <v>560317.6087595541</v>
      </c>
    </row>
    <row r="229" spans="1:21">
      <c r="A229" s="465">
        <v>732</v>
      </c>
      <c r="B229" s="456" t="s">
        <v>234</v>
      </c>
      <c r="C229" s="459">
        <v>3336</v>
      </c>
      <c r="D229" s="459">
        <v>147644.47183891325</v>
      </c>
      <c r="E229" s="459">
        <v>31652.905381526656</v>
      </c>
      <c r="F229" s="473">
        <f>Taulukko8[[#This Row],[Siirtyvän henkilöstön ELY-keskus ja TE-toimistokohtaiset toimintamenot]]+Taulukko8[[#This Row],[Valtakunnalliset toimintamenot]]</f>
        <v>179297.3772204399</v>
      </c>
      <c r="G229" s="459">
        <v>0</v>
      </c>
      <c r="H229" s="459">
        <v>0</v>
      </c>
      <c r="I229" s="459">
        <v>32792.716668742214</v>
      </c>
      <c r="J229" s="459">
        <v>9643.6690855911329</v>
      </c>
      <c r="K229" s="459">
        <v>85037.053007164417</v>
      </c>
      <c r="L229" s="459">
        <v>115842.00168204465</v>
      </c>
      <c r="M229" s="459">
        <v>36722.176740740739</v>
      </c>
      <c r="N229" s="459">
        <v>10158.213828147116</v>
      </c>
      <c r="O229" s="473">
        <f>SUM(Taulukko8[[#This Row],[Työvoimaviranomaisille siirtyvä kotoutumiskoulutus]:[Muut palvelut]])</f>
        <v>290195.83101243025</v>
      </c>
      <c r="P229" s="473">
        <f>Taulukko8[[#This Row],[Palvelut yhteensä]]+Taulukko8[[#This Row],[Toimintamenot yhteensä]]</f>
        <v>469493.20823287015</v>
      </c>
      <c r="Q229" s="481">
        <v>19307.000280340773</v>
      </c>
      <c r="R229" s="481">
        <v>67574.500981192716</v>
      </c>
      <c r="S229" s="473">
        <f>Taulukko8[[#This Row],[Palvelut + toimintamenot]]-Taulukko8[[#This Row],[Poistuva velvoitetyöllistäminen]]-Taulukko8[[#This Row],[Poistuvaksi ehdotettu  palkkatuki]]</f>
        <v>382611.70697133662</v>
      </c>
      <c r="T229" s="479">
        <f>(Taulukko8[[#This Row],[Palvelut + toimintamenot, huomioitu vuonna 2025 poistuvat tehtävät]]/$S$6)*$T$2</f>
        <v>360915.71229174297</v>
      </c>
      <c r="U229" s="481">
        <f>Taulukko8[[#This Row],[Skaalattu siirtyvän rahoituksen tasoon ]]*0.5</f>
        <v>180457.85614587148</v>
      </c>
    </row>
    <row r="230" spans="1:21">
      <c r="A230" s="465">
        <v>734</v>
      </c>
      <c r="B230" s="456" t="s">
        <v>235</v>
      </c>
      <c r="C230" s="459">
        <v>50933</v>
      </c>
      <c r="D230" s="459">
        <v>1991920.6455179164</v>
      </c>
      <c r="E230" s="459">
        <v>427039.8676956803</v>
      </c>
      <c r="F230" s="473">
        <f>Taulukko8[[#This Row],[Siirtyvän henkilöstön ELY-keskus ja TE-toimistokohtaiset toimintamenot]]+Taulukko8[[#This Row],[Valtakunnalliset toimintamenot]]</f>
        <v>2418960.5132135968</v>
      </c>
      <c r="G230" s="459">
        <v>1268107.901292399</v>
      </c>
      <c r="H230" s="459">
        <v>760864.74077543942</v>
      </c>
      <c r="I230" s="459">
        <v>732370.67226857611</v>
      </c>
      <c r="J230" s="459">
        <v>395390.43250923639</v>
      </c>
      <c r="K230" s="459">
        <v>1840536.0624542872</v>
      </c>
      <c r="L230" s="459">
        <v>872281.56607374013</v>
      </c>
      <c r="M230" s="459">
        <v>392007.96325490111</v>
      </c>
      <c r="N230" s="459">
        <v>137047.83927127605</v>
      </c>
      <c r="O230" s="473">
        <f>SUM(Taulukko8[[#This Row],[Työvoimaviranomaisille siirtyvä kotoutumiskoulutus]:[Muut palvelut]])</f>
        <v>5130499.2766074566</v>
      </c>
      <c r="P230" s="473">
        <f>Taulukko8[[#This Row],[Palvelut yhteensä]]+Taulukko8[[#This Row],[Toimintamenot yhteensä]]</f>
        <v>7549459.7898210529</v>
      </c>
      <c r="Q230" s="481">
        <v>202369.32332910772</v>
      </c>
      <c r="R230" s="481">
        <v>628042.72757309291</v>
      </c>
      <c r="S230" s="473">
        <f>Taulukko8[[#This Row],[Palvelut + toimintamenot]]-Taulukko8[[#This Row],[Poistuva velvoitetyöllistäminen]]-Taulukko8[[#This Row],[Poistuvaksi ehdotettu  palkkatuki]]</f>
        <v>6719047.7389188521</v>
      </c>
      <c r="T230" s="479">
        <f>(Taulukko8[[#This Row],[Palvelut + toimintamenot, huomioitu vuonna 2025 poistuvat tehtävät]]/$S$6)*$T$2</f>
        <v>6338044.1748892758</v>
      </c>
      <c r="U230" s="481">
        <f>Taulukko8[[#This Row],[Skaalattu siirtyvän rahoituksen tasoon ]]*0.5</f>
        <v>3169022.0874446379</v>
      </c>
    </row>
    <row r="231" spans="1:21">
      <c r="A231" s="465">
        <v>738</v>
      </c>
      <c r="B231" s="456" t="s">
        <v>236</v>
      </c>
      <c r="C231" s="459">
        <v>2917</v>
      </c>
      <c r="D231" s="459">
        <v>57775.08832511233</v>
      </c>
      <c r="E231" s="459">
        <v>12386.169162902177</v>
      </c>
      <c r="F231" s="473">
        <f>Taulukko8[[#This Row],[Siirtyvän henkilöstön ELY-keskus ja TE-toimistokohtaiset toimintamenot]]+Taulukko8[[#This Row],[Valtakunnalliset toimintamenot]]</f>
        <v>70161.257488014511</v>
      </c>
      <c r="G231" s="459">
        <v>8568.296630354047</v>
      </c>
      <c r="H231" s="459">
        <v>5140.9779782124278</v>
      </c>
      <c r="I231" s="459">
        <v>32792.716668742214</v>
      </c>
      <c r="J231" s="459">
        <v>3214.5563618637107</v>
      </c>
      <c r="K231" s="459">
        <v>81499.751842994272</v>
      </c>
      <c r="L231" s="459">
        <v>41869.515171539526</v>
      </c>
      <c r="M231" s="459">
        <v>39496.214932067138</v>
      </c>
      <c r="N231" s="459">
        <v>3975.0333611332385</v>
      </c>
      <c r="O231" s="473">
        <f>SUM(Taulukko8[[#This Row],[Työvoimaviranomaisille siirtyvä kotoutumiskoulutus]:[Muut palvelut]])</f>
        <v>207988.76631655253</v>
      </c>
      <c r="P231" s="473">
        <f>Taulukko8[[#This Row],[Palvelut yhteensä]]+Taulukko8[[#This Row],[Toimintamenot yhteensä]]</f>
        <v>278150.02380456706</v>
      </c>
      <c r="Q231" s="481">
        <v>0</v>
      </c>
      <c r="R231" s="481">
        <v>27913.010114359684</v>
      </c>
      <c r="S231" s="473">
        <f>Taulukko8[[#This Row],[Palvelut + toimintamenot]]-Taulukko8[[#This Row],[Poistuva velvoitetyöllistäminen]]-Taulukko8[[#This Row],[Poistuvaksi ehdotettu  palkkatuki]]</f>
        <v>250237.01369020739</v>
      </c>
      <c r="T231" s="479">
        <f>(Taulukko8[[#This Row],[Palvelut + toimintamenot, huomioitu vuonna 2025 poistuvat tehtävät]]/$S$6)*$T$2</f>
        <v>236047.32524435208</v>
      </c>
      <c r="U231" s="481">
        <f>Taulukko8[[#This Row],[Skaalattu siirtyvän rahoituksen tasoon ]]*0.5</f>
        <v>118023.66262217604</v>
      </c>
    </row>
    <row r="232" spans="1:21">
      <c r="A232" s="465">
        <v>739</v>
      </c>
      <c r="B232" s="456" t="s">
        <v>237</v>
      </c>
      <c r="C232" s="459">
        <v>3256</v>
      </c>
      <c r="D232" s="459">
        <v>102937.45196461059</v>
      </c>
      <c r="E232" s="459">
        <v>22068.346932800723</v>
      </c>
      <c r="F232" s="473">
        <f>Taulukko8[[#This Row],[Siirtyvän henkilöstön ELY-keskus ja TE-toimistokohtaiset toimintamenot]]+Taulukko8[[#This Row],[Valtakunnalliset toimintamenot]]</f>
        <v>125005.79889741131</v>
      </c>
      <c r="G232" s="459">
        <v>0</v>
      </c>
      <c r="H232" s="459">
        <v>0</v>
      </c>
      <c r="I232" s="459">
        <v>10930.905556247404</v>
      </c>
      <c r="J232" s="459">
        <v>16072.781809318552</v>
      </c>
      <c r="K232" s="459">
        <v>118803.83050253215</v>
      </c>
      <c r="L232" s="459">
        <v>41704.078716298696</v>
      </c>
      <c r="M232" s="459">
        <v>10145.064230769231</v>
      </c>
      <c r="N232" s="459">
        <v>7082.2878429339335</v>
      </c>
      <c r="O232" s="473">
        <f>SUM(Taulukko8[[#This Row],[Työvoimaviranomaisille siirtyvä kotoutumiskoulutus]:[Muut palvelut]])</f>
        <v>204738.94865809995</v>
      </c>
      <c r="P232" s="473">
        <f>Taulukko8[[#This Row],[Palvelut yhteensä]]+Taulukko8[[#This Row],[Toimintamenot yhteensä]]</f>
        <v>329744.74755551125</v>
      </c>
      <c r="Q232" s="481">
        <v>0</v>
      </c>
      <c r="R232" s="481">
        <v>20852.039358149348</v>
      </c>
      <c r="S232" s="473">
        <f>Taulukko8[[#This Row],[Palvelut + toimintamenot]]-Taulukko8[[#This Row],[Poistuva velvoitetyöllistäminen]]-Taulukko8[[#This Row],[Poistuvaksi ehdotettu  palkkatuki]]</f>
        <v>308892.70819736191</v>
      </c>
      <c r="T232" s="479">
        <f>(Taulukko8[[#This Row],[Palvelut + toimintamenot, huomioitu vuonna 2025 poistuvat tehtävät]]/$S$6)*$T$2</f>
        <v>291376.94892626017</v>
      </c>
      <c r="U232" s="481">
        <f>Taulukko8[[#This Row],[Skaalattu siirtyvän rahoituksen tasoon ]]*0.5</f>
        <v>145688.47446313009</v>
      </c>
    </row>
    <row r="233" spans="1:21">
      <c r="A233" s="465">
        <v>740</v>
      </c>
      <c r="B233" s="456" t="s">
        <v>238</v>
      </c>
      <c r="C233" s="459">
        <v>32085</v>
      </c>
      <c r="D233" s="459">
        <v>1449368.1329267169</v>
      </c>
      <c r="E233" s="459">
        <v>310724.21339677979</v>
      </c>
      <c r="F233" s="473">
        <f>Taulukko8[[#This Row],[Siirtyvän henkilöstön ELY-keskus ja TE-toimistokohtaiset toimintamenot]]+Taulukko8[[#This Row],[Valtakunnalliset toimintamenot]]</f>
        <v>1760092.3463234967</v>
      </c>
      <c r="G233" s="459">
        <v>171365.93260708093</v>
      </c>
      <c r="H233" s="459">
        <v>102819.55956424856</v>
      </c>
      <c r="I233" s="459">
        <v>404443.50558115396</v>
      </c>
      <c r="J233" s="459">
        <v>115724.02902709358</v>
      </c>
      <c r="K233" s="459">
        <v>943816.76329452603</v>
      </c>
      <c r="L233" s="459">
        <v>1243685.6042984121</v>
      </c>
      <c r="M233" s="459">
        <v>187827.96219265147</v>
      </c>
      <c r="N233" s="459">
        <v>99719.218922299973</v>
      </c>
      <c r="O233" s="473">
        <f>SUM(Taulukko8[[#This Row],[Työvoimaviranomaisille siirtyvä kotoutumiskoulutus]:[Muut palvelut]])</f>
        <v>3098036.6428803857</v>
      </c>
      <c r="P233" s="473">
        <f>Taulukko8[[#This Row],[Palvelut yhteensä]]+Taulukko8[[#This Row],[Toimintamenot yhteensä]]</f>
        <v>4858128.9892038824</v>
      </c>
      <c r="Q233" s="481">
        <v>126906.6943161645</v>
      </c>
      <c r="R233" s="481">
        <v>930649.09165187308</v>
      </c>
      <c r="S233" s="473">
        <f>Taulukko8[[#This Row],[Palvelut + toimintamenot]]-Taulukko8[[#This Row],[Poistuva velvoitetyöllistäminen]]-Taulukko8[[#This Row],[Poistuvaksi ehdotettu  palkkatuki]]</f>
        <v>3800573.2032358446</v>
      </c>
      <c r="T233" s="479">
        <f>(Taulukko8[[#This Row],[Palvelut + toimintamenot, huomioitu vuonna 2025 poistuvat tehtävät]]/$S$6)*$T$2</f>
        <v>3585061.7212440283</v>
      </c>
      <c r="U233" s="481">
        <f>Taulukko8[[#This Row],[Skaalattu siirtyvän rahoituksen tasoon ]]*0.5</f>
        <v>1792530.8606220142</v>
      </c>
    </row>
    <row r="234" spans="1:21">
      <c r="A234" s="465">
        <v>742</v>
      </c>
      <c r="B234" s="456" t="s">
        <v>239</v>
      </c>
      <c r="C234" s="459">
        <v>988</v>
      </c>
      <c r="D234" s="459">
        <v>44248.70000606656</v>
      </c>
      <c r="E234" s="459">
        <v>9486.3010927744072</v>
      </c>
      <c r="F234" s="473">
        <f>Taulukko8[[#This Row],[Siirtyvän henkilöstön ELY-keskus ja TE-toimistokohtaiset toimintamenot]]+Taulukko8[[#This Row],[Valtakunnalliset toimintamenot]]</f>
        <v>53735.001098840963</v>
      </c>
      <c r="G234" s="459">
        <v>8568.296630354047</v>
      </c>
      <c r="H234" s="459">
        <v>5140.9779782124278</v>
      </c>
      <c r="I234" s="459">
        <v>21861.811112494808</v>
      </c>
      <c r="J234" s="459">
        <v>6429.1127237274213</v>
      </c>
      <c r="K234" s="459">
        <v>17007.410601432883</v>
      </c>
      <c r="L234" s="459">
        <v>106188.50154187426</v>
      </c>
      <c r="M234" s="459">
        <v>31131.837111111112</v>
      </c>
      <c r="N234" s="459">
        <v>3044.392727210065</v>
      </c>
      <c r="O234" s="473">
        <f>SUM(Taulukko8[[#This Row],[Työvoimaviranomaisille siirtyvä kotoutumiskoulutus]:[Muut palvelut]])</f>
        <v>190804.04379606296</v>
      </c>
      <c r="P234" s="473">
        <f>Taulukko8[[#This Row],[Palvelut yhteensä]]+Taulukko8[[#This Row],[Toimintamenot yhteensä]]</f>
        <v>244539.04489490393</v>
      </c>
      <c r="Q234" s="481">
        <v>9653.5001401703867</v>
      </c>
      <c r="R234" s="481">
        <v>67574.500981192701</v>
      </c>
      <c r="S234" s="473">
        <f>Taulukko8[[#This Row],[Palvelut + toimintamenot]]-Taulukko8[[#This Row],[Poistuva velvoitetyöllistäminen]]-Taulukko8[[#This Row],[Poistuvaksi ehdotettu  palkkatuki]]</f>
        <v>167311.04377354082</v>
      </c>
      <c r="T234" s="479">
        <f>(Taulukko8[[#This Row],[Palvelut + toimintamenot, huomioitu vuonna 2025 poistuvat tehtävät]]/$S$6)*$T$2</f>
        <v>157823.67198274523</v>
      </c>
      <c r="U234" s="481">
        <f>Taulukko8[[#This Row],[Skaalattu siirtyvän rahoituksen tasoon ]]*0.5</f>
        <v>78911.835991372616</v>
      </c>
    </row>
    <row r="235" spans="1:21">
      <c r="A235" s="465">
        <v>743</v>
      </c>
      <c r="B235" s="456" t="s">
        <v>240</v>
      </c>
      <c r="C235" s="459">
        <v>65323</v>
      </c>
      <c r="D235" s="459">
        <v>2240675.2420545765</v>
      </c>
      <c r="E235" s="459">
        <v>480369.36665575934</v>
      </c>
      <c r="F235" s="473">
        <f>Taulukko8[[#This Row],[Siirtyvän henkilöstön ELY-keskus ja TE-toimistokohtaiset toimintamenot]]+Taulukko8[[#This Row],[Valtakunnalliset toimintamenot]]</f>
        <v>2721044.608710336</v>
      </c>
      <c r="G235" s="459">
        <v>796851.58662292641</v>
      </c>
      <c r="H235" s="459">
        <v>478110.95197375584</v>
      </c>
      <c r="I235" s="459">
        <v>459098.033362391</v>
      </c>
      <c r="J235" s="459">
        <v>340742.97435755335</v>
      </c>
      <c r="K235" s="459">
        <v>2072920.2317410714</v>
      </c>
      <c r="L235" s="459">
        <v>668282.1698266255</v>
      </c>
      <c r="M235" s="459">
        <v>260713.25262675298</v>
      </c>
      <c r="N235" s="459">
        <v>154162.61743317585</v>
      </c>
      <c r="O235" s="473">
        <f>SUM(Taulukko8[[#This Row],[Työvoimaviranomaisille siirtyvä kotoutumiskoulutus]:[Muut palvelut]])</f>
        <v>4434030.2313213255</v>
      </c>
      <c r="P235" s="473">
        <f>Taulukko8[[#This Row],[Palvelut yhteensä]]+Taulukko8[[#This Row],[Toimintamenot yhteensä]]</f>
        <v>7155074.8400316611</v>
      </c>
      <c r="Q235" s="481">
        <v>66828.216982662547</v>
      </c>
      <c r="R235" s="481">
        <v>391422.41375559493</v>
      </c>
      <c r="S235" s="473">
        <f>Taulukko8[[#This Row],[Palvelut + toimintamenot]]-Taulukko8[[#This Row],[Poistuva velvoitetyöllistäminen]]-Taulukko8[[#This Row],[Poistuvaksi ehdotettu  palkkatuki]]</f>
        <v>6696824.2092934037</v>
      </c>
      <c r="T235" s="479">
        <f>(Taulukko8[[#This Row],[Palvelut + toimintamenot, huomioitu vuonna 2025 poistuvat tehtävät]]/$S$6)*$T$2</f>
        <v>6317080.8303855322</v>
      </c>
      <c r="U235" s="481">
        <f>Taulukko8[[#This Row],[Skaalattu siirtyvän rahoituksen tasoon ]]*0.5</f>
        <v>3158540.4151927661</v>
      </c>
    </row>
    <row r="236" spans="1:21">
      <c r="A236" s="465">
        <v>746</v>
      </c>
      <c r="B236" s="456" t="s">
        <v>241</v>
      </c>
      <c r="C236" s="459">
        <v>4735</v>
      </c>
      <c r="D236" s="459">
        <v>124758.23945751347</v>
      </c>
      <c r="E236" s="459">
        <v>26746.417931739517</v>
      </c>
      <c r="F236" s="473">
        <f>Taulukko8[[#This Row],[Siirtyvän henkilöstön ELY-keskus ja TE-toimistokohtaiset toimintamenot]]+Taulukko8[[#This Row],[Valtakunnalliset toimintamenot]]</f>
        <v>151504.65738925297</v>
      </c>
      <c r="G236" s="459">
        <v>0</v>
      </c>
      <c r="H236" s="459">
        <v>0</v>
      </c>
      <c r="I236" s="459">
        <v>21861.811112494808</v>
      </c>
      <c r="J236" s="459">
        <v>3214.5563618637107</v>
      </c>
      <c r="K236" s="459">
        <v>44606.178801412105</v>
      </c>
      <c r="L236" s="459">
        <v>118462.93050274355</v>
      </c>
      <c r="M236" s="459">
        <v>14817.994632034633</v>
      </c>
      <c r="N236" s="459">
        <v>8583.5985421472906</v>
      </c>
      <c r="O236" s="473">
        <f>SUM(Taulukko8[[#This Row],[Työvoimaviranomaisille siirtyvä kotoutumiskoulutus]:[Muut palvelut]])</f>
        <v>211547.06995269607</v>
      </c>
      <c r="P236" s="473">
        <f>Taulukko8[[#This Row],[Palvelut yhteensä]]+Taulukko8[[#This Row],[Toimintamenot yhteensä]]</f>
        <v>363051.72734194901</v>
      </c>
      <c r="Q236" s="481">
        <v>7897.5287001829029</v>
      </c>
      <c r="R236" s="481">
        <v>86872.815702011925</v>
      </c>
      <c r="S236" s="473">
        <f>Taulukko8[[#This Row],[Palvelut + toimintamenot]]-Taulukko8[[#This Row],[Poistuva velvoitetyöllistäminen]]-Taulukko8[[#This Row],[Poistuvaksi ehdotettu  palkkatuki]]</f>
        <v>268281.38293975417</v>
      </c>
      <c r="T236" s="479">
        <f>(Taulukko8[[#This Row],[Palvelut + toimintamenot, huomioitu vuonna 2025 poistuvat tehtävät]]/$S$6)*$T$2</f>
        <v>253068.48863767003</v>
      </c>
      <c r="U236" s="481">
        <f>Taulukko8[[#This Row],[Skaalattu siirtyvän rahoituksen tasoon ]]*0.5</f>
        <v>126534.24431883502</v>
      </c>
    </row>
    <row r="237" spans="1:21">
      <c r="A237" s="465">
        <v>747</v>
      </c>
      <c r="B237" s="456" t="s">
        <v>242</v>
      </c>
      <c r="C237" s="459">
        <v>1308</v>
      </c>
      <c r="D237" s="459">
        <v>58831.604904487744</v>
      </c>
      <c r="E237" s="459">
        <v>12612.671509413807</v>
      </c>
      <c r="F237" s="473">
        <f>Taulukko8[[#This Row],[Siirtyvän henkilöstön ELY-keskus ja TE-toimistokohtaiset toimintamenot]]+Taulukko8[[#This Row],[Valtakunnalliset toimintamenot]]</f>
        <v>71444.276413901549</v>
      </c>
      <c r="G237" s="459">
        <v>0</v>
      </c>
      <c r="H237" s="459">
        <v>0</v>
      </c>
      <c r="I237" s="459">
        <v>10930.905556247404</v>
      </c>
      <c r="J237" s="459">
        <v>0</v>
      </c>
      <c r="K237" s="459">
        <v>29116.025716132604</v>
      </c>
      <c r="L237" s="459">
        <v>35160.348388759987</v>
      </c>
      <c r="M237" s="459">
        <v>9080.8222135135129</v>
      </c>
      <c r="N237" s="459">
        <v>4047.7236636728921</v>
      </c>
      <c r="O237" s="473">
        <f>SUM(Taulukko8[[#This Row],[Työvoimaviranomaisille siirtyvä kotoutumiskoulutus]:[Muut palvelut]])</f>
        <v>88335.825538326404</v>
      </c>
      <c r="P237" s="473">
        <f>Taulukko8[[#This Row],[Palvelut yhteensä]]+Taulukko8[[#This Row],[Toimintamenot yhteensä]]</f>
        <v>159780.10195222794</v>
      </c>
      <c r="Q237" s="481">
        <v>0</v>
      </c>
      <c r="R237" s="481">
        <v>35160.348388759987</v>
      </c>
      <c r="S237" s="473">
        <f>Taulukko8[[#This Row],[Palvelut + toimintamenot]]-Taulukko8[[#This Row],[Poistuva velvoitetyöllistäminen]]-Taulukko8[[#This Row],[Poistuvaksi ehdotettu  palkkatuki]]</f>
        <v>124619.75356346795</v>
      </c>
      <c r="T237" s="479">
        <f>(Taulukko8[[#This Row],[Palvelut + toimintamenot, huomioitu vuonna 2025 poistuvat tehtävät]]/$S$6)*$T$2</f>
        <v>117553.19114255429</v>
      </c>
      <c r="U237" s="481">
        <f>Taulukko8[[#This Row],[Skaalattu siirtyvän rahoituksen tasoon ]]*0.5</f>
        <v>58776.595571277147</v>
      </c>
    </row>
    <row r="238" spans="1:21">
      <c r="A238" s="465">
        <v>748</v>
      </c>
      <c r="B238" s="456" t="s">
        <v>243</v>
      </c>
      <c r="C238" s="459">
        <v>4897</v>
      </c>
      <c r="D238" s="459">
        <v>146445.10231359411</v>
      </c>
      <c r="E238" s="459">
        <v>31395.777365627539</v>
      </c>
      <c r="F238" s="473">
        <f>Taulukko8[[#This Row],[Siirtyvän henkilöstön ELY-keskus ja TE-toimistokohtaiset toimintamenot]]+Taulukko8[[#This Row],[Valtakunnalliset toimintamenot]]</f>
        <v>177840.87967922166</v>
      </c>
      <c r="G238" s="459">
        <v>0</v>
      </c>
      <c r="H238" s="459">
        <v>0</v>
      </c>
      <c r="I238" s="459">
        <v>10930.905556247404</v>
      </c>
      <c r="J238" s="459">
        <v>3214.5563618637107</v>
      </c>
      <c r="K238" s="459">
        <v>142739.77216451874</v>
      </c>
      <c r="L238" s="459">
        <v>181643.16010420676</v>
      </c>
      <c r="M238" s="459">
        <v>35878.816152958156</v>
      </c>
      <c r="N238" s="459">
        <v>10075.694977658439</v>
      </c>
      <c r="O238" s="473">
        <f>SUM(Taulukko8[[#This Row],[Työvoimaviranomaisille siirtyvä kotoutumiskoulutus]:[Muut palvelut]])</f>
        <v>384482.9053174532</v>
      </c>
      <c r="P238" s="473">
        <f>Taulukko8[[#This Row],[Palvelut yhteensä]]+Taulukko8[[#This Row],[Toimintamenot yhteensä]]</f>
        <v>562323.78499667486</v>
      </c>
      <c r="Q238" s="481">
        <v>7897.5287001829029</v>
      </c>
      <c r="R238" s="481">
        <v>94770.344402194823</v>
      </c>
      <c r="S238" s="473">
        <f>Taulukko8[[#This Row],[Palvelut + toimintamenot]]-Taulukko8[[#This Row],[Poistuva velvoitetyöllistäminen]]-Taulukko8[[#This Row],[Poistuvaksi ehdotettu  palkkatuki]]</f>
        <v>459655.91189429711</v>
      </c>
      <c r="T238" s="479">
        <f>(Taulukko8[[#This Row],[Palvelut + toimintamenot, huomioitu vuonna 2025 poistuvat tehtävät]]/$S$6)*$T$2</f>
        <v>433591.12601034204</v>
      </c>
      <c r="U238" s="481">
        <f>Taulukko8[[#This Row],[Skaalattu siirtyvän rahoituksen tasoon ]]*0.5</f>
        <v>216795.56300517102</v>
      </c>
    </row>
    <row r="239" spans="1:21">
      <c r="A239" s="465">
        <v>749</v>
      </c>
      <c r="B239" s="456" t="s">
        <v>244</v>
      </c>
      <c r="C239" s="459">
        <v>21232</v>
      </c>
      <c r="D239" s="459">
        <v>607613.10115944128</v>
      </c>
      <c r="E239" s="459">
        <v>130263.73260056456</v>
      </c>
      <c r="F239" s="473">
        <f>Taulukko8[[#This Row],[Siirtyvän henkilöstön ELY-keskus ja TE-toimistokohtaiset toimintamenot]]+Taulukko8[[#This Row],[Valtakunnalliset toimintamenot]]</f>
        <v>737876.83376000589</v>
      </c>
      <c r="G239" s="459">
        <v>51409.779782124286</v>
      </c>
      <c r="H239" s="459">
        <v>30845.867869274571</v>
      </c>
      <c r="I239" s="459">
        <v>196756.30001245328</v>
      </c>
      <c r="J239" s="459">
        <v>67505.683599137919</v>
      </c>
      <c r="K239" s="459">
        <v>298261.0676923077</v>
      </c>
      <c r="L239" s="459">
        <v>53107.64648159824</v>
      </c>
      <c r="M239" s="459">
        <v>92386.417703718369</v>
      </c>
      <c r="N239" s="459">
        <v>41804.909655509531</v>
      </c>
      <c r="O239" s="473">
        <f>SUM(Taulukko8[[#This Row],[Työvoimaviranomaisille siirtyvä kotoutumiskoulutus]:[Muut palvelut]])</f>
        <v>780667.89301399968</v>
      </c>
      <c r="P239" s="473">
        <f>Taulukko8[[#This Row],[Palvelut yhteensä]]+Taulukko8[[#This Row],[Toimintamenot yhteensä]]</f>
        <v>1518544.7267740057</v>
      </c>
      <c r="Q239" s="481">
        <v>15173.613280456639</v>
      </c>
      <c r="R239" s="481">
        <v>22760.419920684959</v>
      </c>
      <c r="S239" s="473">
        <f>Taulukko8[[#This Row],[Palvelut + toimintamenot]]-Taulukko8[[#This Row],[Poistuva velvoitetyöllistäminen]]-Taulukko8[[#This Row],[Poistuvaksi ehdotettu  palkkatuki]]</f>
        <v>1480610.6935728639</v>
      </c>
      <c r="T239" s="479">
        <f>(Taulukko8[[#This Row],[Palvelut + toimintamenot, huomioitu vuonna 2025 poistuvat tehtävät]]/$S$6)*$T$2</f>
        <v>1396652.6725687841</v>
      </c>
      <c r="U239" s="481">
        <f>Taulukko8[[#This Row],[Skaalattu siirtyvän rahoituksen tasoon ]]*0.5</f>
        <v>698326.33628439205</v>
      </c>
    </row>
    <row r="240" spans="1:21">
      <c r="A240" s="465">
        <v>751</v>
      </c>
      <c r="B240" s="456" t="s">
        <v>245</v>
      </c>
      <c r="C240" s="459">
        <v>2877</v>
      </c>
      <c r="D240" s="459">
        <v>101464.28095956599</v>
      </c>
      <c r="E240" s="459">
        <v>21752.519717242256</v>
      </c>
      <c r="F240" s="473">
        <f>Taulukko8[[#This Row],[Siirtyvän henkilöstön ELY-keskus ja TE-toimistokohtaiset toimintamenot]]+Taulukko8[[#This Row],[Valtakunnalliset toimintamenot]]</f>
        <v>123216.80067680826</v>
      </c>
      <c r="G240" s="459">
        <v>0</v>
      </c>
      <c r="H240" s="459">
        <v>0</v>
      </c>
      <c r="I240" s="459">
        <v>32792.716668742214</v>
      </c>
      <c r="J240" s="459">
        <v>12858.225447454843</v>
      </c>
      <c r="K240" s="459">
        <v>59525.937105015088</v>
      </c>
      <c r="L240" s="459">
        <v>115842.00168204465</v>
      </c>
      <c r="M240" s="459">
        <v>39902.315703703702</v>
      </c>
      <c r="N240" s="459">
        <v>6980.9309422096276</v>
      </c>
      <c r="O240" s="473">
        <f>SUM(Taulukko8[[#This Row],[Työvoimaviranomaisille siirtyvä kotoutumiskoulutus]:[Muut palvelut]])</f>
        <v>267902.12754917011</v>
      </c>
      <c r="P240" s="473">
        <f>Taulukko8[[#This Row],[Palvelut yhteensä]]+Taulukko8[[#This Row],[Toimintamenot yhteensä]]</f>
        <v>391118.92822597839</v>
      </c>
      <c r="Q240" s="481">
        <v>19307.000280340773</v>
      </c>
      <c r="R240" s="481">
        <v>57921.000841022324</v>
      </c>
      <c r="S240" s="473">
        <f>Taulukko8[[#This Row],[Palvelut + toimintamenot]]-Taulukko8[[#This Row],[Poistuva velvoitetyöllistäminen]]-Taulukko8[[#This Row],[Poistuvaksi ehdotettu  palkkatuki]]</f>
        <v>313890.92710461526</v>
      </c>
      <c r="T240" s="479">
        <f>(Taulukko8[[#This Row],[Palvelut + toimintamenot, huomioitu vuonna 2025 poistuvat tehtävät]]/$S$6)*$T$2</f>
        <v>296091.7438586498</v>
      </c>
      <c r="U240" s="481">
        <f>Taulukko8[[#This Row],[Skaalattu siirtyvän rahoituksen tasoon ]]*0.5</f>
        <v>148045.8719293249</v>
      </c>
    </row>
    <row r="241" spans="1:21">
      <c r="A241" s="465">
        <v>753</v>
      </c>
      <c r="B241" s="456" t="s">
        <v>246</v>
      </c>
      <c r="C241" s="459">
        <v>22320</v>
      </c>
      <c r="D241" s="459">
        <v>552412.34196435637</v>
      </c>
      <c r="E241" s="459">
        <v>118429.46352141608</v>
      </c>
      <c r="F241" s="473">
        <f>Taulukko8[[#This Row],[Siirtyvän henkilöstön ELY-keskus ja TE-toimistokohtaiset toimintamenot]]+Taulukko8[[#This Row],[Valtakunnalliset toimintamenot]]</f>
        <v>670841.80548577243</v>
      </c>
      <c r="G241" s="459">
        <v>102819.55956424857</v>
      </c>
      <c r="H241" s="459">
        <v>61691.735738549141</v>
      </c>
      <c r="I241" s="459">
        <v>153032.67778746365</v>
      </c>
      <c r="J241" s="459">
        <v>186444.26898809522</v>
      </c>
      <c r="K241" s="459">
        <v>379395.23151973635</v>
      </c>
      <c r="L241" s="459">
        <v>78731.144040446321</v>
      </c>
      <c r="M241" s="459">
        <v>208076.56081882346</v>
      </c>
      <c r="N241" s="459">
        <v>38006.994918874319</v>
      </c>
      <c r="O241" s="473">
        <f>SUM(Taulukko8[[#This Row],[Työvoimaviranomaisille siirtyvä kotoutumiskoulutus]:[Muut palvelut]])</f>
        <v>1105378.6138119884</v>
      </c>
      <c r="P241" s="473">
        <f>Taulukko8[[#This Row],[Palvelut yhteensä]]+Taulukko8[[#This Row],[Toimintamenot yhteensä]]</f>
        <v>1776220.4192977608</v>
      </c>
      <c r="Q241" s="481">
        <v>44989.225165969321</v>
      </c>
      <c r="R241" s="481">
        <v>0</v>
      </c>
      <c r="S241" s="473">
        <f>Taulukko8[[#This Row],[Palvelut + toimintamenot]]-Taulukko8[[#This Row],[Poistuva velvoitetyöllistäminen]]-Taulukko8[[#This Row],[Poistuvaksi ehdotettu  palkkatuki]]</f>
        <v>1731231.1941317916</v>
      </c>
      <c r="T241" s="479">
        <f>(Taulukko8[[#This Row],[Palvelut + toimintamenot, huomioitu vuonna 2025 poistuvat tehtävät]]/$S$6)*$T$2</f>
        <v>1633061.7390611349</v>
      </c>
      <c r="U241" s="481">
        <f>Taulukko8[[#This Row],[Skaalattu siirtyvän rahoituksen tasoon ]]*0.5</f>
        <v>816530.86953056743</v>
      </c>
    </row>
    <row r="242" spans="1:21">
      <c r="A242" s="465">
        <v>755</v>
      </c>
      <c r="B242" s="456" t="s">
        <v>247</v>
      </c>
      <c r="C242" s="459">
        <v>6217</v>
      </c>
      <c r="D242" s="459">
        <v>144656.46438625714</v>
      </c>
      <c r="E242" s="459">
        <v>31012.318463505031</v>
      </c>
      <c r="F242" s="473">
        <f>Taulukko8[[#This Row],[Siirtyvän henkilöstön ELY-keskus ja TE-toimistokohtaiset toimintamenot]]+Taulukko8[[#This Row],[Valtakunnalliset toimintamenot]]</f>
        <v>175668.78284976218</v>
      </c>
      <c r="G242" s="459">
        <v>8568.296630354047</v>
      </c>
      <c r="H242" s="459">
        <v>5140.9779782124278</v>
      </c>
      <c r="I242" s="459">
        <v>21861.811112494808</v>
      </c>
      <c r="J242" s="459">
        <v>35360.119980500815</v>
      </c>
      <c r="K242" s="459">
        <v>94848.807879934087</v>
      </c>
      <c r="L242" s="459">
        <v>22494.612582984664</v>
      </c>
      <c r="M242" s="459">
        <v>35896.113782284912</v>
      </c>
      <c r="N242" s="459">
        <v>9952.633366880038</v>
      </c>
      <c r="O242" s="473">
        <f>SUM(Taulukko8[[#This Row],[Työvoimaviranomaisille siirtyvä kotoutumiskoulutus]:[Muut palvelut]])</f>
        <v>225555.07668329173</v>
      </c>
      <c r="P242" s="473">
        <f>Taulukko8[[#This Row],[Palvelut yhteensä]]+Taulukko8[[#This Row],[Toimintamenot yhteensä]]</f>
        <v>401223.85953305394</v>
      </c>
      <c r="Q242" s="481">
        <v>22494.612582984664</v>
      </c>
      <c r="R242" s="481">
        <v>11247.306291492332</v>
      </c>
      <c r="S242" s="473">
        <f>Taulukko8[[#This Row],[Palvelut + toimintamenot]]-Taulukko8[[#This Row],[Poistuva velvoitetyöllistäminen]]-Taulukko8[[#This Row],[Poistuvaksi ehdotettu  palkkatuki]]</f>
        <v>367481.94065857696</v>
      </c>
      <c r="T242" s="479">
        <f>(Taulukko8[[#This Row],[Palvelut + toimintamenot, huomioitu vuonna 2025 poistuvat tehtävät]]/$S$6)*$T$2</f>
        <v>346643.8792921679</v>
      </c>
      <c r="U242" s="481">
        <f>Taulukko8[[#This Row],[Skaalattu siirtyvän rahoituksen tasoon ]]*0.5</f>
        <v>173321.93964608395</v>
      </c>
    </row>
    <row r="243" spans="1:21">
      <c r="A243" s="465">
        <v>758</v>
      </c>
      <c r="B243" s="456" t="s">
        <v>248</v>
      </c>
      <c r="C243" s="459">
        <v>8134</v>
      </c>
      <c r="D243" s="459">
        <v>258596.5692915745</v>
      </c>
      <c r="E243" s="459">
        <v>55439.479973921239</v>
      </c>
      <c r="F243" s="473">
        <f>Taulukko8[[#This Row],[Siirtyvän henkilöstön ELY-keskus ja TE-toimistokohtaiset toimintamenot]]+Taulukko8[[#This Row],[Valtakunnalliset toimintamenot]]</f>
        <v>314036.04926549573</v>
      </c>
      <c r="G243" s="459">
        <v>8568.296630354047</v>
      </c>
      <c r="H243" s="459">
        <v>5140.9779782124278</v>
      </c>
      <c r="I243" s="459">
        <v>87447.244449979233</v>
      </c>
      <c r="J243" s="459">
        <v>86793.021770320192</v>
      </c>
      <c r="K243" s="459">
        <v>153066.69541289593</v>
      </c>
      <c r="L243" s="459">
        <v>173763.00252306697</v>
      </c>
      <c r="M243" s="459">
        <v>71034.152814814821</v>
      </c>
      <c r="N243" s="459">
        <v>17791.924163304397</v>
      </c>
      <c r="O243" s="473">
        <f>SUM(Taulukko8[[#This Row],[Työvoimaviranomaisille siirtyvä kotoutumiskoulutus]:[Muut palvelut]])</f>
        <v>595037.01911259396</v>
      </c>
      <c r="P243" s="473">
        <f>Taulukko8[[#This Row],[Palvelut yhteensä]]+Taulukko8[[#This Row],[Toimintamenot yhteensä]]</f>
        <v>909073.06837808969</v>
      </c>
      <c r="Q243" s="481">
        <v>28960.500420511162</v>
      </c>
      <c r="R243" s="481">
        <v>77228.001121363093</v>
      </c>
      <c r="S243" s="473">
        <f>Taulukko8[[#This Row],[Palvelut + toimintamenot]]-Taulukko8[[#This Row],[Poistuva velvoitetyöllistäminen]]-Taulukko8[[#This Row],[Poistuvaksi ehdotettu  palkkatuki]]</f>
        <v>802884.56683621544</v>
      </c>
      <c r="T243" s="479">
        <f>(Taulukko8[[#This Row],[Palvelut + toimintamenot, huomioitu vuonna 2025 poistuvat tehtävät]]/$S$6)*$T$2</f>
        <v>757357.00201522745</v>
      </c>
      <c r="U243" s="481">
        <f>Taulukko8[[#This Row],[Skaalattu siirtyvän rahoituksen tasoon ]]*0.5</f>
        <v>378678.50100761373</v>
      </c>
    </row>
    <row r="244" spans="1:21">
      <c r="A244" s="465">
        <v>759</v>
      </c>
      <c r="B244" s="456" t="s">
        <v>249</v>
      </c>
      <c r="C244" s="459">
        <v>1942</v>
      </c>
      <c r="D244" s="459">
        <v>53733.540396121316</v>
      </c>
      <c r="E244" s="459">
        <v>11519.717933147829</v>
      </c>
      <c r="F244" s="473">
        <f>Taulukko8[[#This Row],[Siirtyvän henkilöstön ELY-keskus ja TE-toimistokohtaiset toimintamenot]]+Taulukko8[[#This Row],[Valtakunnalliset toimintamenot]]</f>
        <v>65253.258329269142</v>
      </c>
      <c r="G244" s="459">
        <v>0</v>
      </c>
      <c r="H244" s="459">
        <v>0</v>
      </c>
      <c r="I244" s="459">
        <v>0</v>
      </c>
      <c r="J244" s="459">
        <v>0</v>
      </c>
      <c r="K244" s="459">
        <v>79422.231101190468</v>
      </c>
      <c r="L244" s="459">
        <v>9546.8881403803643</v>
      </c>
      <c r="M244" s="459">
        <v>15044.690411722402</v>
      </c>
      <c r="N244" s="459">
        <v>3696.9673587421121</v>
      </c>
      <c r="O244" s="473">
        <f>SUM(Taulukko8[[#This Row],[Työvoimaviranomaisille siirtyvä kotoutumiskoulutus]:[Muut palvelut]])</f>
        <v>107710.77701203535</v>
      </c>
      <c r="P244" s="473">
        <f>Taulukko8[[#This Row],[Palvelut yhteensä]]+Taulukko8[[#This Row],[Toimintamenot yhteensä]]</f>
        <v>172964.03534130449</v>
      </c>
      <c r="Q244" s="481">
        <v>9546.8881403803643</v>
      </c>
      <c r="R244" s="481">
        <v>9546.8881403803643</v>
      </c>
      <c r="S244" s="473">
        <f>Taulukko8[[#This Row],[Palvelut + toimintamenot]]-Taulukko8[[#This Row],[Poistuva velvoitetyöllistäminen]]-Taulukko8[[#This Row],[Poistuvaksi ehdotettu  palkkatuki]]</f>
        <v>153870.25906054379</v>
      </c>
      <c r="T244" s="479">
        <f>(Taulukko8[[#This Row],[Palvelut + toimintamenot, huomioitu vuonna 2025 poistuvat tehtävät]]/$S$6)*$T$2</f>
        <v>145145.04689087186</v>
      </c>
      <c r="U244" s="481">
        <f>Taulukko8[[#This Row],[Skaalattu siirtyvän rahoituksen tasoon ]]*0.5</f>
        <v>72572.523445435931</v>
      </c>
    </row>
    <row r="245" spans="1:21">
      <c r="A245" s="465">
        <v>761</v>
      </c>
      <c r="B245" s="456" t="s">
        <v>250</v>
      </c>
      <c r="C245" s="459">
        <v>8426</v>
      </c>
      <c r="D245" s="459">
        <v>234647.86812471831</v>
      </c>
      <c r="E245" s="459">
        <v>50305.214108064654</v>
      </c>
      <c r="F245" s="473">
        <f>Taulukko8[[#This Row],[Siirtyvän henkilöstön ELY-keskus ja TE-toimistokohtaiset toimintamenot]]+Taulukko8[[#This Row],[Valtakunnalliset toimintamenot]]</f>
        <v>284953.08223278297</v>
      </c>
      <c r="G245" s="459">
        <v>351300.16184451594</v>
      </c>
      <c r="H245" s="459">
        <v>210780.09710670955</v>
      </c>
      <c r="I245" s="459">
        <v>10930.905556247404</v>
      </c>
      <c r="J245" s="459">
        <v>57862.01451354679</v>
      </c>
      <c r="K245" s="459">
        <v>224124.31756823423</v>
      </c>
      <c r="L245" s="459">
        <v>118630.29298602865</v>
      </c>
      <c r="M245" s="459">
        <v>39496.214932067138</v>
      </c>
      <c r="N245" s="459">
        <v>16144.209051933707</v>
      </c>
      <c r="O245" s="473">
        <f>SUM(Taulukko8[[#This Row],[Työvoimaviranomaisille siirtyvä kotoutumiskoulutus]:[Muut palvelut]])</f>
        <v>677968.05171476735</v>
      </c>
      <c r="P245" s="473">
        <f>Taulukko8[[#This Row],[Palvelut yhteensä]]+Taulukko8[[#This Row],[Toimintamenot yhteensä]]</f>
        <v>962921.13394755032</v>
      </c>
      <c r="Q245" s="481">
        <v>13956.505057179842</v>
      </c>
      <c r="R245" s="481">
        <v>62804.272757309285</v>
      </c>
      <c r="S245" s="473">
        <f>Taulukko8[[#This Row],[Palvelut + toimintamenot]]-Taulukko8[[#This Row],[Poistuva velvoitetyöllistäminen]]-Taulukko8[[#This Row],[Poistuvaksi ehdotettu  palkkatuki]]</f>
        <v>886160.35613306123</v>
      </c>
      <c r="T245" s="479">
        <f>(Taulukko8[[#This Row],[Palvelut + toimintamenot, huomioitu vuonna 2025 poistuvat tehtävät]]/$S$6)*$T$2</f>
        <v>835910.63815103914</v>
      </c>
      <c r="U245" s="481">
        <f>Taulukko8[[#This Row],[Skaalattu siirtyvän rahoituksen tasoon ]]*0.5</f>
        <v>417955.31907551957</v>
      </c>
    </row>
    <row r="246" spans="1:21">
      <c r="A246" s="465">
        <v>762</v>
      </c>
      <c r="B246" s="456" t="s">
        <v>251</v>
      </c>
      <c r="C246" s="459">
        <v>3672</v>
      </c>
      <c r="D246" s="459">
        <v>129829.51903851544</v>
      </c>
      <c r="E246" s="459">
        <v>27833.629194995341</v>
      </c>
      <c r="F246" s="473">
        <f>Taulukko8[[#This Row],[Siirtyvän henkilöstön ELY-keskus ja TE-toimistokohtaiset toimintamenot]]+Taulukko8[[#This Row],[Valtakunnalliset toimintamenot]]</f>
        <v>157663.14823351079</v>
      </c>
      <c r="G246" s="459">
        <v>25704.889891062143</v>
      </c>
      <c r="H246" s="459">
        <v>15422.933934637285</v>
      </c>
      <c r="I246" s="459">
        <v>21861.811112494808</v>
      </c>
      <c r="J246" s="459">
        <v>12858.225447454843</v>
      </c>
      <c r="K246" s="459">
        <v>96496.227782805436</v>
      </c>
      <c r="L246" s="459">
        <v>75868.066402283206</v>
      </c>
      <c r="M246" s="459">
        <v>11132.599113924052</v>
      </c>
      <c r="N246" s="459">
        <v>8932.5119943376285</v>
      </c>
      <c r="O246" s="473">
        <f>SUM(Taulukko8[[#This Row],[Työvoimaviranomaisille siirtyvä kotoutumiskoulutus]:[Muut palvelut]])</f>
        <v>242572.37578793726</v>
      </c>
      <c r="P246" s="473">
        <f>Taulukko8[[#This Row],[Palvelut yhteensä]]+Taulukko8[[#This Row],[Toimintamenot yhteensä]]</f>
        <v>400235.52402144804</v>
      </c>
      <c r="Q246" s="481">
        <v>7586.8066402283212</v>
      </c>
      <c r="R246" s="481">
        <v>60694.453121826569</v>
      </c>
      <c r="S246" s="473">
        <f>Taulukko8[[#This Row],[Palvelut + toimintamenot]]-Taulukko8[[#This Row],[Poistuva velvoitetyöllistäminen]]-Taulukko8[[#This Row],[Poistuvaksi ehdotettu  palkkatuki]]</f>
        <v>331954.26425939315</v>
      </c>
      <c r="T246" s="479">
        <f>(Taulukko8[[#This Row],[Palvelut + toimintamenot, huomioitu vuonna 2025 poistuvat tehtävät]]/$S$6)*$T$2</f>
        <v>313130.79958224</v>
      </c>
      <c r="U246" s="481">
        <f>Taulukko8[[#This Row],[Skaalattu siirtyvän rahoituksen tasoon ]]*0.5</f>
        <v>156565.39979112</v>
      </c>
    </row>
    <row r="247" spans="1:21">
      <c r="A247" s="465">
        <v>765</v>
      </c>
      <c r="B247" s="456" t="s">
        <v>252</v>
      </c>
      <c r="C247" s="459">
        <v>10354</v>
      </c>
      <c r="D247" s="459">
        <v>288976.62912893848</v>
      </c>
      <c r="E247" s="459">
        <v>61952.538996993688</v>
      </c>
      <c r="F247" s="473">
        <f>Taulukko8[[#This Row],[Siirtyvän henkilöstön ELY-keskus ja TE-toimistokohtaiset toimintamenot]]+Taulukko8[[#This Row],[Valtakunnalliset toimintamenot]]</f>
        <v>350929.16812593216</v>
      </c>
      <c r="G247" s="459">
        <v>94251.262933894512</v>
      </c>
      <c r="H247" s="459">
        <v>56550.757760336703</v>
      </c>
      <c r="I247" s="459">
        <v>131170.86667496886</v>
      </c>
      <c r="J247" s="459">
        <v>35360.119980500815</v>
      </c>
      <c r="K247" s="459">
        <v>433929.33968421054</v>
      </c>
      <c r="L247" s="459">
        <v>339291.79452796612</v>
      </c>
      <c r="M247" s="459">
        <v>76579.584904214556</v>
      </c>
      <c r="N247" s="459">
        <v>19882.128693796752</v>
      </c>
      <c r="O247" s="473">
        <f>SUM(Taulukko8[[#This Row],[Työvoimaviranomaisille siirtyvä kotoutumiskoulutus]:[Muut palvelut]])</f>
        <v>1092764.5922259942</v>
      </c>
      <c r="P247" s="473">
        <f>Taulukko8[[#This Row],[Palvelut yhteensä]]+Taulukko8[[#This Row],[Toimintamenot yhteensä]]</f>
        <v>1443693.7603519263</v>
      </c>
      <c r="Q247" s="481">
        <v>40391.880300948345</v>
      </c>
      <c r="R247" s="481">
        <v>72705.384541707026</v>
      </c>
      <c r="S247" s="473">
        <f>Taulukko8[[#This Row],[Palvelut + toimintamenot]]-Taulukko8[[#This Row],[Poistuva velvoitetyöllistäminen]]-Taulukko8[[#This Row],[Poistuvaksi ehdotettu  palkkatuki]]</f>
        <v>1330596.4955092708</v>
      </c>
      <c r="T247" s="479">
        <f>(Taulukko8[[#This Row],[Palvelut + toimintamenot, huomioitu vuonna 2025 poistuvat tehtävät]]/$S$6)*$T$2</f>
        <v>1255145.0287578423</v>
      </c>
      <c r="U247" s="481">
        <f>Taulukko8[[#This Row],[Skaalattu siirtyvän rahoituksen tasoon ]]*0.5</f>
        <v>627572.51437892113</v>
      </c>
    </row>
    <row r="248" spans="1:21">
      <c r="A248" s="465">
        <v>768</v>
      </c>
      <c r="B248" s="456" t="s">
        <v>253</v>
      </c>
      <c r="C248" s="459">
        <v>2375</v>
      </c>
      <c r="D248" s="459">
        <v>70125.915943162923</v>
      </c>
      <c r="E248" s="459">
        <v>15034.013495362076</v>
      </c>
      <c r="F248" s="473">
        <f>Taulukko8[[#This Row],[Siirtyvän henkilöstön ELY-keskus ja TE-toimistokohtaiset toimintamenot]]+Taulukko8[[#This Row],[Valtakunnalliset toimintamenot]]</f>
        <v>85159.929438524996</v>
      </c>
      <c r="G248" s="459">
        <v>17136.593260708094</v>
      </c>
      <c r="H248" s="459">
        <v>10281.955956424856</v>
      </c>
      <c r="I248" s="459">
        <v>21861.811112494808</v>
      </c>
      <c r="J248" s="459">
        <v>19287.338171182266</v>
      </c>
      <c r="K248" s="459">
        <v>78001.385396241822</v>
      </c>
      <c r="L248" s="459">
        <v>59223.124014210101</v>
      </c>
      <c r="M248" s="459">
        <v>10621.303578947369</v>
      </c>
      <c r="N248" s="459">
        <v>4824.7932358925718</v>
      </c>
      <c r="O248" s="473">
        <f>SUM(Taulukko8[[#This Row],[Työvoimaviranomaisille siirtyvä kotoutumiskoulutus]:[Muut palvelut]])</f>
        <v>204101.7114653938</v>
      </c>
      <c r="P248" s="473">
        <f>Taulukko8[[#This Row],[Palvelut yhteensä]]+Taulukko8[[#This Row],[Toimintamenot yhteensä]]</f>
        <v>289261.64090391877</v>
      </c>
      <c r="Q248" s="481">
        <v>0</v>
      </c>
      <c r="R248" s="481">
        <v>33841.785150977201</v>
      </c>
      <c r="S248" s="473">
        <f>Taulukko8[[#This Row],[Palvelut + toimintamenot]]-Taulukko8[[#This Row],[Poistuva velvoitetyöllistäminen]]-Taulukko8[[#This Row],[Poistuvaksi ehdotettu  palkkatuki]]</f>
        <v>255419.85575294157</v>
      </c>
      <c r="T248" s="479">
        <f>(Taulukko8[[#This Row],[Palvelut + toimintamenot, huomioitu vuonna 2025 poistuvat tehtävät]]/$S$6)*$T$2</f>
        <v>240936.27427723532</v>
      </c>
      <c r="U248" s="481">
        <f>Taulukko8[[#This Row],[Skaalattu siirtyvän rahoituksen tasoon ]]*0.5</f>
        <v>120468.13713861766</v>
      </c>
    </row>
    <row r="249" spans="1:21">
      <c r="A249" s="465">
        <v>777</v>
      </c>
      <c r="B249" s="456" t="s">
        <v>254</v>
      </c>
      <c r="C249" s="459">
        <v>7367</v>
      </c>
      <c r="D249" s="459">
        <v>295919.87752241123</v>
      </c>
      <c r="E249" s="459">
        <v>63441.074136181385</v>
      </c>
      <c r="F249" s="473">
        <f>Taulukko8[[#This Row],[Siirtyvän henkilöstön ELY-keskus ja TE-toimistokohtaiset toimintamenot]]+Taulukko8[[#This Row],[Valtakunnalliset toimintamenot]]</f>
        <v>359360.95165859262</v>
      </c>
      <c r="G249" s="459">
        <v>42841.483151770233</v>
      </c>
      <c r="H249" s="459">
        <v>25704.889891062139</v>
      </c>
      <c r="I249" s="459">
        <v>65585.433337484428</v>
      </c>
      <c r="J249" s="459">
        <v>12858.225447454843</v>
      </c>
      <c r="K249" s="459">
        <v>266274.82207894739</v>
      </c>
      <c r="L249" s="459">
        <v>266586.40998625907</v>
      </c>
      <c r="M249" s="459">
        <v>27703.835785440613</v>
      </c>
      <c r="N249" s="459">
        <v>20359.837076402418</v>
      </c>
      <c r="O249" s="473">
        <f>SUM(Taulukko8[[#This Row],[Työvoimaviranomaisille siirtyvä kotoutumiskoulutus]:[Muut palvelut]])</f>
        <v>685073.4536030509</v>
      </c>
      <c r="P249" s="473">
        <f>Taulukko8[[#This Row],[Palvelut yhteensä]]+Taulukko8[[#This Row],[Toimintamenot yhteensä]]</f>
        <v>1044434.4052616435</v>
      </c>
      <c r="Q249" s="481">
        <v>56548.632421327682</v>
      </c>
      <c r="R249" s="481">
        <v>129254.01696303471</v>
      </c>
      <c r="S249" s="473">
        <f>Taulukko8[[#This Row],[Palvelut + toimintamenot]]-Taulukko8[[#This Row],[Poistuva velvoitetyöllistäminen]]-Taulukko8[[#This Row],[Poistuvaksi ehdotettu  palkkatuki]]</f>
        <v>858631.75587728107</v>
      </c>
      <c r="T249" s="479">
        <f>(Taulukko8[[#This Row],[Palvelut + toimintamenot, huomioitu vuonna 2025 poistuvat tehtävät]]/$S$6)*$T$2</f>
        <v>809943.04701704939</v>
      </c>
      <c r="U249" s="481">
        <f>Taulukko8[[#This Row],[Skaalattu siirtyvän rahoituksen tasoon ]]*0.5</f>
        <v>404971.5235085247</v>
      </c>
    </row>
    <row r="250" spans="1:21">
      <c r="A250" s="465">
        <v>778</v>
      </c>
      <c r="B250" s="456" t="s">
        <v>255</v>
      </c>
      <c r="C250" s="459">
        <v>6763</v>
      </c>
      <c r="D250" s="459">
        <v>223978.5387245469</v>
      </c>
      <c r="E250" s="459">
        <v>48017.859425686649</v>
      </c>
      <c r="F250" s="473">
        <f>Taulukko8[[#This Row],[Siirtyvän henkilöstön ELY-keskus ja TE-toimistokohtaiset toimintamenot]]+Taulukko8[[#This Row],[Valtakunnalliset toimintamenot]]</f>
        <v>271996.39815023355</v>
      </c>
      <c r="G250" s="459">
        <v>145661.0427160188</v>
      </c>
      <c r="H250" s="459">
        <v>87396.62562961127</v>
      </c>
      <c r="I250" s="459">
        <v>32792.716668742214</v>
      </c>
      <c r="J250" s="459">
        <v>12858.225447454843</v>
      </c>
      <c r="K250" s="459">
        <v>210537.22425339365</v>
      </c>
      <c r="L250" s="459">
        <v>53107.64648159824</v>
      </c>
      <c r="M250" s="459">
        <v>37470.313722310129</v>
      </c>
      <c r="N250" s="459">
        <v>15410.139376991006</v>
      </c>
      <c r="O250" s="473">
        <f>SUM(Taulukko8[[#This Row],[Työvoimaviranomaisille siirtyvä kotoutumiskoulutus]:[Muut palvelut]])</f>
        <v>449572.89158010139</v>
      </c>
      <c r="P250" s="473">
        <f>Taulukko8[[#This Row],[Palvelut yhteensä]]+Taulukko8[[#This Row],[Toimintamenot yhteensä]]</f>
        <v>721569.28973033489</v>
      </c>
      <c r="Q250" s="481">
        <v>7586.8066402283193</v>
      </c>
      <c r="R250" s="481">
        <v>30347.226560913277</v>
      </c>
      <c r="S250" s="473">
        <f>Taulukko8[[#This Row],[Palvelut + toimintamenot]]-Taulukko8[[#This Row],[Poistuva velvoitetyöllistäminen]]-Taulukko8[[#This Row],[Poistuvaksi ehdotettu  palkkatuki]]</f>
        <v>683635.25652919326</v>
      </c>
      <c r="T250" s="479">
        <f>(Taulukko8[[#This Row],[Palvelut + toimintamenot, huomioitu vuonna 2025 poistuvat tehtävät]]/$S$6)*$T$2</f>
        <v>644869.72317463963</v>
      </c>
      <c r="U250" s="481">
        <f>Taulukko8[[#This Row],[Skaalattu siirtyvän rahoituksen tasoon ]]*0.5</f>
        <v>322434.86158731981</v>
      </c>
    </row>
    <row r="251" spans="1:21">
      <c r="A251" s="465">
        <v>781</v>
      </c>
      <c r="B251" s="456" t="s">
        <v>256</v>
      </c>
      <c r="C251" s="459">
        <v>3504</v>
      </c>
      <c r="D251" s="459">
        <v>118948.88632246894</v>
      </c>
      <c r="E251" s="459">
        <v>25500.974043315004</v>
      </c>
      <c r="F251" s="473">
        <f>Taulukko8[[#This Row],[Siirtyvän henkilöstön ELY-keskus ja TE-toimistokohtaiset toimintamenot]]+Taulukko8[[#This Row],[Valtakunnalliset toimintamenot]]</f>
        <v>144449.86036578394</v>
      </c>
      <c r="G251" s="459">
        <v>0</v>
      </c>
      <c r="H251" s="459">
        <v>0</v>
      </c>
      <c r="I251" s="459">
        <v>10930.905556247404</v>
      </c>
      <c r="J251" s="459">
        <v>25716.450894909685</v>
      </c>
      <c r="K251" s="459">
        <v>131301.07027073592</v>
      </c>
      <c r="L251" s="459">
        <v>29171.890066896722</v>
      </c>
      <c r="M251" s="459">
        <v>28537.951162130179</v>
      </c>
      <c r="N251" s="459">
        <v>8183.904258886997</v>
      </c>
      <c r="O251" s="473">
        <f>SUM(Taulukko8[[#This Row],[Työvoimaviranomaisille siirtyvä kotoutumiskoulutus]:[Muut palvelut]])</f>
        <v>233842.17220980691</v>
      </c>
      <c r="P251" s="473">
        <f>Taulukko8[[#This Row],[Palvelut yhteensä]]+Taulukko8[[#This Row],[Toimintamenot yhteensä]]</f>
        <v>378292.03257559089</v>
      </c>
      <c r="Q251" s="481">
        <v>9723.9633556322406</v>
      </c>
      <c r="R251" s="481">
        <v>9723.9633556322406</v>
      </c>
      <c r="S251" s="473">
        <f>Taulukko8[[#This Row],[Palvelut + toimintamenot]]-Taulukko8[[#This Row],[Poistuva velvoitetyöllistäminen]]-Taulukko8[[#This Row],[Poistuvaksi ehdotettu  palkkatuki]]</f>
        <v>358844.10586432635</v>
      </c>
      <c r="T251" s="479">
        <f>(Taulukko8[[#This Row],[Palvelut + toimintamenot, huomioitu vuonna 2025 poistuvat tehtävät]]/$S$6)*$T$2</f>
        <v>338495.8528710659</v>
      </c>
      <c r="U251" s="481">
        <f>Taulukko8[[#This Row],[Skaalattu siirtyvän rahoituksen tasoon ]]*0.5</f>
        <v>169247.92643553295</v>
      </c>
    </row>
    <row r="252" spans="1:21">
      <c r="A252" s="465">
        <v>783</v>
      </c>
      <c r="B252" s="456" t="s">
        <v>257</v>
      </c>
      <c r="C252" s="459">
        <v>6419</v>
      </c>
      <c r="D252" s="459">
        <v>164096.36944676473</v>
      </c>
      <c r="E252" s="459">
        <v>35179.961639319023</v>
      </c>
      <c r="F252" s="473">
        <f>Taulukko8[[#This Row],[Siirtyvän henkilöstön ELY-keskus ja TE-toimistokohtaiset toimintamenot]]+Taulukko8[[#This Row],[Valtakunnalliset toimintamenot]]</f>
        <v>199276.33108608375</v>
      </c>
      <c r="G252" s="459">
        <v>34273.186521416188</v>
      </c>
      <c r="H252" s="459">
        <v>20563.911912849711</v>
      </c>
      <c r="I252" s="459">
        <v>32792.716668742214</v>
      </c>
      <c r="J252" s="459">
        <v>9643.6690855911329</v>
      </c>
      <c r="K252" s="459">
        <v>43674.038574198908</v>
      </c>
      <c r="L252" s="459">
        <v>52740.52258313998</v>
      </c>
      <c r="M252" s="459">
        <v>47442.040694594587</v>
      </c>
      <c r="N252" s="459">
        <v>11290.134933609668</v>
      </c>
      <c r="O252" s="473">
        <f>SUM(Taulukko8[[#This Row],[Työvoimaviranomaisille siirtyvä kotoutumiskoulutus]:[Muut palvelut]])</f>
        <v>218147.03445272619</v>
      </c>
      <c r="P252" s="473">
        <f>Taulukko8[[#This Row],[Palvelut yhteensä]]+Taulukko8[[#This Row],[Toimintamenot yhteensä]]</f>
        <v>417423.36553880991</v>
      </c>
      <c r="Q252" s="481">
        <v>17580.174194379993</v>
      </c>
      <c r="R252" s="481">
        <v>17580.174194379993</v>
      </c>
      <c r="S252" s="473">
        <f>Taulukko8[[#This Row],[Palvelut + toimintamenot]]-Taulukko8[[#This Row],[Poistuva velvoitetyöllistäminen]]-Taulukko8[[#This Row],[Poistuvaksi ehdotettu  palkkatuki]]</f>
        <v>382263.01715004991</v>
      </c>
      <c r="T252" s="479">
        <f>(Taulukko8[[#This Row],[Palvelut + toimintamenot, huomioitu vuonna 2025 poistuvat tehtävät]]/$S$6)*$T$2</f>
        <v>360586.79492479999</v>
      </c>
      <c r="U252" s="481">
        <f>Taulukko8[[#This Row],[Skaalattu siirtyvän rahoituksen tasoon ]]*0.5</f>
        <v>180293.3974624</v>
      </c>
    </row>
    <row r="253" spans="1:21">
      <c r="A253" s="465">
        <v>785</v>
      </c>
      <c r="B253" s="456" t="s">
        <v>258</v>
      </c>
      <c r="C253" s="459">
        <v>2626</v>
      </c>
      <c r="D253" s="459">
        <v>112535.38427020413</v>
      </c>
      <c r="E253" s="459">
        <v>24126.009094772573</v>
      </c>
      <c r="F253" s="473">
        <f>Taulukko8[[#This Row],[Siirtyvän henkilöstön ELY-keskus ja TE-toimistokohtaiset toimintamenot]]+Taulukko8[[#This Row],[Valtakunnalliset toimintamenot]]</f>
        <v>136661.39336497671</v>
      </c>
      <c r="G253" s="459">
        <v>17136.593260708094</v>
      </c>
      <c r="H253" s="459">
        <v>10281.955956424856</v>
      </c>
      <c r="I253" s="459">
        <v>0</v>
      </c>
      <c r="J253" s="459">
        <v>9643.6690855911329</v>
      </c>
      <c r="K253" s="459">
        <v>187345.95096593085</v>
      </c>
      <c r="L253" s="459">
        <v>173745.63140402385</v>
      </c>
      <c r="M253" s="459">
        <v>13651.824204906205</v>
      </c>
      <c r="N253" s="459">
        <v>7742.6434082589576</v>
      </c>
      <c r="O253" s="473">
        <f>SUM(Taulukko8[[#This Row],[Työvoimaviranomaisille siirtyvä kotoutumiskoulutus]:[Muut palvelut]])</f>
        <v>402411.67502513586</v>
      </c>
      <c r="P253" s="473">
        <f>Taulukko8[[#This Row],[Palvelut yhteensä]]+Taulukko8[[#This Row],[Toimintamenot yhteensä]]</f>
        <v>539073.0683901126</v>
      </c>
      <c r="Q253" s="481">
        <v>23692.586100548706</v>
      </c>
      <c r="R253" s="481">
        <v>118462.93050274352</v>
      </c>
      <c r="S253" s="473">
        <f>Taulukko8[[#This Row],[Palvelut + toimintamenot]]-Taulukko8[[#This Row],[Poistuva velvoitetyöllistäminen]]-Taulukko8[[#This Row],[Poistuvaksi ehdotettu  palkkatuki]]</f>
        <v>396917.5517868204</v>
      </c>
      <c r="T253" s="479">
        <f>(Taulukko8[[#This Row],[Palvelut + toimintamenot, huomioitu vuonna 2025 poistuvat tehtävät]]/$S$6)*$T$2</f>
        <v>374410.34425788472</v>
      </c>
      <c r="U253" s="481">
        <f>Taulukko8[[#This Row],[Skaalattu siirtyvän rahoituksen tasoon ]]*0.5</f>
        <v>187205.17212894236</v>
      </c>
    </row>
    <row r="254" spans="1:21">
      <c r="A254" s="465">
        <v>790</v>
      </c>
      <c r="B254" s="456" t="s">
        <v>259</v>
      </c>
      <c r="C254" s="459">
        <v>23734</v>
      </c>
      <c r="D254" s="459">
        <v>680938.32787113544</v>
      </c>
      <c r="E254" s="459">
        <v>145983.6334832506</v>
      </c>
      <c r="F254" s="473">
        <f>Taulukko8[[#This Row],[Siirtyvän henkilöstön ELY-keskus ja TE-toimistokohtaiset toimintamenot]]+Taulukko8[[#This Row],[Valtakunnalliset toimintamenot]]</f>
        <v>826921.96135438606</v>
      </c>
      <c r="G254" s="459">
        <v>68546.373042832376</v>
      </c>
      <c r="H254" s="459">
        <v>41127.823825699423</v>
      </c>
      <c r="I254" s="459">
        <v>109309.05556247404</v>
      </c>
      <c r="J254" s="459">
        <v>45003.789066091951</v>
      </c>
      <c r="K254" s="459">
        <v>500559.85987222765</v>
      </c>
      <c r="L254" s="459">
        <v>113792.7056693839</v>
      </c>
      <c r="M254" s="459">
        <v>191633.66222807954</v>
      </c>
      <c r="N254" s="459">
        <v>46849.821413177109</v>
      </c>
      <c r="O254" s="473">
        <f>SUM(Taulukko8[[#This Row],[Työvoimaviranomaisille siirtyvä kotoutumiskoulutus]:[Muut palvelut]])</f>
        <v>1048276.7176371334</v>
      </c>
      <c r="P254" s="473">
        <f>Taulukko8[[#This Row],[Palvelut yhteensä]]+Taulukko8[[#This Row],[Toimintamenot yhteensä]]</f>
        <v>1875198.6789915194</v>
      </c>
      <c r="Q254" s="481">
        <v>26774.754275149153</v>
      </c>
      <c r="R254" s="481">
        <v>60243.197119085591</v>
      </c>
      <c r="S254" s="473">
        <f>Taulukko8[[#This Row],[Palvelut + toimintamenot]]-Taulukko8[[#This Row],[Poistuva velvoitetyöllistäminen]]-Taulukko8[[#This Row],[Poistuvaksi ehdotettu  palkkatuki]]</f>
        <v>1788180.7275972846</v>
      </c>
      <c r="T254" s="479">
        <f>(Taulukko8[[#This Row],[Palvelut + toimintamenot, huomioitu vuonna 2025 poistuvat tehtävät]]/$S$6)*$T$2</f>
        <v>1686781.9495535982</v>
      </c>
      <c r="U254" s="481">
        <f>Taulukko8[[#This Row],[Skaalattu siirtyvän rahoituksen tasoon ]]*0.5</f>
        <v>843390.97477679909</v>
      </c>
    </row>
    <row r="255" spans="1:21">
      <c r="A255" s="465">
        <v>791</v>
      </c>
      <c r="B255" s="456" t="s">
        <v>260</v>
      </c>
      <c r="C255" s="459">
        <v>5029</v>
      </c>
      <c r="D255" s="459">
        <v>163965.42091298298</v>
      </c>
      <c r="E255" s="459">
        <v>35151.888109047162</v>
      </c>
      <c r="F255" s="473">
        <f>Taulukko8[[#This Row],[Siirtyvän henkilöstön ELY-keskus ja TE-toimistokohtaiset toimintamenot]]+Taulukko8[[#This Row],[Valtakunnalliset toimintamenot]]</f>
        <v>199117.30902203015</v>
      </c>
      <c r="G255" s="459">
        <v>8568.296630354047</v>
      </c>
      <c r="H255" s="459">
        <v>5140.9779782124278</v>
      </c>
      <c r="I255" s="459">
        <v>43723.622224989616</v>
      </c>
      <c r="J255" s="459">
        <v>6429.1127237274213</v>
      </c>
      <c r="K255" s="459">
        <v>107054.82912338906</v>
      </c>
      <c r="L255" s="459">
        <v>63180.229601463223</v>
      </c>
      <c r="M255" s="459">
        <v>27303.648409812409</v>
      </c>
      <c r="N255" s="459">
        <v>11281.125431323064</v>
      </c>
      <c r="O255" s="473">
        <f>SUM(Taulukko8[[#This Row],[Työvoimaviranomaisille siirtyvä kotoutumiskoulutus]:[Muut palvelut]])</f>
        <v>264113.54549291724</v>
      </c>
      <c r="P255" s="473">
        <f>Taulukko8[[#This Row],[Palvelut yhteensä]]+Taulukko8[[#This Row],[Toimintamenot yhteensä]]</f>
        <v>463230.85451494739</v>
      </c>
      <c r="Q255" s="481">
        <v>7897.5287001829029</v>
      </c>
      <c r="R255" s="481">
        <v>31590.114800731611</v>
      </c>
      <c r="S255" s="473">
        <f>Taulukko8[[#This Row],[Palvelut + toimintamenot]]-Taulukko8[[#This Row],[Poistuva velvoitetyöllistäminen]]-Taulukko8[[#This Row],[Poistuvaksi ehdotettu  palkkatuki]]</f>
        <v>423743.21101403289</v>
      </c>
      <c r="T255" s="479">
        <f>(Taulukko8[[#This Row],[Palvelut + toimintamenot, huomioitu vuonna 2025 poistuvat tehtävät]]/$S$6)*$T$2</f>
        <v>399714.85463035555</v>
      </c>
      <c r="U255" s="481">
        <f>Taulukko8[[#This Row],[Skaalattu siirtyvän rahoituksen tasoon ]]*0.5</f>
        <v>199857.42731517777</v>
      </c>
    </row>
    <row r="256" spans="1:21">
      <c r="A256" s="465">
        <v>831</v>
      </c>
      <c r="B256" s="456" t="s">
        <v>261</v>
      </c>
      <c r="C256" s="459">
        <v>4559</v>
      </c>
      <c r="D256" s="459">
        <v>157406.08981173395</v>
      </c>
      <c r="E256" s="459">
        <v>33745.659456338333</v>
      </c>
      <c r="F256" s="473">
        <f>Taulukko8[[#This Row],[Siirtyvän henkilöstön ELY-keskus ja TE-toimistokohtaiset toimintamenot]]+Taulukko8[[#This Row],[Valtakunnalliset toimintamenot]]</f>
        <v>191151.74926807228</v>
      </c>
      <c r="G256" s="459">
        <v>42841.483151770233</v>
      </c>
      <c r="H256" s="459">
        <v>25704.889891062139</v>
      </c>
      <c r="I256" s="459">
        <v>54654.527781237019</v>
      </c>
      <c r="J256" s="459">
        <v>28931.007256773395</v>
      </c>
      <c r="K256" s="459">
        <v>118803.83050253215</v>
      </c>
      <c r="L256" s="459">
        <v>104260.19679074673</v>
      </c>
      <c r="M256" s="459">
        <v>38089.35523076923</v>
      </c>
      <c r="N256" s="459">
        <v>10829.831271330397</v>
      </c>
      <c r="O256" s="473">
        <f>SUM(Taulukko8[[#This Row],[Työvoimaviranomaisille siirtyvä kotoutumiskoulutus]:[Muut palvelut]])</f>
        <v>381273.63872445113</v>
      </c>
      <c r="P256" s="473">
        <f>Taulukko8[[#This Row],[Palvelut yhteensä]]+Taulukko8[[#This Row],[Toimintamenot yhteensä]]</f>
        <v>572425.38799252338</v>
      </c>
      <c r="Q256" s="481">
        <v>10426.019679074674</v>
      </c>
      <c r="R256" s="481">
        <v>52130.098395373367</v>
      </c>
      <c r="S256" s="473">
        <f>Taulukko8[[#This Row],[Palvelut + toimintamenot]]-Taulukko8[[#This Row],[Poistuva velvoitetyöllistäminen]]-Taulukko8[[#This Row],[Poistuvaksi ehdotettu  palkkatuki]]</f>
        <v>509869.26991807536</v>
      </c>
      <c r="T256" s="479">
        <f>(Taulukko8[[#This Row],[Palvelut + toimintamenot, huomioitu vuonna 2025 poistuvat tehtävät]]/$S$6)*$T$2</f>
        <v>480957.13585141022</v>
      </c>
      <c r="U256" s="481">
        <f>Taulukko8[[#This Row],[Skaalattu siirtyvän rahoituksen tasoon ]]*0.5</f>
        <v>240478.56792570511</v>
      </c>
    </row>
    <row r="257" spans="1:21">
      <c r="A257" s="465">
        <v>832</v>
      </c>
      <c r="B257" s="456" t="s">
        <v>262</v>
      </c>
      <c r="C257" s="459">
        <v>3825</v>
      </c>
      <c r="D257" s="459">
        <v>164051.72790115731</v>
      </c>
      <c r="E257" s="459">
        <v>35170.39111763543</v>
      </c>
      <c r="F257" s="473">
        <f>Taulukko8[[#This Row],[Siirtyvän henkilöstön ELY-keskus ja TE-toimistokohtaiset toimintamenot]]+Taulukko8[[#This Row],[Valtakunnalliset toimintamenot]]</f>
        <v>199222.11901879276</v>
      </c>
      <c r="G257" s="459">
        <v>8568.296630354047</v>
      </c>
      <c r="H257" s="459">
        <v>5140.9779782124278</v>
      </c>
      <c r="I257" s="459">
        <v>0</v>
      </c>
      <c r="J257" s="459">
        <v>6429.1127237274213</v>
      </c>
      <c r="K257" s="459">
        <v>231952.12976734297</v>
      </c>
      <c r="L257" s="459">
        <v>126360.45920292645</v>
      </c>
      <c r="M257" s="459">
        <v>7408.9973160173167</v>
      </c>
      <c r="N257" s="459">
        <v>11287.0635123756</v>
      </c>
      <c r="O257" s="473">
        <f>SUM(Taulukko8[[#This Row],[Työvoimaviranomaisille siirtyvä kotoutumiskoulutus]:[Muut palvelut]])</f>
        <v>388578.74050060217</v>
      </c>
      <c r="P257" s="473">
        <f>Taulukko8[[#This Row],[Palvelut yhteensä]]+Taulukko8[[#This Row],[Toimintamenot yhteensä]]</f>
        <v>587800.85951939493</v>
      </c>
      <c r="Q257" s="481">
        <v>7897.5287001829029</v>
      </c>
      <c r="R257" s="481">
        <v>78975.287001829027</v>
      </c>
      <c r="S257" s="473">
        <f>Taulukko8[[#This Row],[Palvelut + toimintamenot]]-Taulukko8[[#This Row],[Poistuva velvoitetyöllistäminen]]-Taulukko8[[#This Row],[Poistuvaksi ehdotettu  palkkatuki]]</f>
        <v>500928.043817383</v>
      </c>
      <c r="T257" s="479">
        <f>(Taulukko8[[#This Row],[Palvelut + toimintamenot, huomioitu vuonna 2025 poistuvat tehtävät]]/$S$6)*$T$2</f>
        <v>472522.92192618229</v>
      </c>
      <c r="U257" s="481">
        <f>Taulukko8[[#This Row],[Skaalattu siirtyvän rahoituksen tasoon ]]*0.5</f>
        <v>236261.46096309114</v>
      </c>
    </row>
    <row r="258" spans="1:21">
      <c r="A258" s="465">
        <v>833</v>
      </c>
      <c r="B258" s="456" t="s">
        <v>263</v>
      </c>
      <c r="C258" s="459">
        <v>1691</v>
      </c>
      <c r="D258" s="459">
        <v>46022.457418201055</v>
      </c>
      <c r="E258" s="459">
        <v>9866.569821002382</v>
      </c>
      <c r="F258" s="473">
        <f>Taulukko8[[#This Row],[Siirtyvän henkilöstön ELY-keskus ja TE-toimistokohtaiset toimintamenot]]+Taulukko8[[#This Row],[Valtakunnalliset toimintamenot]]</f>
        <v>55889.027239203439</v>
      </c>
      <c r="G258" s="459">
        <v>17136.593260708094</v>
      </c>
      <c r="H258" s="459">
        <v>10281.955956424856</v>
      </c>
      <c r="I258" s="459">
        <v>0</v>
      </c>
      <c r="J258" s="459">
        <v>6429.1127237274213</v>
      </c>
      <c r="K258" s="459">
        <v>27166.583947664756</v>
      </c>
      <c r="L258" s="459">
        <v>13956.505057179842</v>
      </c>
      <c r="M258" s="459">
        <v>19748.107466033569</v>
      </c>
      <c r="N258" s="459">
        <v>3166.4305309104416</v>
      </c>
      <c r="O258" s="473">
        <f>SUM(Taulukko8[[#This Row],[Työvoimaviranomaisille siirtyvä kotoutumiskoulutus]:[Muut palvelut]])</f>
        <v>80748.695681940881</v>
      </c>
      <c r="P258" s="473">
        <f>Taulukko8[[#This Row],[Palvelut yhteensä]]+Taulukko8[[#This Row],[Toimintamenot yhteensä]]</f>
        <v>136637.72292114433</v>
      </c>
      <c r="Q258" s="481">
        <v>0</v>
      </c>
      <c r="R258" s="481">
        <v>13956.505057179842</v>
      </c>
      <c r="S258" s="473">
        <f>Taulukko8[[#This Row],[Palvelut + toimintamenot]]-Taulukko8[[#This Row],[Poistuva velvoitetyöllistäminen]]-Taulukko8[[#This Row],[Poistuvaksi ehdotettu  palkkatuki]]</f>
        <v>122681.2178639645</v>
      </c>
      <c r="T258" s="479">
        <f>(Taulukko8[[#This Row],[Palvelut + toimintamenot, huomioitu vuonna 2025 poistuvat tehtävät]]/$S$6)*$T$2</f>
        <v>115724.58009892599</v>
      </c>
      <c r="U258" s="481">
        <f>Taulukko8[[#This Row],[Skaalattu siirtyvän rahoituksen tasoon ]]*0.5</f>
        <v>57862.290049462994</v>
      </c>
    </row>
    <row r="259" spans="1:21">
      <c r="A259" s="465">
        <v>834</v>
      </c>
      <c r="B259" s="456" t="s">
        <v>264</v>
      </c>
      <c r="C259" s="459">
        <v>5879</v>
      </c>
      <c r="D259" s="459">
        <v>155688.87835736884</v>
      </c>
      <c r="E259" s="459">
        <v>33377.513388909574</v>
      </c>
      <c r="F259" s="473">
        <f>Taulukko8[[#This Row],[Siirtyvän henkilöstön ELY-keskus ja TE-toimistokohtaiset toimintamenot]]+Taulukko8[[#This Row],[Valtakunnalliset toimintamenot]]</f>
        <v>189066.39174627842</v>
      </c>
      <c r="G259" s="459">
        <v>25704.889891062143</v>
      </c>
      <c r="H259" s="459">
        <v>15422.933934637285</v>
      </c>
      <c r="I259" s="459">
        <v>21861.811112494808</v>
      </c>
      <c r="J259" s="459">
        <v>41789.232704228241</v>
      </c>
      <c r="K259" s="459">
        <v>96748.157041594881</v>
      </c>
      <c r="L259" s="459">
        <v>68067.743489425688</v>
      </c>
      <c r="M259" s="459">
        <v>21460.53596213018</v>
      </c>
      <c r="N259" s="459">
        <v>10711.683934526509</v>
      </c>
      <c r="O259" s="473">
        <f>SUM(Taulukko8[[#This Row],[Työvoimaviranomaisille siirtyvä kotoutumiskoulutus]:[Muut palvelut]])</f>
        <v>276062.09817903762</v>
      </c>
      <c r="P259" s="473">
        <f>Taulukko8[[#This Row],[Palvelut yhteensä]]+Taulukko8[[#This Row],[Toimintamenot yhteensä]]</f>
        <v>465128.48992531607</v>
      </c>
      <c r="Q259" s="481">
        <v>19447.926711264481</v>
      </c>
      <c r="R259" s="481">
        <v>9723.9633556322406</v>
      </c>
      <c r="S259" s="473">
        <f>Taulukko8[[#This Row],[Palvelut + toimintamenot]]-Taulukko8[[#This Row],[Poistuva velvoitetyöllistäminen]]-Taulukko8[[#This Row],[Poistuvaksi ehdotettu  palkkatuki]]</f>
        <v>435956.59985841933</v>
      </c>
      <c r="T259" s="479">
        <f>(Taulukko8[[#This Row],[Palvelut + toimintamenot, huomioitu vuonna 2025 poistuvat tehtävät]]/$S$6)*$T$2</f>
        <v>411235.68332940526</v>
      </c>
      <c r="U259" s="481">
        <f>Taulukko8[[#This Row],[Skaalattu siirtyvän rahoituksen tasoon ]]*0.5</f>
        <v>205617.84166470263</v>
      </c>
    </row>
    <row r="260" spans="1:21">
      <c r="A260" s="465">
        <v>837</v>
      </c>
      <c r="B260" s="456" t="s">
        <v>265</v>
      </c>
      <c r="C260" s="459">
        <v>249009</v>
      </c>
      <c r="D260" s="459">
        <v>12819545.990310173</v>
      </c>
      <c r="E260" s="459">
        <v>2748330.9819289213</v>
      </c>
      <c r="F260" s="473">
        <f>Taulukko8[[#This Row],[Siirtyvän henkilöstön ELY-keskus ja TE-toimistokohtaiset toimintamenot]]+Taulukko8[[#This Row],[Valtakunnalliset toimintamenot]]</f>
        <v>15567876.972239096</v>
      </c>
      <c r="G260" s="459">
        <v>2690445.1419311706</v>
      </c>
      <c r="H260" s="459">
        <v>1614267.0851587022</v>
      </c>
      <c r="I260" s="459">
        <v>3771162.4169053542</v>
      </c>
      <c r="J260" s="459">
        <v>1301895.3265548027</v>
      </c>
      <c r="K260" s="459">
        <v>9629818.2565895226</v>
      </c>
      <c r="L260" s="459">
        <v>3025547.2330918545</v>
      </c>
      <c r="M260" s="459">
        <v>2312809.2208581343</v>
      </c>
      <c r="N260" s="459">
        <v>882008.56914857356</v>
      </c>
      <c r="O260" s="473">
        <f>SUM(Taulukko8[[#This Row],[Työvoimaviranomaisille siirtyvä kotoutumiskoulutus]:[Muut palvelut]])</f>
        <v>22537508.108306944</v>
      </c>
      <c r="P260" s="473">
        <f>Taulukko8[[#This Row],[Palvelut yhteensä]]+Taulukko8[[#This Row],[Toimintamenot yhteensä]]</f>
        <v>38105385.080546036</v>
      </c>
      <c r="Q260" s="481">
        <v>676062.54544751614</v>
      </c>
      <c r="R260" s="481">
        <v>2108511.8991679959</v>
      </c>
      <c r="S260" s="473">
        <f>Taulukko8[[#This Row],[Palvelut + toimintamenot]]-Taulukko8[[#This Row],[Poistuva velvoitetyöllistäminen]]-Taulukko8[[#This Row],[Poistuvaksi ehdotettu  palkkatuki]]</f>
        <v>35320810.635930523</v>
      </c>
      <c r="T260" s="479">
        <f>(Taulukko8[[#This Row],[Palvelut + toimintamenot, huomioitu vuonna 2025 poistuvat tehtävät]]/$S$6)*$T$2</f>
        <v>33317944.26860974</v>
      </c>
      <c r="U260" s="481">
        <f>Taulukko8[[#This Row],[Skaalattu siirtyvän rahoituksen tasoon ]]*0.5</f>
        <v>16658972.13430487</v>
      </c>
    </row>
    <row r="261" spans="1:21">
      <c r="A261" s="465">
        <v>844</v>
      </c>
      <c r="B261" s="456" t="s">
        <v>266</v>
      </c>
      <c r="C261" s="459">
        <v>1441</v>
      </c>
      <c r="D261" s="459">
        <v>46659.343468866791</v>
      </c>
      <c r="E261" s="459">
        <v>10003.109263688266</v>
      </c>
      <c r="F261" s="473">
        <f>Taulukko8[[#This Row],[Siirtyvän henkilöstön ELY-keskus ja TE-toimistokohtaiset toimintamenot]]+Taulukko8[[#This Row],[Valtakunnalliset toimintamenot]]</f>
        <v>56662.452732555059</v>
      </c>
      <c r="G261" s="459">
        <v>8568.296630354047</v>
      </c>
      <c r="H261" s="459">
        <v>5140.9779782124278</v>
      </c>
      <c r="I261" s="459">
        <v>10930.905556247404</v>
      </c>
      <c r="J261" s="459">
        <v>9643.6690855911329</v>
      </c>
      <c r="K261" s="459">
        <v>26317.153031674206</v>
      </c>
      <c r="L261" s="459">
        <v>7586.8066402283202</v>
      </c>
      <c r="M261" s="459">
        <v>4819.4079687499998</v>
      </c>
      <c r="N261" s="459">
        <v>3210.2494738498385</v>
      </c>
      <c r="O261" s="473">
        <f>SUM(Taulukko8[[#This Row],[Työvoimaviranomaisille siirtyvä kotoutumiskoulutus]:[Muut palvelut]])</f>
        <v>67649.169734553332</v>
      </c>
      <c r="P261" s="473">
        <f>Taulukko8[[#This Row],[Palvelut yhteensä]]+Taulukko8[[#This Row],[Toimintamenot yhteensä]]</f>
        <v>124311.62246710839</v>
      </c>
      <c r="Q261" s="481">
        <v>7586.8066402283202</v>
      </c>
      <c r="R261" s="481">
        <v>0</v>
      </c>
      <c r="S261" s="473">
        <f>Taulukko8[[#This Row],[Palvelut + toimintamenot]]-Taulukko8[[#This Row],[Poistuva velvoitetyöllistäminen]]-Taulukko8[[#This Row],[Poistuvaksi ehdotettu  palkkatuki]]</f>
        <v>116724.81582688008</v>
      </c>
      <c r="T261" s="479">
        <f>(Taulukko8[[#This Row],[Palvelut + toimintamenot, huomioitu vuonna 2025 poistuvat tehtävät]]/$S$6)*$T$2</f>
        <v>110105.93580566248</v>
      </c>
      <c r="U261" s="481">
        <f>Taulukko8[[#This Row],[Skaalattu siirtyvän rahoituksen tasoon ]]*0.5</f>
        <v>55052.967902831238</v>
      </c>
    </row>
    <row r="262" spans="1:21">
      <c r="A262" s="465">
        <v>845</v>
      </c>
      <c r="B262" s="456" t="s">
        <v>267</v>
      </c>
      <c r="C262" s="459">
        <v>2863</v>
      </c>
      <c r="D262" s="459">
        <v>96776.918670787767</v>
      </c>
      <c r="E262" s="459">
        <v>20747.614940465304</v>
      </c>
      <c r="F262" s="473">
        <f>Taulukko8[[#This Row],[Siirtyvän henkilöstön ELY-keskus ja TE-toimistokohtaiset toimintamenot]]+Taulukko8[[#This Row],[Valtakunnalliset toimintamenot]]</f>
        <v>117524.53361125308</v>
      </c>
      <c r="G262" s="459">
        <v>34273.186521416188</v>
      </c>
      <c r="H262" s="459">
        <v>20563.911912849711</v>
      </c>
      <c r="I262" s="459">
        <v>10930.905556247404</v>
      </c>
      <c r="J262" s="459">
        <v>6429.1127237274213</v>
      </c>
      <c r="K262" s="459">
        <v>93540.758307880853</v>
      </c>
      <c r="L262" s="459">
        <v>106188.50154187426</v>
      </c>
      <c r="M262" s="459">
        <v>27131.566962962963</v>
      </c>
      <c r="N262" s="459">
        <v>6658.4317126322903</v>
      </c>
      <c r="O262" s="473">
        <f>SUM(Taulukko8[[#This Row],[Työvoimaviranomaisille siirtyvä kotoutumiskoulutus]:[Muut palvelut]])</f>
        <v>271443.18871817488</v>
      </c>
      <c r="P262" s="473">
        <f>Taulukko8[[#This Row],[Palvelut yhteensä]]+Taulukko8[[#This Row],[Toimintamenot yhteensä]]</f>
        <v>388967.72232942795</v>
      </c>
      <c r="Q262" s="481">
        <v>0</v>
      </c>
      <c r="R262" s="481">
        <v>77228.001121363093</v>
      </c>
      <c r="S262" s="473">
        <f>Taulukko8[[#This Row],[Palvelut + toimintamenot]]-Taulukko8[[#This Row],[Poistuva velvoitetyöllistäminen]]-Taulukko8[[#This Row],[Poistuvaksi ehdotettu  palkkatuki]]</f>
        <v>311739.72120806488</v>
      </c>
      <c r="T262" s="479">
        <f>(Taulukko8[[#This Row],[Palvelut + toimintamenot, huomioitu vuonna 2025 poistuvat tehtävät]]/$S$6)*$T$2</f>
        <v>294062.5220802952</v>
      </c>
      <c r="U262" s="481">
        <f>Taulukko8[[#This Row],[Skaalattu siirtyvän rahoituksen tasoon ]]*0.5</f>
        <v>147031.2610401476</v>
      </c>
    </row>
    <row r="263" spans="1:21">
      <c r="A263" s="465">
        <v>846</v>
      </c>
      <c r="B263" s="456" t="s">
        <v>268</v>
      </c>
      <c r="C263" s="459">
        <v>4862</v>
      </c>
      <c r="D263" s="459">
        <v>151090.79915980544</v>
      </c>
      <c r="E263" s="459">
        <v>32391.749655499803</v>
      </c>
      <c r="F263" s="473">
        <f>Taulukko8[[#This Row],[Siirtyvän henkilöstön ELY-keskus ja TE-toimistokohtaiset toimintamenot]]+Taulukko8[[#This Row],[Valtakunnalliset toimintamenot]]</f>
        <v>183482.54881530523</v>
      </c>
      <c r="G263" s="459">
        <v>0</v>
      </c>
      <c r="H263" s="459">
        <v>0</v>
      </c>
      <c r="I263" s="459">
        <v>98378.150006226642</v>
      </c>
      <c r="J263" s="459">
        <v>9643.6690855911329</v>
      </c>
      <c r="K263" s="459">
        <v>127075.56976190476</v>
      </c>
      <c r="L263" s="459">
        <v>124109.54582494474</v>
      </c>
      <c r="M263" s="459">
        <v>17817.103930240919</v>
      </c>
      <c r="N263" s="459">
        <v>10395.327547417312</v>
      </c>
      <c r="O263" s="473">
        <f>SUM(Taulukko8[[#This Row],[Työvoimaviranomaisille siirtyvä kotoutumiskoulutus]:[Muut palvelut]])</f>
        <v>387419.3661563255</v>
      </c>
      <c r="P263" s="473">
        <f>Taulukko8[[#This Row],[Palvelut yhteensä]]+Taulukko8[[#This Row],[Toimintamenot yhteensä]]</f>
        <v>570901.91497163079</v>
      </c>
      <c r="Q263" s="481">
        <v>9546.8881403803643</v>
      </c>
      <c r="R263" s="481">
        <v>85921.993263423283</v>
      </c>
      <c r="S263" s="473">
        <f>Taulukko8[[#This Row],[Palvelut + toimintamenot]]-Taulukko8[[#This Row],[Poistuva velvoitetyöllistäminen]]-Taulukko8[[#This Row],[Poistuvaksi ehdotettu  palkkatuki]]</f>
        <v>475433.03356782714</v>
      </c>
      <c r="T263" s="479">
        <f>(Taulukko8[[#This Row],[Palvelut + toimintamenot, huomioitu vuonna 2025 poistuvat tehtävät]]/$S$6)*$T$2</f>
        <v>448473.60608861671</v>
      </c>
      <c r="U263" s="481">
        <f>Taulukko8[[#This Row],[Skaalattu siirtyvän rahoituksen tasoon ]]*0.5</f>
        <v>224236.80304430836</v>
      </c>
    </row>
    <row r="264" spans="1:21">
      <c r="A264" s="465">
        <v>848</v>
      </c>
      <c r="B264" s="456" t="s">
        <v>269</v>
      </c>
      <c r="C264" s="459">
        <v>4160</v>
      </c>
      <c r="D264" s="459">
        <v>259563.80277973507</v>
      </c>
      <c r="E264" s="459">
        <v>55646.841277065687</v>
      </c>
      <c r="F264" s="473">
        <f>Taulukko8[[#This Row],[Siirtyvän henkilöstön ELY-keskus ja TE-toimistokohtaiset toimintamenot]]+Taulukko8[[#This Row],[Valtakunnalliset toimintamenot]]</f>
        <v>315210.64405680075</v>
      </c>
      <c r="G264" s="459">
        <v>17136.593260708094</v>
      </c>
      <c r="H264" s="459">
        <v>10281.955956424856</v>
      </c>
      <c r="I264" s="459">
        <v>43723.622224989616</v>
      </c>
      <c r="J264" s="459">
        <v>3214.5563618637107</v>
      </c>
      <c r="K264" s="459">
        <v>498316.69184359058</v>
      </c>
      <c r="L264" s="459">
        <v>108717.44879018892</v>
      </c>
      <c r="M264" s="459">
        <v>29158.004054758803</v>
      </c>
      <c r="N264" s="459">
        <v>17858.47162337591</v>
      </c>
      <c r="O264" s="473">
        <f>SUM(Taulukko8[[#This Row],[Työvoimaviranomaisille siirtyvä kotoutumiskoulutus]:[Muut palvelut]])</f>
        <v>711270.75085519231</v>
      </c>
      <c r="P264" s="473">
        <f>Taulukko8[[#This Row],[Palvelut yhteensä]]+Taulukko8[[#This Row],[Toimintamenot yhteensä]]</f>
        <v>1026481.3949119931</v>
      </c>
      <c r="Q264" s="481">
        <v>65230.469274113348</v>
      </c>
      <c r="R264" s="481">
        <v>21743.489758037787</v>
      </c>
      <c r="S264" s="473">
        <f>Taulukko8[[#This Row],[Palvelut + toimintamenot]]-Taulukko8[[#This Row],[Poistuva velvoitetyöllistäminen]]-Taulukko8[[#This Row],[Poistuvaksi ehdotettu  palkkatuki]]</f>
        <v>939507.43587984191</v>
      </c>
      <c r="T264" s="479">
        <f>(Taulukko8[[#This Row],[Palvelut + toimintamenot, huomioitu vuonna 2025 poistuvat tehtävät]]/$S$6)*$T$2</f>
        <v>886232.67204253259</v>
      </c>
      <c r="U264" s="481">
        <f>Taulukko8[[#This Row],[Skaalattu siirtyvän rahoituksen tasoon ]]*0.5</f>
        <v>443116.3360212663</v>
      </c>
    </row>
    <row r="265" spans="1:21">
      <c r="A265" s="465">
        <v>849</v>
      </c>
      <c r="B265" s="456" t="s">
        <v>270</v>
      </c>
      <c r="C265" s="459">
        <v>2903</v>
      </c>
      <c r="D265" s="459">
        <v>76378.708431241073</v>
      </c>
      <c r="E265" s="459">
        <v>16374.524565843582</v>
      </c>
      <c r="F265" s="473">
        <f>Taulukko8[[#This Row],[Siirtyvän henkilöstön ELY-keskus ja TE-toimistokohtaiset toimintamenot]]+Taulukko8[[#This Row],[Valtakunnalliset toimintamenot]]</f>
        <v>92753.232997084648</v>
      </c>
      <c r="G265" s="459">
        <v>0</v>
      </c>
      <c r="H265" s="459">
        <v>0</v>
      </c>
      <c r="I265" s="459">
        <v>76516.338893731823</v>
      </c>
      <c r="J265" s="459">
        <v>3214.5563618637107</v>
      </c>
      <c r="K265" s="459">
        <v>31705.432705882351</v>
      </c>
      <c r="L265" s="459">
        <v>18771.378320929824</v>
      </c>
      <c r="M265" s="459">
        <v>5795.4862000000003</v>
      </c>
      <c r="N265" s="459">
        <v>5254.9969700779602</v>
      </c>
      <c r="O265" s="473">
        <f>SUM(Taulukko8[[#This Row],[Työvoimaviranomaisille siirtyvä kotoutumiskoulutus]:[Muut palvelut]])</f>
        <v>141258.18945248568</v>
      </c>
      <c r="P265" s="473">
        <f>Taulukko8[[#This Row],[Palvelut yhteensä]]+Taulukko8[[#This Row],[Toimintamenot yhteensä]]</f>
        <v>234011.42244957032</v>
      </c>
      <c r="Q265" s="481">
        <v>0</v>
      </c>
      <c r="R265" s="481">
        <v>18771.378320929824</v>
      </c>
      <c r="S265" s="473">
        <f>Taulukko8[[#This Row],[Palvelut + toimintamenot]]-Taulukko8[[#This Row],[Poistuva velvoitetyöllistäminen]]-Taulukko8[[#This Row],[Poistuvaksi ehdotettu  palkkatuki]]</f>
        <v>215240.0441286405</v>
      </c>
      <c r="T265" s="479">
        <f>(Taulukko8[[#This Row],[Palvelut + toimintamenot, huomioitu vuonna 2025 poistuvat tehtävät]]/$S$6)*$T$2</f>
        <v>203034.85864381597</v>
      </c>
      <c r="U265" s="481">
        <f>Taulukko8[[#This Row],[Skaalattu siirtyvän rahoituksen tasoon ]]*0.5</f>
        <v>101517.42932190798</v>
      </c>
    </row>
    <row r="266" spans="1:21">
      <c r="A266" s="465">
        <v>850</v>
      </c>
      <c r="B266" s="456" t="s">
        <v>271</v>
      </c>
      <c r="C266" s="459">
        <v>2407</v>
      </c>
      <c r="D266" s="459">
        <v>68718.219205009198</v>
      </c>
      <c r="E266" s="459">
        <v>14732.223044939537</v>
      </c>
      <c r="F266" s="473">
        <f>Taulukko8[[#This Row],[Siirtyvän henkilöstön ELY-keskus ja TE-toimistokohtaiset toimintamenot]]+Taulukko8[[#This Row],[Valtakunnalliset toimintamenot]]</f>
        <v>83450.442249948741</v>
      </c>
      <c r="G266" s="459">
        <v>25704.889891062143</v>
      </c>
      <c r="H266" s="459">
        <v>15422.933934637285</v>
      </c>
      <c r="I266" s="459">
        <v>10930.905556247404</v>
      </c>
      <c r="J266" s="459">
        <v>9643.6690855911329</v>
      </c>
      <c r="K266" s="459">
        <v>46840.559339640313</v>
      </c>
      <c r="L266" s="459">
        <v>28802.796632784</v>
      </c>
      <c r="M266" s="459">
        <v>16387.096746505125</v>
      </c>
      <c r="N266" s="459">
        <v>4727.9410863115681</v>
      </c>
      <c r="O266" s="473">
        <f>SUM(Taulukko8[[#This Row],[Työvoimaviranomaisille siirtyvä kotoutumiskoulutus]:[Muut palvelut]])</f>
        <v>132755.90238171682</v>
      </c>
      <c r="P266" s="473">
        <f>Taulukko8[[#This Row],[Palvelut yhteensä]]+Taulukko8[[#This Row],[Toimintamenot yhteensä]]</f>
        <v>216206.34463166556</v>
      </c>
      <c r="Q266" s="481">
        <v>9600.9322109280001</v>
      </c>
      <c r="R266" s="481">
        <v>0</v>
      </c>
      <c r="S266" s="473">
        <f>Taulukko8[[#This Row],[Palvelut + toimintamenot]]-Taulukko8[[#This Row],[Poistuva velvoitetyöllistäminen]]-Taulukko8[[#This Row],[Poistuvaksi ehdotettu  palkkatuki]]</f>
        <v>206605.41242073756</v>
      </c>
      <c r="T266" s="479">
        <f>(Taulukko8[[#This Row],[Palvelut + toimintamenot, huomioitu vuonna 2025 poistuvat tehtävät]]/$S$6)*$T$2</f>
        <v>194889.8536780685</v>
      </c>
      <c r="U266" s="481">
        <f>Taulukko8[[#This Row],[Skaalattu siirtyvän rahoituksen tasoon ]]*0.5</f>
        <v>97444.926839034248</v>
      </c>
    </row>
    <row r="267" spans="1:21">
      <c r="A267" s="465">
        <v>851</v>
      </c>
      <c r="B267" s="456" t="s">
        <v>272</v>
      </c>
      <c r="C267" s="459">
        <v>21227</v>
      </c>
      <c r="D267" s="459">
        <v>730347.59054941882</v>
      </c>
      <c r="E267" s="459">
        <v>156576.28688264801</v>
      </c>
      <c r="F267" s="473">
        <f>Taulukko8[[#This Row],[Siirtyvän henkilöstön ELY-keskus ja TE-toimistokohtaiset toimintamenot]]+Taulukko8[[#This Row],[Valtakunnalliset toimintamenot]]</f>
        <v>886923.87743206683</v>
      </c>
      <c r="G267" s="459">
        <v>154229.33934637284</v>
      </c>
      <c r="H267" s="459">
        <v>92537.603607823708</v>
      </c>
      <c r="I267" s="459">
        <v>174894.48889995847</v>
      </c>
      <c r="J267" s="459">
        <v>157513.26173132184</v>
      </c>
      <c r="K267" s="459">
        <v>688800.12935803179</v>
      </c>
      <c r="L267" s="459">
        <v>463368.00672817859</v>
      </c>
      <c r="M267" s="459">
        <v>128477.42570370372</v>
      </c>
      <c r="N267" s="459">
        <v>50249.270435045655</v>
      </c>
      <c r="O267" s="473">
        <f>SUM(Taulukko8[[#This Row],[Työvoimaviranomaisille siirtyvä kotoutumiskoulutus]:[Muut palvelut]])</f>
        <v>1755840.1864640636</v>
      </c>
      <c r="P267" s="473">
        <f>Taulukko8[[#This Row],[Palvelut yhteensä]]+Taulukko8[[#This Row],[Toimintamenot yhteensä]]</f>
        <v>2642764.0638961303</v>
      </c>
      <c r="Q267" s="481">
        <v>38614.000560681547</v>
      </c>
      <c r="R267" s="481">
        <v>299258.50434528204</v>
      </c>
      <c r="S267" s="473">
        <f>Taulukko8[[#This Row],[Palvelut + toimintamenot]]-Taulukko8[[#This Row],[Poistuva velvoitetyöllistäminen]]-Taulukko8[[#This Row],[Poistuvaksi ehdotettu  palkkatuki]]</f>
        <v>2304891.558990167</v>
      </c>
      <c r="T267" s="479">
        <f>(Taulukko8[[#This Row],[Palvelut + toimintamenot, huomioitu vuonna 2025 poistuvat tehtävät]]/$S$6)*$T$2</f>
        <v>2174192.6961750849</v>
      </c>
      <c r="U267" s="481">
        <f>Taulukko8[[#This Row],[Skaalattu siirtyvän rahoituksen tasoon ]]*0.5</f>
        <v>1087096.3480875425</v>
      </c>
    </row>
    <row r="268" spans="1:21">
      <c r="A268" s="465">
        <v>853</v>
      </c>
      <c r="B268" s="456" t="s">
        <v>273</v>
      </c>
      <c r="C268" s="459">
        <v>197900</v>
      </c>
      <c r="D268" s="459">
        <v>9847112.4848649837</v>
      </c>
      <c r="E268" s="459">
        <v>2111082.8999053123</v>
      </c>
      <c r="F268" s="473">
        <f>Taulukko8[[#This Row],[Siirtyvän henkilöstön ELY-keskus ja TE-toimistokohtaiset toimintamenot]]+Taulukko8[[#This Row],[Valtakunnalliset toimintamenot]]</f>
        <v>11958195.384770297</v>
      </c>
      <c r="G268" s="459">
        <v>3864301.7802896751</v>
      </c>
      <c r="H268" s="459">
        <v>2318581.0681738048</v>
      </c>
      <c r="I268" s="459">
        <v>2251766.5445869653</v>
      </c>
      <c r="J268" s="459">
        <v>2571645.0894909687</v>
      </c>
      <c r="K268" s="459">
        <v>7817184.5309405336</v>
      </c>
      <c r="L268" s="459">
        <v>5254624.1540282108</v>
      </c>
      <c r="M268" s="459">
        <v>1567703.6101234076</v>
      </c>
      <c r="N268" s="459">
        <v>677499.62436935538</v>
      </c>
      <c r="O268" s="473">
        <f>SUM(Taulukko8[[#This Row],[Työvoimaviranomaisille siirtyvä kotoutumiskoulutus]:[Muut palvelut]])</f>
        <v>22459004.621713247</v>
      </c>
      <c r="P268" s="473">
        <f>Taulukko8[[#This Row],[Palvelut yhteensä]]+Taulukko8[[#This Row],[Toimintamenot yhteensä]]</f>
        <v>34417200.00648354</v>
      </c>
      <c r="Q268" s="481">
        <v>816455.5458450208</v>
      </c>
      <c r="R268" s="481">
        <v>4200908.0222111326</v>
      </c>
      <c r="S268" s="473">
        <f>Taulukko8[[#This Row],[Palvelut + toimintamenot]]-Taulukko8[[#This Row],[Poistuva velvoitetyöllistäminen]]-Taulukko8[[#This Row],[Poistuvaksi ehdotettu  palkkatuki]]</f>
        <v>29399836.438427381</v>
      </c>
      <c r="T268" s="479">
        <f>(Taulukko8[[#This Row],[Palvelut + toimintamenot, huomioitu vuonna 2025 poistuvat tehtävät]]/$S$6)*$T$2</f>
        <v>27732718.879484445</v>
      </c>
      <c r="U268" s="481">
        <f>Taulukko8[[#This Row],[Skaalattu siirtyvän rahoituksen tasoon ]]*0.5</f>
        <v>13866359.439742222</v>
      </c>
    </row>
    <row r="269" spans="1:21">
      <c r="A269" s="465">
        <v>854</v>
      </c>
      <c r="B269" s="456" t="s">
        <v>274</v>
      </c>
      <c r="C269" s="459">
        <v>3262</v>
      </c>
      <c r="D269" s="459">
        <v>106752.81606252404</v>
      </c>
      <c r="E269" s="459">
        <v>22886.307519358215</v>
      </c>
      <c r="F269" s="473">
        <f>Taulukko8[[#This Row],[Siirtyvän henkilöstön ELY-keskus ja TE-toimistokohtaiset toimintamenot]]+Taulukko8[[#This Row],[Valtakunnalliset toimintamenot]]</f>
        <v>129639.12358188226</v>
      </c>
      <c r="G269" s="459">
        <v>17136.593260708094</v>
      </c>
      <c r="H269" s="459">
        <v>10281.955956424856</v>
      </c>
      <c r="I269" s="459">
        <v>21861.811112494808</v>
      </c>
      <c r="J269" s="459">
        <v>48218.345427955661</v>
      </c>
      <c r="K269" s="459">
        <v>93540.758307880853</v>
      </c>
      <c r="L269" s="459">
        <v>115842.00168204465</v>
      </c>
      <c r="M269" s="459">
        <v>41492.385185185187</v>
      </c>
      <c r="N269" s="459">
        <v>7344.7919777391062</v>
      </c>
      <c r="O269" s="473">
        <f>SUM(Taulukko8[[#This Row],[Työvoimaviranomaisille siirtyvä kotoutumiskoulutus]:[Muut palvelut]])</f>
        <v>338582.04964972509</v>
      </c>
      <c r="P269" s="473">
        <f>Taulukko8[[#This Row],[Palvelut yhteensä]]+Taulukko8[[#This Row],[Toimintamenot yhteensä]]</f>
        <v>468221.17323160736</v>
      </c>
      <c r="Q269" s="481">
        <v>0</v>
      </c>
      <c r="R269" s="481">
        <v>38614.000560681547</v>
      </c>
      <c r="S269" s="473">
        <f>Taulukko8[[#This Row],[Palvelut + toimintamenot]]-Taulukko8[[#This Row],[Poistuva velvoitetyöllistäminen]]-Taulukko8[[#This Row],[Poistuvaksi ehdotettu  palkkatuki]]</f>
        <v>429607.17267092579</v>
      </c>
      <c r="T269" s="479">
        <f>(Taulukko8[[#This Row],[Palvelut + toimintamenot, huomioitu vuonna 2025 poistuvat tehtävät]]/$S$6)*$T$2</f>
        <v>405246.30037466343</v>
      </c>
      <c r="U269" s="481">
        <f>Taulukko8[[#This Row],[Skaalattu siirtyvän rahoituksen tasoon ]]*0.5</f>
        <v>202623.15018733172</v>
      </c>
    </row>
    <row r="270" spans="1:21">
      <c r="A270" s="465">
        <v>857</v>
      </c>
      <c r="B270" s="456" t="s">
        <v>275</v>
      </c>
      <c r="C270" s="459">
        <v>2394</v>
      </c>
      <c r="D270" s="459">
        <v>80229.785765640452</v>
      </c>
      <c r="E270" s="459">
        <v>17200.141569747946</v>
      </c>
      <c r="F270" s="473">
        <f>Taulukko8[[#This Row],[Siirtyvän henkilöstön ELY-keskus ja TE-toimistokohtaiset toimintamenot]]+Taulukko8[[#This Row],[Valtakunnalliset toimintamenot]]</f>
        <v>97429.927335388405</v>
      </c>
      <c r="G270" s="459">
        <v>17136.593260708094</v>
      </c>
      <c r="H270" s="459">
        <v>10281.955956424856</v>
      </c>
      <c r="I270" s="459">
        <v>32792.716668742214</v>
      </c>
      <c r="J270" s="459">
        <v>6429.1127237274213</v>
      </c>
      <c r="K270" s="459">
        <v>8772.3843438914028</v>
      </c>
      <c r="L270" s="459">
        <v>37934.033201141603</v>
      </c>
      <c r="M270" s="459">
        <v>15952.007082674052</v>
      </c>
      <c r="N270" s="459">
        <v>5519.9582418703885</v>
      </c>
      <c r="O270" s="473">
        <f>SUM(Taulukko8[[#This Row],[Työvoimaviranomaisille siirtyvä kotoutumiskoulutus]:[Muut palvelut]])</f>
        <v>117682.16821847194</v>
      </c>
      <c r="P270" s="473">
        <f>Taulukko8[[#This Row],[Palvelut yhteensä]]+Taulukko8[[#This Row],[Toimintamenot yhteensä]]</f>
        <v>215112.09555386036</v>
      </c>
      <c r="Q270" s="481">
        <v>7586.8066402283212</v>
      </c>
      <c r="R270" s="481">
        <v>30347.226560913285</v>
      </c>
      <c r="S270" s="473">
        <f>Taulukko8[[#This Row],[Palvelut + toimintamenot]]-Taulukko8[[#This Row],[Poistuva velvoitetyöllistäminen]]-Taulukko8[[#This Row],[Poistuvaksi ehdotettu  palkkatuki]]</f>
        <v>177178.06235271876</v>
      </c>
      <c r="T270" s="479">
        <f>(Taulukko8[[#This Row],[Palvelut + toimintamenot, huomioitu vuonna 2025 poistuvat tehtävät]]/$S$6)*$T$2</f>
        <v>167131.18132920295</v>
      </c>
      <c r="U270" s="481">
        <f>Taulukko8[[#This Row],[Skaalattu siirtyvän rahoituksen tasoon ]]*0.5</f>
        <v>83565.590664601477</v>
      </c>
    </row>
    <row r="271" spans="1:21">
      <c r="A271" s="465">
        <v>858</v>
      </c>
      <c r="B271" s="456" t="s">
        <v>276</v>
      </c>
      <c r="C271" s="459">
        <v>40384</v>
      </c>
      <c r="D271" s="459">
        <v>1079917.6775828174</v>
      </c>
      <c r="E271" s="459">
        <v>231519.21397816786</v>
      </c>
      <c r="F271" s="473">
        <f>Taulukko8[[#This Row],[Siirtyvän henkilöstön ELY-keskus ja TE-toimistokohtaiset toimintamenot]]+Taulukko8[[#This Row],[Valtakunnalliset toimintamenot]]</f>
        <v>1311436.8915609852</v>
      </c>
      <c r="G271" s="459">
        <v>214207.41575885119</v>
      </c>
      <c r="H271" s="459">
        <v>128524.44945531071</v>
      </c>
      <c r="I271" s="459">
        <v>174894.48889995847</v>
      </c>
      <c r="J271" s="459">
        <v>147869.59264573068</v>
      </c>
      <c r="K271" s="459">
        <v>685829.84159336949</v>
      </c>
      <c r="L271" s="459">
        <v>303677.26987029298</v>
      </c>
      <c r="M271" s="459">
        <v>329909.45306055096</v>
      </c>
      <c r="N271" s="459">
        <v>74300.341550553261</v>
      </c>
      <c r="O271" s="473">
        <f>SUM(Taulukko8[[#This Row],[Työvoimaviranomaisille siirtyvä kotoutumiskoulutus]:[Muut palvelut]])</f>
        <v>1845005.4370757667</v>
      </c>
      <c r="P271" s="473">
        <f>Taulukko8[[#This Row],[Palvelut yhteensä]]+Taulukko8[[#This Row],[Toimintamenot yhteensä]]</f>
        <v>3156442.328636752</v>
      </c>
      <c r="Q271" s="481">
        <v>134967.67549790797</v>
      </c>
      <c r="R271" s="481">
        <v>56236.531457461657</v>
      </c>
      <c r="S271" s="473">
        <f>Taulukko8[[#This Row],[Palvelut + toimintamenot]]-Taulukko8[[#This Row],[Poistuva velvoitetyöllistäminen]]-Taulukko8[[#This Row],[Poistuvaksi ehdotettu  palkkatuki]]</f>
        <v>2965238.1216813819</v>
      </c>
      <c r="T271" s="479">
        <f>(Taulukko8[[#This Row],[Palvelut + toimintamenot, huomioitu vuonna 2025 poistuvat tehtävät]]/$S$6)*$T$2</f>
        <v>2797094.3107640981</v>
      </c>
      <c r="U271" s="481">
        <f>Taulukko8[[#This Row],[Skaalattu siirtyvän rahoituksen tasoon ]]*0.5</f>
        <v>1398547.155382049</v>
      </c>
    </row>
    <row r="272" spans="1:21">
      <c r="A272" s="465">
        <v>859</v>
      </c>
      <c r="B272" s="456" t="s">
        <v>277</v>
      </c>
      <c r="C272" s="459">
        <v>6562</v>
      </c>
      <c r="D272" s="459">
        <v>170905.69320341529</v>
      </c>
      <c r="E272" s="459">
        <v>36639.785213455951</v>
      </c>
      <c r="F272" s="473">
        <f>Taulukko8[[#This Row],[Siirtyvän henkilöstön ELY-keskus ja TE-toimistokohtaiset toimintamenot]]+Taulukko8[[#This Row],[Valtakunnalliset toimintamenot]]</f>
        <v>207545.47841687122</v>
      </c>
      <c r="G272" s="459">
        <v>8568.296630354047</v>
      </c>
      <c r="H272" s="459">
        <v>5140.9779782124278</v>
      </c>
      <c r="I272" s="459">
        <v>32792.716668742214</v>
      </c>
      <c r="J272" s="459">
        <v>16072.781809318552</v>
      </c>
      <c r="K272" s="459">
        <v>115976.06488367148</v>
      </c>
      <c r="L272" s="459">
        <v>126360.45920292645</v>
      </c>
      <c r="M272" s="459">
        <v>34712.645725829723</v>
      </c>
      <c r="N272" s="459">
        <v>11758.629052513128</v>
      </c>
      <c r="O272" s="473">
        <f>SUM(Taulukko8[[#This Row],[Työvoimaviranomaisille siirtyvä kotoutumiskoulutus]:[Muut palvelut]])</f>
        <v>342814.27532121394</v>
      </c>
      <c r="P272" s="473">
        <f>Taulukko8[[#This Row],[Palvelut yhteensä]]+Taulukko8[[#This Row],[Toimintamenot yhteensä]]</f>
        <v>550359.75373808516</v>
      </c>
      <c r="Q272" s="481">
        <v>0</v>
      </c>
      <c r="R272" s="481">
        <v>71077.758301646129</v>
      </c>
      <c r="S272" s="473">
        <f>Taulukko8[[#This Row],[Palvelut + toimintamenot]]-Taulukko8[[#This Row],[Poistuva velvoitetyöllistäminen]]-Taulukko8[[#This Row],[Poistuvaksi ehdotettu  palkkatuki]]</f>
        <v>479281.99543643906</v>
      </c>
      <c r="T272" s="479">
        <f>(Taulukko8[[#This Row],[Palvelut + toimintamenot, huomioitu vuonna 2025 poistuvat tehtävät]]/$S$6)*$T$2</f>
        <v>452104.31259624037</v>
      </c>
      <c r="U272" s="481">
        <f>Taulukko8[[#This Row],[Skaalattu siirtyvän rahoituksen tasoon ]]*0.5</f>
        <v>226052.15629812019</v>
      </c>
    </row>
    <row r="273" spans="1:21">
      <c r="A273" s="465">
        <v>886</v>
      </c>
      <c r="B273" s="456" t="s">
        <v>278</v>
      </c>
      <c r="C273" s="459">
        <v>12599</v>
      </c>
      <c r="D273" s="459">
        <v>356153.2269589717</v>
      </c>
      <c r="E273" s="459">
        <v>76354.260026459917</v>
      </c>
      <c r="F273" s="473">
        <f>Taulukko8[[#This Row],[Siirtyvän henkilöstön ELY-keskus ja TE-toimistokohtaiset toimintamenot]]+Taulukko8[[#This Row],[Valtakunnalliset toimintamenot]]</f>
        <v>432507.48698543163</v>
      </c>
      <c r="G273" s="459">
        <v>59978.076412478331</v>
      </c>
      <c r="H273" s="459">
        <v>35986.845847486999</v>
      </c>
      <c r="I273" s="459">
        <v>109309.05556247404</v>
      </c>
      <c r="J273" s="459">
        <v>25716.450894909685</v>
      </c>
      <c r="K273" s="459">
        <v>211091.18644196138</v>
      </c>
      <c r="L273" s="459">
        <v>70320.696777519974</v>
      </c>
      <c r="M273" s="459">
        <v>63565.755494594589</v>
      </c>
      <c r="N273" s="459">
        <v>24504.003366825105</v>
      </c>
      <c r="O273" s="473">
        <f>SUM(Taulukko8[[#This Row],[Työvoimaviranomaisille siirtyvä kotoutumiskoulutus]:[Muut palvelut]])</f>
        <v>540493.99438577169</v>
      </c>
      <c r="P273" s="473">
        <f>Taulukko8[[#This Row],[Palvelut yhteensä]]+Taulukko8[[#This Row],[Toimintamenot yhteensä]]</f>
        <v>973001.48137120332</v>
      </c>
      <c r="Q273" s="481">
        <v>35160.348388759987</v>
      </c>
      <c r="R273" s="481">
        <v>35160.348388759987</v>
      </c>
      <c r="S273" s="473">
        <f>Taulukko8[[#This Row],[Palvelut + toimintamenot]]-Taulukko8[[#This Row],[Poistuva velvoitetyöllistäminen]]-Taulukko8[[#This Row],[Poistuvaksi ehdotettu  palkkatuki]]</f>
        <v>902680.78459368332</v>
      </c>
      <c r="T273" s="479">
        <f>(Taulukko8[[#This Row],[Palvelut + toimintamenot, huomioitu vuonna 2025 poistuvat tehtävät]]/$S$6)*$T$2</f>
        <v>851494.27580924821</v>
      </c>
      <c r="U273" s="481">
        <f>Taulukko8[[#This Row],[Skaalattu siirtyvän rahoituksen tasoon ]]*0.5</f>
        <v>425747.13790462411</v>
      </c>
    </row>
    <row r="274" spans="1:21">
      <c r="A274" s="465">
        <v>887</v>
      </c>
      <c r="B274" s="456" t="s">
        <v>279</v>
      </c>
      <c r="C274" s="459">
        <v>4569</v>
      </c>
      <c r="D274" s="459">
        <v>210690.23864874066</v>
      </c>
      <c r="E274" s="459">
        <v>45169.034137871357</v>
      </c>
      <c r="F274" s="473">
        <f>Taulukko8[[#This Row],[Siirtyvän henkilöstön ELY-keskus ja TE-toimistokohtaiset toimintamenot]]+Taulukko8[[#This Row],[Valtakunnalliset toimintamenot]]</f>
        <v>255859.27278661201</v>
      </c>
      <c r="G274" s="459">
        <v>8568.296630354047</v>
      </c>
      <c r="H274" s="459">
        <v>5140.9779782124278</v>
      </c>
      <c r="I274" s="459">
        <v>21861.811112494808</v>
      </c>
      <c r="J274" s="459">
        <v>6429.1127237274213</v>
      </c>
      <c r="K274" s="459">
        <v>150962.49742178293</v>
      </c>
      <c r="L274" s="459">
        <v>80324.262825447455</v>
      </c>
      <c r="M274" s="459">
        <v>44424.166335246235</v>
      </c>
      <c r="N274" s="459">
        <v>14495.879656316205</v>
      </c>
      <c r="O274" s="473">
        <f>SUM(Taulukko8[[#This Row],[Työvoimaviranomaisille siirtyvä kotoutumiskoulutus]:[Muut palvelut]])</f>
        <v>323638.70805322746</v>
      </c>
      <c r="P274" s="473">
        <f>Taulukko8[[#This Row],[Palvelut yhteensä]]+Taulukko8[[#This Row],[Toimintamenot yhteensä]]</f>
        <v>579497.98083983944</v>
      </c>
      <c r="Q274" s="481">
        <v>20081.065706361864</v>
      </c>
      <c r="R274" s="481">
        <v>33468.442843936442</v>
      </c>
      <c r="S274" s="473">
        <f>Taulukko8[[#This Row],[Palvelut + toimintamenot]]-Taulukko8[[#This Row],[Poistuva velvoitetyöllistäminen]]-Taulukko8[[#This Row],[Poistuvaksi ehdotettu  palkkatuki]]</f>
        <v>525948.47228954104</v>
      </c>
      <c r="T274" s="479">
        <f>(Taulukko8[[#This Row],[Palvelut + toimintamenot, huomioitu vuonna 2025 poistuvat tehtävät]]/$S$6)*$T$2</f>
        <v>496124.56714335282</v>
      </c>
      <c r="U274" s="481">
        <f>Taulukko8[[#This Row],[Skaalattu siirtyvän rahoituksen tasoon ]]*0.5</f>
        <v>248062.28357167641</v>
      </c>
    </row>
    <row r="275" spans="1:21">
      <c r="A275" s="465">
        <v>889</v>
      </c>
      <c r="B275" s="456" t="s">
        <v>280</v>
      </c>
      <c r="C275" s="459">
        <v>2523</v>
      </c>
      <c r="D275" s="459">
        <v>90583.648243519492</v>
      </c>
      <c r="E275" s="459">
        <v>19419.864565561918</v>
      </c>
      <c r="F275" s="473">
        <f>Taulukko8[[#This Row],[Siirtyvän henkilöstön ELY-keskus ja TE-toimistokohtaiset toimintamenot]]+Taulukko8[[#This Row],[Valtakunnalliset toimintamenot]]</f>
        <v>110003.51280908141</v>
      </c>
      <c r="G275" s="459">
        <v>85682.966303540466</v>
      </c>
      <c r="H275" s="459">
        <v>51409.779782124278</v>
      </c>
      <c r="I275" s="459">
        <v>10930.905556247404</v>
      </c>
      <c r="J275" s="459">
        <v>12858.225447454843</v>
      </c>
      <c r="K275" s="459">
        <v>26763.707280847266</v>
      </c>
      <c r="L275" s="459">
        <v>181643.16010420676</v>
      </c>
      <c r="M275" s="459">
        <v>13651.824204906205</v>
      </c>
      <c r="N275" s="459">
        <v>6232.3232067589952</v>
      </c>
      <c r="O275" s="473">
        <f>SUM(Taulukko8[[#This Row],[Työvoimaviranomaisille siirtyvä kotoutumiskoulutus]:[Muut palvelut]])</f>
        <v>303489.92558254569</v>
      </c>
      <c r="P275" s="473">
        <f>Taulukko8[[#This Row],[Palvelut yhteensä]]+Taulukko8[[#This Row],[Toimintamenot yhteensä]]</f>
        <v>413493.4383916271</v>
      </c>
      <c r="Q275" s="481">
        <v>15795.057400365806</v>
      </c>
      <c r="R275" s="481">
        <v>118462.93050274355</v>
      </c>
      <c r="S275" s="473">
        <f>Taulukko8[[#This Row],[Palvelut + toimintamenot]]-Taulukko8[[#This Row],[Poistuva velvoitetyöllistäminen]]-Taulukko8[[#This Row],[Poistuvaksi ehdotettu  palkkatuki]]</f>
        <v>279235.45048851776</v>
      </c>
      <c r="T275" s="479">
        <f>(Taulukko8[[#This Row],[Palvelut + toimintamenot, huomioitu vuonna 2025 poistuvat tehtävät]]/$S$6)*$T$2</f>
        <v>263401.40584804188</v>
      </c>
      <c r="U275" s="481">
        <f>Taulukko8[[#This Row],[Skaalattu siirtyvän rahoituksen tasoon ]]*0.5</f>
        <v>131700.70292402094</v>
      </c>
    </row>
    <row r="276" spans="1:21">
      <c r="A276" s="465">
        <v>890</v>
      </c>
      <c r="B276" s="456" t="s">
        <v>281</v>
      </c>
      <c r="C276" s="459">
        <v>1180</v>
      </c>
      <c r="D276" s="459">
        <v>36665.589458887545</v>
      </c>
      <c r="E276" s="459">
        <v>7860.5884761219186</v>
      </c>
      <c r="F276" s="473">
        <f>Taulukko8[[#This Row],[Siirtyvän henkilöstön ELY-keskus ja TE-toimistokohtaiset toimintamenot]]+Taulukko8[[#This Row],[Valtakunnalliset toimintamenot]]</f>
        <v>44526.177935009466</v>
      </c>
      <c r="G276" s="459">
        <v>0</v>
      </c>
      <c r="H276" s="459">
        <v>0</v>
      </c>
      <c r="I276" s="459">
        <v>10930.905556247404</v>
      </c>
      <c r="J276" s="459">
        <v>3214.5563618637107</v>
      </c>
      <c r="K276" s="459">
        <v>8503.7053007164413</v>
      </c>
      <c r="L276" s="459">
        <v>19307.000280340773</v>
      </c>
      <c r="M276" s="459">
        <v>0</v>
      </c>
      <c r="N276" s="459">
        <v>2522.6606402493949</v>
      </c>
      <c r="O276" s="473">
        <f>SUM(Taulukko8[[#This Row],[Työvoimaviranomaisille siirtyvä kotoutumiskoulutus]:[Muut palvelut]])</f>
        <v>44478.828139417717</v>
      </c>
      <c r="P276" s="473">
        <f>Taulukko8[[#This Row],[Palvelut yhteensä]]+Taulukko8[[#This Row],[Toimintamenot yhteensä]]</f>
        <v>89005.00607442719</v>
      </c>
      <c r="Q276" s="481">
        <v>9653.5001401703867</v>
      </c>
      <c r="R276" s="481">
        <v>9653.5001401703867</v>
      </c>
      <c r="S276" s="473">
        <f>Taulukko8[[#This Row],[Palvelut + toimintamenot]]-Taulukko8[[#This Row],[Poistuva velvoitetyöllistäminen]]-Taulukko8[[#This Row],[Poistuvaksi ehdotettu  palkkatuki]]</f>
        <v>69698.005794086406</v>
      </c>
      <c r="T276" s="479">
        <f>(Taulukko8[[#This Row],[Palvelut + toimintamenot, huomioitu vuonna 2025 poistuvat tehtävät]]/$S$6)*$T$2</f>
        <v>65745.780769774559</v>
      </c>
      <c r="U276" s="481">
        <f>Taulukko8[[#This Row],[Skaalattu siirtyvän rahoituksen tasoon ]]*0.5</f>
        <v>32872.89038488728</v>
      </c>
    </row>
    <row r="277" spans="1:21">
      <c r="A277" s="465">
        <v>892</v>
      </c>
      <c r="B277" s="456" t="s">
        <v>282</v>
      </c>
      <c r="C277" s="459">
        <v>3592</v>
      </c>
      <c r="D277" s="459">
        <v>137222.15899110283</v>
      </c>
      <c r="E277" s="459">
        <v>29418.507585797845</v>
      </c>
      <c r="F277" s="473">
        <f>Taulukko8[[#This Row],[Siirtyvän henkilöstön ELY-keskus ja TE-toimistokohtaiset toimintamenot]]+Taulukko8[[#This Row],[Valtakunnalliset toimintamenot]]</f>
        <v>166640.66657690066</v>
      </c>
      <c r="G277" s="459">
        <v>0</v>
      </c>
      <c r="H277" s="459">
        <v>0</v>
      </c>
      <c r="I277" s="459">
        <v>32792.716668742214</v>
      </c>
      <c r="J277" s="459">
        <v>16072.781809318552</v>
      </c>
      <c r="K277" s="459">
        <v>39033.799449700258</v>
      </c>
      <c r="L277" s="459">
        <v>86408.389898352005</v>
      </c>
      <c r="M277" s="459">
        <v>23420.933665424043</v>
      </c>
      <c r="N277" s="459">
        <v>9441.139350699601</v>
      </c>
      <c r="O277" s="473">
        <f>SUM(Taulukko8[[#This Row],[Työvoimaviranomaisille siirtyvä kotoutumiskoulutus]:[Muut palvelut]])</f>
        <v>207169.76084223666</v>
      </c>
      <c r="P277" s="473">
        <f>Taulukko8[[#This Row],[Palvelut yhteensä]]+Taulukko8[[#This Row],[Toimintamenot yhteensä]]</f>
        <v>373810.42741913733</v>
      </c>
      <c r="Q277" s="481">
        <v>9600.9322109280001</v>
      </c>
      <c r="R277" s="481">
        <v>76807.457687424001</v>
      </c>
      <c r="S277" s="473">
        <f>Taulukko8[[#This Row],[Palvelut + toimintamenot]]-Taulukko8[[#This Row],[Poistuva velvoitetyöllistäminen]]-Taulukko8[[#This Row],[Poistuvaksi ehdotettu  palkkatuki]]</f>
        <v>287402.03752078535</v>
      </c>
      <c r="T277" s="479">
        <f>(Taulukko8[[#This Row],[Palvelut + toimintamenot, huomioitu vuonna 2025 poistuvat tehtävät]]/$S$6)*$T$2</f>
        <v>271104.90660883841</v>
      </c>
      <c r="U277" s="481">
        <f>Taulukko8[[#This Row],[Skaalattu siirtyvän rahoituksen tasoon ]]*0.5</f>
        <v>135552.45330441921</v>
      </c>
    </row>
    <row r="278" spans="1:21">
      <c r="A278" s="465">
        <v>893</v>
      </c>
      <c r="B278" s="456" t="s">
        <v>283</v>
      </c>
      <c r="C278" s="459">
        <v>7434</v>
      </c>
      <c r="D278" s="459">
        <v>174810.34039254356</v>
      </c>
      <c r="E278" s="459">
        <v>37476.88684338062</v>
      </c>
      <c r="F278" s="473">
        <f>Taulukko8[[#This Row],[Siirtyvän henkilöstön ELY-keskus ja TE-toimistokohtaiset toimintamenot]]+Taulukko8[[#This Row],[Valtakunnalliset toimintamenot]]</f>
        <v>212287.22723592416</v>
      </c>
      <c r="G278" s="459">
        <v>17136.593260708094</v>
      </c>
      <c r="H278" s="459">
        <v>10281.955956424856</v>
      </c>
      <c r="I278" s="459">
        <v>87447.244449979233</v>
      </c>
      <c r="J278" s="459">
        <v>9643.6690855911329</v>
      </c>
      <c r="K278" s="459">
        <v>87189.939941176461</v>
      </c>
      <c r="L278" s="459">
        <v>9385.6891604649118</v>
      </c>
      <c r="M278" s="459">
        <v>48886.696393548395</v>
      </c>
      <c r="N278" s="459">
        <v>12027.276029786441</v>
      </c>
      <c r="O278" s="473">
        <f>SUM(Taulukko8[[#This Row],[Työvoimaviranomaisille siirtyvä kotoutumiskoulutus]:[Muut palvelut]])</f>
        <v>264862.47101697145</v>
      </c>
      <c r="P278" s="473">
        <f>Taulukko8[[#This Row],[Palvelut yhteensä]]+Taulukko8[[#This Row],[Toimintamenot yhteensä]]</f>
        <v>477149.69825289561</v>
      </c>
      <c r="Q278" s="481">
        <v>0</v>
      </c>
      <c r="R278" s="481">
        <v>0</v>
      </c>
      <c r="S278" s="473">
        <f>Taulukko8[[#This Row],[Palvelut + toimintamenot]]-Taulukko8[[#This Row],[Poistuva velvoitetyöllistäminen]]-Taulukko8[[#This Row],[Poistuvaksi ehdotettu  palkkatuki]]</f>
        <v>477149.69825289561</v>
      </c>
      <c r="T278" s="479">
        <f>(Taulukko8[[#This Row],[Palvelut + toimintamenot, huomioitu vuonna 2025 poistuvat tehtävät]]/$S$6)*$T$2</f>
        <v>450092.92731242854</v>
      </c>
      <c r="U278" s="481">
        <f>Taulukko8[[#This Row],[Skaalattu siirtyvän rahoituksen tasoon ]]*0.5</f>
        <v>225046.46365621427</v>
      </c>
    </row>
    <row r="279" spans="1:21">
      <c r="A279" s="465">
        <v>895</v>
      </c>
      <c r="B279" s="456" t="s">
        <v>284</v>
      </c>
      <c r="C279" s="459">
        <v>15092</v>
      </c>
      <c r="D279" s="459">
        <v>611577.27040937939</v>
      </c>
      <c r="E279" s="459">
        <v>131113.59492606737</v>
      </c>
      <c r="F279" s="473">
        <f>Taulukko8[[#This Row],[Siirtyvän henkilöstön ELY-keskus ja TE-toimistokohtaiset toimintamenot]]+Taulukko8[[#This Row],[Valtakunnalliset toimintamenot]]</f>
        <v>742690.86533544678</v>
      </c>
      <c r="G279" s="459">
        <v>385573.34836593212</v>
      </c>
      <c r="H279" s="459">
        <v>231344.00901955928</v>
      </c>
      <c r="I279" s="459">
        <v>240479.92223744289</v>
      </c>
      <c r="J279" s="459">
        <v>122153.141750821</v>
      </c>
      <c r="K279" s="459">
        <v>305624.06941122853</v>
      </c>
      <c r="L279" s="459">
        <v>334956.12137231621</v>
      </c>
      <c r="M279" s="459">
        <v>63032.499127920652</v>
      </c>
      <c r="N279" s="459">
        <v>42077.651861094935</v>
      </c>
      <c r="O279" s="473">
        <f>SUM(Taulukko8[[#This Row],[Työvoimaviranomaisille siirtyvä kotoutumiskoulutus]:[Muut palvelut]])</f>
        <v>1339667.4147803835</v>
      </c>
      <c r="P279" s="473">
        <f>Taulukko8[[#This Row],[Palvelut yhteensä]]+Taulukko8[[#This Row],[Toimintamenot yhteensä]]</f>
        <v>2082358.2801158302</v>
      </c>
      <c r="Q279" s="481">
        <v>48847.767700129451</v>
      </c>
      <c r="R279" s="481">
        <v>181434.56574333794</v>
      </c>
      <c r="S279" s="473">
        <f>Taulukko8[[#This Row],[Palvelut + toimintamenot]]-Taulukko8[[#This Row],[Poistuva velvoitetyöllistäminen]]-Taulukko8[[#This Row],[Poistuvaksi ehdotettu  palkkatuki]]</f>
        <v>1852075.946672363</v>
      </c>
      <c r="T279" s="479">
        <f>(Taulukko8[[#This Row],[Palvelut + toimintamenot, huomioitu vuonna 2025 poistuvat tehtävät]]/$S$6)*$T$2</f>
        <v>1747053.9905924429</v>
      </c>
      <c r="U279" s="481">
        <f>Taulukko8[[#This Row],[Skaalattu siirtyvän rahoituksen tasoon ]]*0.5</f>
        <v>873526.99529622146</v>
      </c>
    </row>
    <row r="280" spans="1:21">
      <c r="A280" s="465">
        <v>905</v>
      </c>
      <c r="B280" s="456" t="s">
        <v>285</v>
      </c>
      <c r="C280" s="459">
        <v>67988</v>
      </c>
      <c r="D280" s="459">
        <v>2451305.9586425074</v>
      </c>
      <c r="E280" s="459">
        <v>525525.64009805257</v>
      </c>
      <c r="F280" s="473">
        <f>Taulukko8[[#This Row],[Siirtyvän henkilöstön ELY-keskus ja TE-toimistokohtaiset toimintamenot]]+Taulukko8[[#This Row],[Valtakunnalliset toimintamenot]]</f>
        <v>2976831.59874056</v>
      </c>
      <c r="G280" s="459">
        <v>1036763.8922728397</v>
      </c>
      <c r="H280" s="459">
        <v>622058.33536370378</v>
      </c>
      <c r="I280" s="459">
        <v>1202399.6111872145</v>
      </c>
      <c r="J280" s="459">
        <v>691129.6178006978</v>
      </c>
      <c r="K280" s="459">
        <v>1482228.9789999998</v>
      </c>
      <c r="L280" s="459">
        <v>872869.09192323685</v>
      </c>
      <c r="M280" s="459">
        <v>265433.64049677423</v>
      </c>
      <c r="N280" s="459">
        <v>168654.40186117997</v>
      </c>
      <c r="O280" s="473">
        <f>SUM(Taulukko8[[#This Row],[Työvoimaviranomaisille siirtyvä kotoutumiskoulutus]:[Muut palvelut]])</f>
        <v>5304773.6776328068</v>
      </c>
      <c r="P280" s="473">
        <f>Taulukko8[[#This Row],[Palvelut yhteensä]]+Taulukko8[[#This Row],[Toimintamenot yhteensä]]</f>
        <v>8281605.2763733668</v>
      </c>
      <c r="Q280" s="481">
        <v>65699.824123254395</v>
      </c>
      <c r="R280" s="481">
        <v>600684.10626975447</v>
      </c>
      <c r="S280" s="473">
        <f>Taulukko8[[#This Row],[Palvelut + toimintamenot]]-Taulukko8[[#This Row],[Poistuva velvoitetyöllistäminen]]-Taulukko8[[#This Row],[Poistuvaksi ehdotettu  palkkatuki]]</f>
        <v>7615221.3459803583</v>
      </c>
      <c r="T280" s="479">
        <f>(Taulukko8[[#This Row],[Palvelut + toimintamenot, huomioitu vuonna 2025 poistuvat tehtävät]]/$S$6)*$T$2</f>
        <v>7183400.2626315011</v>
      </c>
      <c r="U280" s="481">
        <f>Taulukko8[[#This Row],[Skaalattu siirtyvän rahoituksen tasoon ]]*0.5</f>
        <v>3591700.1313157505</v>
      </c>
    </row>
    <row r="281" spans="1:21">
      <c r="A281" s="465">
        <v>908</v>
      </c>
      <c r="B281" s="456" t="s">
        <v>286</v>
      </c>
      <c r="C281" s="459">
        <v>20703</v>
      </c>
      <c r="D281" s="459">
        <v>819586.04021863488</v>
      </c>
      <c r="E281" s="459">
        <v>175707.75972814442</v>
      </c>
      <c r="F281" s="473">
        <f>Taulukko8[[#This Row],[Siirtyvän henkilöstön ELY-keskus ja TE-toimistokohtaiset toimintamenot]]+Taulukko8[[#This Row],[Valtakunnalliset toimintamenot]]</f>
        <v>995293.79994677927</v>
      </c>
      <c r="G281" s="459">
        <v>102819.55956424857</v>
      </c>
      <c r="H281" s="459">
        <v>61691.735738549141</v>
      </c>
      <c r="I281" s="459">
        <v>163963.58334371107</v>
      </c>
      <c r="J281" s="459">
        <v>9643.6690855911329</v>
      </c>
      <c r="K281" s="459">
        <v>572068.41128254589</v>
      </c>
      <c r="L281" s="459">
        <v>153954.83708210764</v>
      </c>
      <c r="M281" s="459">
        <v>76479.253179634325</v>
      </c>
      <c r="N281" s="459">
        <v>56389.041481951346</v>
      </c>
      <c r="O281" s="473">
        <f>SUM(Taulukko8[[#This Row],[Työvoimaviranomaisille siirtyvä kotoutumiskoulutus]:[Muut palvelut]])</f>
        <v>1094190.5311940906</v>
      </c>
      <c r="P281" s="473">
        <f>Taulukko8[[#This Row],[Palvelut yhteensä]]+Taulukko8[[#This Row],[Toimintamenot yhteensä]]</f>
        <v>2089484.3311408698</v>
      </c>
      <c r="Q281" s="481">
        <v>60243.197119085598</v>
      </c>
      <c r="R281" s="481">
        <v>73630.574256660184</v>
      </c>
      <c r="S281" s="473">
        <f>Taulukko8[[#This Row],[Palvelut + toimintamenot]]-Taulukko8[[#This Row],[Poistuva velvoitetyöllistäminen]]-Taulukko8[[#This Row],[Poistuvaksi ehdotettu  palkkatuki]]</f>
        <v>1955610.559765124</v>
      </c>
      <c r="T281" s="479">
        <f>(Taulukko8[[#This Row],[Palvelut + toimintamenot, huomioitu vuonna 2025 poistuvat tehtävät]]/$S$6)*$T$2</f>
        <v>1844717.6740354151</v>
      </c>
      <c r="U281" s="481">
        <f>Taulukko8[[#This Row],[Skaalattu siirtyvän rahoituksen tasoon ]]*0.5</f>
        <v>922358.83701770753</v>
      </c>
    </row>
    <row r="282" spans="1:21">
      <c r="A282" s="465">
        <v>915</v>
      </c>
      <c r="B282" s="456" t="s">
        <v>287</v>
      </c>
      <c r="C282" s="459">
        <v>19759</v>
      </c>
      <c r="D282" s="459">
        <v>936195.70955127547</v>
      </c>
      <c r="E282" s="459">
        <v>200707.2384352393</v>
      </c>
      <c r="F282" s="473">
        <f>Taulukko8[[#This Row],[Siirtyvän henkilöstön ELY-keskus ja TE-toimistokohtaiset toimintamenot]]+Taulukko8[[#This Row],[Valtakunnalliset toimintamenot]]</f>
        <v>1136902.9479865148</v>
      </c>
      <c r="G282" s="459">
        <v>119956.15282495666</v>
      </c>
      <c r="H282" s="459">
        <v>71973.691694973997</v>
      </c>
      <c r="I282" s="459">
        <v>316996.26113117475</v>
      </c>
      <c r="J282" s="459">
        <v>122153.141750821</v>
      </c>
      <c r="K282" s="459">
        <v>649156.44144796382</v>
      </c>
      <c r="L282" s="459">
        <v>326232.68552981777</v>
      </c>
      <c r="M282" s="459">
        <v>72699.952679984184</v>
      </c>
      <c r="N282" s="459">
        <v>64412.003268173081</v>
      </c>
      <c r="O282" s="473">
        <f>SUM(Taulukko8[[#This Row],[Työvoimaviranomaisille siirtyvä kotoutumiskoulutus]:[Muut palvelut]])</f>
        <v>1623624.1775029087</v>
      </c>
      <c r="P282" s="473">
        <f>Taulukko8[[#This Row],[Palvelut yhteensä]]+Taulukko8[[#This Row],[Toimintamenot yhteensä]]</f>
        <v>2760527.1254894235</v>
      </c>
      <c r="Q282" s="481">
        <v>83454.873042511521</v>
      </c>
      <c r="R282" s="481">
        <v>220017.39256662127</v>
      </c>
      <c r="S282" s="473">
        <f>Taulukko8[[#This Row],[Palvelut + toimintamenot]]-Taulukko8[[#This Row],[Poistuva velvoitetyöllistäminen]]-Taulukko8[[#This Row],[Poistuvaksi ehdotettu  palkkatuki]]</f>
        <v>2457054.8598802909</v>
      </c>
      <c r="T282" s="479">
        <f>(Taulukko8[[#This Row],[Palvelut + toimintamenot, huomioitu vuonna 2025 poistuvat tehtävät]]/$S$6)*$T$2</f>
        <v>2317727.5779489353</v>
      </c>
      <c r="U282" s="481">
        <f>Taulukko8[[#This Row],[Skaalattu siirtyvän rahoituksen tasoon ]]*0.5</f>
        <v>1158863.7889744677</v>
      </c>
    </row>
    <row r="283" spans="1:21">
      <c r="A283" s="465">
        <v>918</v>
      </c>
      <c r="B283" s="456" t="s">
        <v>288</v>
      </c>
      <c r="C283" s="459">
        <v>2228</v>
      </c>
      <c r="D283" s="459">
        <v>65137.967247294779</v>
      </c>
      <c r="E283" s="459">
        <v>13964.667205915621</v>
      </c>
      <c r="F283" s="473">
        <f>Taulukko8[[#This Row],[Siirtyvän henkilöstön ELY-keskus ja TE-toimistokohtaiset toimintamenot]]+Taulukko8[[#This Row],[Valtakunnalliset toimintamenot]]</f>
        <v>79102.634453210398</v>
      </c>
      <c r="G283" s="459">
        <v>25704.889891062143</v>
      </c>
      <c r="H283" s="459">
        <v>15422.933934637285</v>
      </c>
      <c r="I283" s="459">
        <v>10930.905556247404</v>
      </c>
      <c r="J283" s="459">
        <v>12858.225447454843</v>
      </c>
      <c r="K283" s="459">
        <v>67916.459869161888</v>
      </c>
      <c r="L283" s="459">
        <v>6978.252528589921</v>
      </c>
      <c r="M283" s="459">
        <v>14646.959151426827</v>
      </c>
      <c r="N283" s="459">
        <v>4481.6131033391639</v>
      </c>
      <c r="O283" s="473">
        <f>SUM(Taulukko8[[#This Row],[Työvoimaviranomaisille siirtyvä kotoutumiskoulutus]:[Muut palvelut]])</f>
        <v>133235.34959085734</v>
      </c>
      <c r="P283" s="473">
        <f>Taulukko8[[#This Row],[Palvelut yhteensä]]+Taulukko8[[#This Row],[Toimintamenot yhteensä]]</f>
        <v>212337.98404406774</v>
      </c>
      <c r="Q283" s="481">
        <v>6978.252528589921</v>
      </c>
      <c r="R283" s="481">
        <v>0</v>
      </c>
      <c r="S283" s="473">
        <f>Taulukko8[[#This Row],[Palvelut + toimintamenot]]-Taulukko8[[#This Row],[Poistuva velvoitetyöllistäminen]]-Taulukko8[[#This Row],[Poistuvaksi ehdotettu  palkkatuki]]</f>
        <v>205359.73151547782</v>
      </c>
      <c r="T283" s="479">
        <f>(Taulukko8[[#This Row],[Palvelut + toimintamenot, huomioitu vuonna 2025 poistuvat tehtävät]]/$S$6)*$T$2</f>
        <v>193714.8091014954</v>
      </c>
      <c r="U283" s="481">
        <f>Taulukko8[[#This Row],[Skaalattu siirtyvän rahoituksen tasoon ]]*0.5</f>
        <v>96857.404550747699</v>
      </c>
    </row>
    <row r="284" spans="1:21">
      <c r="A284" s="465">
        <v>921</v>
      </c>
      <c r="B284" s="456" t="s">
        <v>289</v>
      </c>
      <c r="C284" s="459">
        <v>1894</v>
      </c>
      <c r="D284" s="459">
        <v>63697.533375695624</v>
      </c>
      <c r="E284" s="459">
        <v>13655.858372925117</v>
      </c>
      <c r="F284" s="473">
        <f>Taulukko8[[#This Row],[Siirtyvän henkilöstön ELY-keskus ja TE-toimistokohtaiset toimintamenot]]+Taulukko8[[#This Row],[Valtakunnalliset toimintamenot]]</f>
        <v>77353.391748620736</v>
      </c>
      <c r="G284" s="459">
        <v>8568.296630354047</v>
      </c>
      <c r="H284" s="459">
        <v>5140.9779782124278</v>
      </c>
      <c r="I284" s="459">
        <v>10930.905556247404</v>
      </c>
      <c r="J284" s="459">
        <v>6429.1127237274213</v>
      </c>
      <c r="K284" s="459">
        <v>70179.074751131222</v>
      </c>
      <c r="L284" s="459">
        <v>15173.61328045664</v>
      </c>
      <c r="M284" s="459">
        <v>11132.599113924052</v>
      </c>
      <c r="N284" s="459">
        <v>4382.5085781865091</v>
      </c>
      <c r="O284" s="473">
        <f>SUM(Taulukko8[[#This Row],[Työvoimaviranomaisille siirtyvä kotoutumiskoulutus]:[Muut palvelut]])</f>
        <v>123368.79198188568</v>
      </c>
      <c r="P284" s="473">
        <f>Taulukko8[[#This Row],[Palvelut yhteensä]]+Taulukko8[[#This Row],[Toimintamenot yhteensä]]</f>
        <v>200722.1837305064</v>
      </c>
      <c r="Q284" s="481">
        <v>0</v>
      </c>
      <c r="R284" s="481">
        <v>7586.8066402283202</v>
      </c>
      <c r="S284" s="473">
        <f>Taulukko8[[#This Row],[Palvelut + toimintamenot]]-Taulukko8[[#This Row],[Poistuva velvoitetyöllistäminen]]-Taulukko8[[#This Row],[Poistuvaksi ehdotettu  palkkatuki]]</f>
        <v>193135.37709027808</v>
      </c>
      <c r="T284" s="479">
        <f>(Taulukko8[[#This Row],[Palvelut + toimintamenot, huomioitu vuonna 2025 poistuvat tehtävät]]/$S$6)*$T$2</f>
        <v>182183.63662483043</v>
      </c>
      <c r="U284" s="481">
        <f>Taulukko8[[#This Row],[Skaalattu siirtyvän rahoituksen tasoon ]]*0.5</f>
        <v>91091.818312415213</v>
      </c>
    </row>
    <row r="285" spans="1:21">
      <c r="A285" s="465">
        <v>922</v>
      </c>
      <c r="B285" s="456" t="s">
        <v>290</v>
      </c>
      <c r="C285" s="459">
        <v>4501</v>
      </c>
      <c r="D285" s="459">
        <v>121576.78530722525</v>
      </c>
      <c r="E285" s="459">
        <v>26064.358753089004</v>
      </c>
      <c r="F285" s="473">
        <f>Taulukko8[[#This Row],[Siirtyvän henkilöstön ELY-keskus ja TE-toimistokohtaiset toimintamenot]]+Taulukko8[[#This Row],[Valtakunnalliset toimintamenot]]</f>
        <v>147641.14406031425</v>
      </c>
      <c r="G285" s="459">
        <v>0</v>
      </c>
      <c r="H285" s="459">
        <v>0</v>
      </c>
      <c r="I285" s="459">
        <v>10930.905556247404</v>
      </c>
      <c r="J285" s="459">
        <v>3214.5563618637107</v>
      </c>
      <c r="K285" s="459">
        <v>111235.52441605058</v>
      </c>
      <c r="L285" s="459">
        <v>33468.442843936442</v>
      </c>
      <c r="M285" s="459">
        <v>19581.47552982784</v>
      </c>
      <c r="N285" s="459">
        <v>8364.7085888659112</v>
      </c>
      <c r="O285" s="473">
        <f>SUM(Taulukko8[[#This Row],[Työvoimaviranomaisille siirtyvä kotoutumiskoulutus]:[Muut palvelut]])</f>
        <v>186795.61329679191</v>
      </c>
      <c r="P285" s="473">
        <f>Taulukko8[[#This Row],[Palvelut yhteensä]]+Taulukko8[[#This Row],[Toimintamenot yhteensä]]</f>
        <v>334436.75735710619</v>
      </c>
      <c r="Q285" s="481">
        <v>6693.6885687872891</v>
      </c>
      <c r="R285" s="481">
        <v>20081.065706361864</v>
      </c>
      <c r="S285" s="473">
        <f>Taulukko8[[#This Row],[Palvelut + toimintamenot]]-Taulukko8[[#This Row],[Poistuva velvoitetyöllistäminen]]-Taulukko8[[#This Row],[Poistuvaksi ehdotettu  palkkatuki]]</f>
        <v>307662.00308195705</v>
      </c>
      <c r="T285" s="479">
        <f>(Taulukko8[[#This Row],[Palvelut + toimintamenot, huomioitu vuonna 2025 poistuvat tehtävät]]/$S$6)*$T$2</f>
        <v>290216.03093746299</v>
      </c>
      <c r="U285" s="481">
        <f>Taulukko8[[#This Row],[Skaalattu siirtyvän rahoituksen tasoon ]]*0.5</f>
        <v>145108.01546873149</v>
      </c>
    </row>
    <row r="286" spans="1:21">
      <c r="A286" s="465">
        <v>924</v>
      </c>
      <c r="B286" s="456" t="s">
        <v>291</v>
      </c>
      <c r="C286" s="459">
        <v>2946</v>
      </c>
      <c r="D286" s="459">
        <v>81470.820733526503</v>
      </c>
      <c r="E286" s="459">
        <v>17466.202072551747</v>
      </c>
      <c r="F286" s="473">
        <f>Taulukko8[[#This Row],[Siirtyvän henkilöstön ELY-keskus ja TE-toimistokohtaiset toimintamenot]]+Taulukko8[[#This Row],[Valtakunnalliset toimintamenot]]</f>
        <v>98937.022806078254</v>
      </c>
      <c r="G286" s="459">
        <v>0</v>
      </c>
      <c r="H286" s="459">
        <v>0</v>
      </c>
      <c r="I286" s="459">
        <v>76516.338893731823</v>
      </c>
      <c r="J286" s="459">
        <v>3214.5563618637107</v>
      </c>
      <c r="K286" s="459">
        <v>63410.865411764702</v>
      </c>
      <c r="L286" s="459">
        <v>18771.378320929824</v>
      </c>
      <c r="M286" s="459">
        <v>9409.1861290322595</v>
      </c>
      <c r="N286" s="459">
        <v>5605.3437521775304</v>
      </c>
      <c r="O286" s="473">
        <f>SUM(Taulukko8[[#This Row],[Työvoimaviranomaisille siirtyvä kotoutumiskoulutus]:[Muut palvelut]])</f>
        <v>176927.66886949984</v>
      </c>
      <c r="P286" s="473">
        <f>Taulukko8[[#This Row],[Palvelut yhteensä]]+Taulukko8[[#This Row],[Toimintamenot yhteensä]]</f>
        <v>275864.69167557813</v>
      </c>
      <c r="Q286" s="481">
        <v>0</v>
      </c>
      <c r="R286" s="481">
        <v>0</v>
      </c>
      <c r="S286" s="473">
        <f>Taulukko8[[#This Row],[Palvelut + toimintamenot]]-Taulukko8[[#This Row],[Poistuva velvoitetyöllistäminen]]-Taulukko8[[#This Row],[Poistuvaksi ehdotettu  palkkatuki]]</f>
        <v>275864.69167557813</v>
      </c>
      <c r="T286" s="479">
        <f>(Taulukko8[[#This Row],[Palvelut + toimintamenot, huomioitu vuonna 2025 poistuvat tehtävät]]/$S$6)*$T$2</f>
        <v>260221.78589452352</v>
      </c>
      <c r="U286" s="481">
        <f>Taulukko8[[#This Row],[Skaalattu siirtyvän rahoituksen tasoon ]]*0.5</f>
        <v>130110.89294726176</v>
      </c>
    </row>
    <row r="287" spans="1:21">
      <c r="A287" s="465">
        <v>925</v>
      </c>
      <c r="B287" s="456" t="s">
        <v>292</v>
      </c>
      <c r="C287" s="459">
        <v>3427</v>
      </c>
      <c r="D287" s="459">
        <v>99241.131988316891</v>
      </c>
      <c r="E287" s="459">
        <v>21275.907737399473</v>
      </c>
      <c r="F287" s="473">
        <f>Taulukko8[[#This Row],[Siirtyvän henkilöstön ELY-keskus ja TE-toimistokohtaiset toimintamenot]]+Taulukko8[[#This Row],[Valtakunnalliset toimintamenot]]</f>
        <v>120517.03972571637</v>
      </c>
      <c r="G287" s="459">
        <v>25704.889891062143</v>
      </c>
      <c r="H287" s="459">
        <v>15422.933934637285</v>
      </c>
      <c r="I287" s="459">
        <v>32792.716668742214</v>
      </c>
      <c r="J287" s="459">
        <v>9643.6690855911329</v>
      </c>
      <c r="K287" s="459">
        <v>52634.306063348413</v>
      </c>
      <c r="L287" s="459">
        <v>37934.033201141603</v>
      </c>
      <c r="M287" s="459">
        <v>5566.2995569620261</v>
      </c>
      <c r="N287" s="459">
        <v>6827.9741647529472</v>
      </c>
      <c r="O287" s="473">
        <f>SUM(Taulukko8[[#This Row],[Työvoimaviranomaisille siirtyvä kotoutumiskoulutus]:[Muut palvelut]])</f>
        <v>160821.93267517563</v>
      </c>
      <c r="P287" s="473">
        <f>Taulukko8[[#This Row],[Palvelut yhteensä]]+Taulukko8[[#This Row],[Toimintamenot yhteensä]]</f>
        <v>281338.972400892</v>
      </c>
      <c r="Q287" s="481">
        <v>7586.8066402283212</v>
      </c>
      <c r="R287" s="481">
        <v>7586.8066402283212</v>
      </c>
      <c r="S287" s="473">
        <f>Taulukko8[[#This Row],[Palvelut + toimintamenot]]-Taulukko8[[#This Row],[Poistuva velvoitetyöllistäminen]]-Taulukko8[[#This Row],[Poistuvaksi ehdotettu  palkkatuki]]</f>
        <v>266165.35912043537</v>
      </c>
      <c r="T287" s="479">
        <f>(Taulukko8[[#This Row],[Palvelut + toimintamenot, huomioitu vuonna 2025 poistuvat tehtävät]]/$S$6)*$T$2</f>
        <v>251072.45393705656</v>
      </c>
      <c r="U287" s="481">
        <f>Taulukko8[[#This Row],[Skaalattu siirtyvän rahoituksen tasoon ]]*0.5</f>
        <v>125536.22696852828</v>
      </c>
    </row>
    <row r="288" spans="1:21">
      <c r="A288" s="465">
        <v>927</v>
      </c>
      <c r="B288" s="456" t="s">
        <v>293</v>
      </c>
      <c r="C288" s="459">
        <v>28913</v>
      </c>
      <c r="D288" s="459">
        <v>887786.41749459819</v>
      </c>
      <c r="E288" s="459">
        <v>190328.96472155431</v>
      </c>
      <c r="F288" s="473">
        <f>Taulukko8[[#This Row],[Siirtyvän henkilöstön ELY-keskus ja TE-toimistokohtaiset toimintamenot]]+Taulukko8[[#This Row],[Valtakunnalliset toimintamenot]]</f>
        <v>1078115.3822161525</v>
      </c>
      <c r="G288" s="459">
        <v>154229.33934637284</v>
      </c>
      <c r="H288" s="459">
        <v>92537.603607823708</v>
      </c>
      <c r="I288" s="459">
        <v>76516.338893731823</v>
      </c>
      <c r="J288" s="459">
        <v>80363.909046592773</v>
      </c>
      <c r="K288" s="459">
        <v>627461.34443648707</v>
      </c>
      <c r="L288" s="459">
        <v>393655.72020223161</v>
      </c>
      <c r="M288" s="459">
        <v>202171.37143811939</v>
      </c>
      <c r="N288" s="459">
        <v>61081.354081947698</v>
      </c>
      <c r="O288" s="473">
        <f>SUM(Taulukko8[[#This Row],[Työvoimaviranomaisille siirtyvä kotoutumiskoulutus]:[Muut palvelut]])</f>
        <v>1533787.641706934</v>
      </c>
      <c r="P288" s="473">
        <f>Taulukko8[[#This Row],[Palvelut yhteensä]]+Taulukko8[[#This Row],[Toimintamenot yhteensä]]</f>
        <v>2611903.0239230865</v>
      </c>
      <c r="Q288" s="481">
        <v>78731.144040446321</v>
      </c>
      <c r="R288" s="481">
        <v>179956.90066387731</v>
      </c>
      <c r="S288" s="473">
        <f>Taulukko8[[#This Row],[Palvelut + toimintamenot]]-Taulukko8[[#This Row],[Poistuva velvoitetyöllistäminen]]-Taulukko8[[#This Row],[Poistuvaksi ehdotettu  palkkatuki]]</f>
        <v>2353214.9792187628</v>
      </c>
      <c r="T288" s="479">
        <f>(Taulukko8[[#This Row],[Palvelut + toimintamenot, huomioitu vuonna 2025 poistuvat tehtävät]]/$S$6)*$T$2</f>
        <v>2219775.9371329565</v>
      </c>
      <c r="U288" s="481">
        <f>Taulukko8[[#This Row],[Skaalattu siirtyvän rahoituksen tasoon ]]*0.5</f>
        <v>1109887.9685664782</v>
      </c>
    </row>
    <row r="289" spans="1:21">
      <c r="A289" s="465">
        <v>931</v>
      </c>
      <c r="B289" s="456" t="s">
        <v>294</v>
      </c>
      <c r="C289" s="459">
        <v>5951</v>
      </c>
      <c r="D289" s="459">
        <v>190815.82254432092</v>
      </c>
      <c r="E289" s="459">
        <v>40908.23788433709</v>
      </c>
      <c r="F289" s="473">
        <f>Taulukko8[[#This Row],[Siirtyvän henkilöstön ELY-keskus ja TE-toimistokohtaiset toimintamenot]]+Taulukko8[[#This Row],[Valtakunnalliset toimintamenot]]</f>
        <v>231724.06042865801</v>
      </c>
      <c r="G289" s="459">
        <v>17136.593260708094</v>
      </c>
      <c r="H289" s="459">
        <v>10281.955956424856</v>
      </c>
      <c r="I289" s="459">
        <v>10930.905556247404</v>
      </c>
      <c r="J289" s="459">
        <v>93222.134494047612</v>
      </c>
      <c r="K289" s="459">
        <v>140521.67801892094</v>
      </c>
      <c r="L289" s="459">
        <v>384037.28843712003</v>
      </c>
      <c r="M289" s="459">
        <v>42165.237417054981</v>
      </c>
      <c r="N289" s="459">
        <v>13128.482922908295</v>
      </c>
      <c r="O289" s="473">
        <f>SUM(Taulukko8[[#This Row],[Työvoimaviranomaisille siirtyvä kotoutumiskoulutus]:[Muut palvelut]])</f>
        <v>694287.68280272407</v>
      </c>
      <c r="P289" s="473">
        <f>Taulukko8[[#This Row],[Palvelut yhteensä]]+Taulukko8[[#This Row],[Toimintamenot yhteensä]]</f>
        <v>926011.7432313821</v>
      </c>
      <c r="Q289" s="481">
        <v>19201.864421856004</v>
      </c>
      <c r="R289" s="481">
        <v>268826.10190598399</v>
      </c>
      <c r="S289" s="473">
        <f>Taulukko8[[#This Row],[Palvelut + toimintamenot]]-Taulukko8[[#This Row],[Poistuva velvoitetyöllistäminen]]-Taulukko8[[#This Row],[Poistuvaksi ehdotettu  palkkatuki]]</f>
        <v>637983.77690354211</v>
      </c>
      <c r="T289" s="479">
        <f>(Taulukko8[[#This Row],[Palvelut + toimintamenot, huomioitu vuonna 2025 poistuvat tehtävät]]/$S$6)*$T$2</f>
        <v>601806.9104429367</v>
      </c>
      <c r="U289" s="481">
        <f>Taulukko8[[#This Row],[Skaalattu siirtyvän rahoituksen tasoon ]]*0.5</f>
        <v>300903.45522146835</v>
      </c>
    </row>
    <row r="290" spans="1:21">
      <c r="A290" s="465">
        <v>934</v>
      </c>
      <c r="B290" s="456" t="s">
        <v>295</v>
      </c>
      <c r="C290" s="459">
        <v>2671</v>
      </c>
      <c r="D290" s="459">
        <v>63765.983745626996</v>
      </c>
      <c r="E290" s="459">
        <v>13670.533172839954</v>
      </c>
      <c r="F290" s="473">
        <f>Taulukko8[[#This Row],[Siirtyvän henkilöstön ELY-keskus ja TE-toimistokohtaiset toimintamenot]]+Taulukko8[[#This Row],[Valtakunnalliset toimintamenot]]</f>
        <v>77436.51691846695</v>
      </c>
      <c r="G290" s="459">
        <v>17136.593260708094</v>
      </c>
      <c r="H290" s="459">
        <v>10281.955956424856</v>
      </c>
      <c r="I290" s="459">
        <v>10930.905556247404</v>
      </c>
      <c r="J290" s="459">
        <v>35360.119980500815</v>
      </c>
      <c r="K290" s="459">
        <v>63537.784880952378</v>
      </c>
      <c r="L290" s="459">
        <v>47734.440701901825</v>
      </c>
      <c r="M290" s="459">
        <v>18408.415339805826</v>
      </c>
      <c r="N290" s="459">
        <v>4387.2180907454167</v>
      </c>
      <c r="O290" s="473">
        <f>SUM(Taulukko8[[#This Row],[Työvoimaviranomaisille siirtyvä kotoutumiskoulutus]:[Muut palvelut]])</f>
        <v>190640.84050657853</v>
      </c>
      <c r="P290" s="473">
        <f>Taulukko8[[#This Row],[Palvelut yhteensä]]+Taulukko8[[#This Row],[Toimintamenot yhteensä]]</f>
        <v>268077.35742504545</v>
      </c>
      <c r="Q290" s="481">
        <v>0</v>
      </c>
      <c r="R290" s="481">
        <v>28640.664421141093</v>
      </c>
      <c r="S290" s="473">
        <f>Taulukko8[[#This Row],[Palvelut + toimintamenot]]-Taulukko8[[#This Row],[Poistuva velvoitetyöllistäminen]]-Taulukko8[[#This Row],[Poistuvaksi ehdotettu  palkkatuki]]</f>
        <v>239436.69300390437</v>
      </c>
      <c r="T290" s="479">
        <f>(Taulukko8[[#This Row],[Palvelut + toimintamenot, huomioitu vuonna 2025 poistuvat tehtävät]]/$S$6)*$T$2</f>
        <v>225859.43668147465</v>
      </c>
      <c r="U290" s="481">
        <f>Taulukko8[[#This Row],[Skaalattu siirtyvän rahoituksen tasoon ]]*0.5</f>
        <v>112929.71834073732</v>
      </c>
    </row>
    <row r="291" spans="1:21">
      <c r="A291" s="465">
        <v>935</v>
      </c>
      <c r="B291" s="456" t="s">
        <v>296</v>
      </c>
      <c r="C291" s="459">
        <v>2985</v>
      </c>
      <c r="D291" s="459">
        <v>133856.18645230398</v>
      </c>
      <c r="E291" s="459">
        <v>28696.890250855158</v>
      </c>
      <c r="F291" s="473">
        <f>Taulukko8[[#This Row],[Siirtyvän henkilöstön ELY-keskus ja TE-toimistokohtaiset toimintamenot]]+Taulukko8[[#This Row],[Valtakunnalliset toimintamenot]]</f>
        <v>162553.07670315914</v>
      </c>
      <c r="G291" s="459">
        <v>85682.966303540466</v>
      </c>
      <c r="H291" s="459">
        <v>51409.779782124278</v>
      </c>
      <c r="I291" s="459">
        <v>0</v>
      </c>
      <c r="J291" s="459">
        <v>6429.1127237274213</v>
      </c>
      <c r="K291" s="459">
        <v>151204.8751850409</v>
      </c>
      <c r="L291" s="459">
        <v>114686.21646982142</v>
      </c>
      <c r="M291" s="459">
        <v>6986.0727499999994</v>
      </c>
      <c r="N291" s="459">
        <v>9209.554189650733</v>
      </c>
      <c r="O291" s="473">
        <f>SUM(Taulukko8[[#This Row],[Työvoimaviranomaisille siirtyvä kotoutumiskoulutus]:[Muut palvelut]])</f>
        <v>339925.61110036477</v>
      </c>
      <c r="P291" s="473">
        <f>Taulukko8[[#This Row],[Palvelut yhteensä]]+Taulukko8[[#This Row],[Toimintamenot yhteensä]]</f>
        <v>502478.68780352391</v>
      </c>
      <c r="Q291" s="481">
        <v>20852.039358149348</v>
      </c>
      <c r="R291" s="481">
        <v>83408.157432597392</v>
      </c>
      <c r="S291" s="473">
        <f>Taulukko8[[#This Row],[Palvelut + toimintamenot]]-Taulukko8[[#This Row],[Poistuva velvoitetyöllistäminen]]-Taulukko8[[#This Row],[Poistuvaksi ehdotettu  palkkatuki]]</f>
        <v>398218.4910127772</v>
      </c>
      <c r="T291" s="479">
        <f>(Taulukko8[[#This Row],[Palvelut + toimintamenot, huomioitu vuonna 2025 poistuvat tehtävät]]/$S$6)*$T$2</f>
        <v>375637.51373239228</v>
      </c>
      <c r="U291" s="481">
        <f>Taulukko8[[#This Row],[Skaalattu siirtyvän rahoituksen tasoon ]]*0.5</f>
        <v>187818.75686619614</v>
      </c>
    </row>
    <row r="292" spans="1:21">
      <c r="A292" s="465">
        <v>936</v>
      </c>
      <c r="B292" s="456" t="s">
        <v>297</v>
      </c>
      <c r="C292" s="459">
        <v>6395</v>
      </c>
      <c r="D292" s="459">
        <v>182697.01344985297</v>
      </c>
      <c r="E292" s="459">
        <v>39167.679007481522</v>
      </c>
      <c r="F292" s="473">
        <f>Taulukko8[[#This Row],[Siirtyvän henkilöstön ELY-keskus ja TE-toimistokohtaiset toimintamenot]]+Taulukko8[[#This Row],[Valtakunnalliset toimintamenot]]</f>
        <v>221864.69245733449</v>
      </c>
      <c r="G292" s="459">
        <v>34273.186521416188</v>
      </c>
      <c r="H292" s="459">
        <v>20563.911912849711</v>
      </c>
      <c r="I292" s="459">
        <v>0</v>
      </c>
      <c r="J292" s="459">
        <v>6429.1127237274213</v>
      </c>
      <c r="K292" s="459">
        <v>198634.86502866176</v>
      </c>
      <c r="L292" s="459">
        <v>93711.63996302204</v>
      </c>
      <c r="M292" s="459">
        <v>45399.756716935808</v>
      </c>
      <c r="N292" s="459">
        <v>12569.893781138786</v>
      </c>
      <c r="O292" s="473">
        <f>SUM(Taulukko8[[#This Row],[Työvoimaviranomaisille siirtyvä kotoutumiskoulutus]:[Muut palvelut]])</f>
        <v>377309.18012633553</v>
      </c>
      <c r="P292" s="473">
        <f>Taulukko8[[#This Row],[Palvelut yhteensä]]+Taulukko8[[#This Row],[Toimintamenot yhteensä]]</f>
        <v>599173.87258367008</v>
      </c>
      <c r="Q292" s="481">
        <v>6693.6885687872882</v>
      </c>
      <c r="R292" s="481">
        <v>53549.508550298306</v>
      </c>
      <c r="S292" s="473">
        <f>Taulukko8[[#This Row],[Palvelut + toimintamenot]]-Taulukko8[[#This Row],[Poistuva velvoitetyöllistäminen]]-Taulukko8[[#This Row],[Poistuvaksi ehdotettu  palkkatuki]]</f>
        <v>538930.67546458449</v>
      </c>
      <c r="T292" s="479">
        <f>(Taulukko8[[#This Row],[Palvelut + toimintamenot, huomioitu vuonna 2025 poistuvat tehtävät]]/$S$6)*$T$2</f>
        <v>508370.61456078838</v>
      </c>
      <c r="U292" s="481">
        <f>Taulukko8[[#This Row],[Skaalattu siirtyvän rahoituksen tasoon ]]*0.5</f>
        <v>254185.30728039419</v>
      </c>
    </row>
    <row r="293" spans="1:21">
      <c r="A293" s="465">
        <v>946</v>
      </c>
      <c r="B293" s="456" t="s">
        <v>298</v>
      </c>
      <c r="C293" s="459">
        <v>6287</v>
      </c>
      <c r="D293" s="459">
        <v>131314.59445572202</v>
      </c>
      <c r="E293" s="459">
        <v>28152.008549669434</v>
      </c>
      <c r="F293" s="473">
        <f>Taulukko8[[#This Row],[Siirtyvän henkilöstön ELY-keskus ja TE-toimistokohtaiset toimintamenot]]+Taulukko8[[#This Row],[Valtakunnalliset toimintamenot]]</f>
        <v>159466.60300539146</v>
      </c>
      <c r="G293" s="459">
        <v>25704.889891062143</v>
      </c>
      <c r="H293" s="459">
        <v>15422.933934637285</v>
      </c>
      <c r="I293" s="459">
        <v>54654.527781237019</v>
      </c>
      <c r="J293" s="459">
        <v>25716.450894909685</v>
      </c>
      <c r="K293" s="459">
        <v>31705.432705882351</v>
      </c>
      <c r="L293" s="459">
        <v>37542.756641859647</v>
      </c>
      <c r="M293" s="459">
        <v>27886.537864516133</v>
      </c>
      <c r="N293" s="459">
        <v>9034.6879407243541</v>
      </c>
      <c r="O293" s="473">
        <f>SUM(Taulukko8[[#This Row],[Työvoimaviranomaisille siirtyvä kotoutumiskoulutus]:[Muut palvelut]])</f>
        <v>201963.32776376652</v>
      </c>
      <c r="P293" s="473">
        <f>Taulukko8[[#This Row],[Palvelut yhteensä]]+Taulukko8[[#This Row],[Toimintamenot yhteensä]]</f>
        <v>361429.93076915795</v>
      </c>
      <c r="Q293" s="481">
        <v>9385.6891604649118</v>
      </c>
      <c r="R293" s="481">
        <v>18771.378320929824</v>
      </c>
      <c r="S293" s="473">
        <f>Taulukko8[[#This Row],[Palvelut + toimintamenot]]-Taulukko8[[#This Row],[Poistuva velvoitetyöllistäminen]]-Taulukko8[[#This Row],[Poistuvaksi ehdotettu  palkkatuki]]</f>
        <v>333272.8632877632</v>
      </c>
      <c r="T293" s="479">
        <f>(Taulukko8[[#This Row],[Palvelut + toimintamenot, huomioitu vuonna 2025 poistuvat tehtävät]]/$S$6)*$T$2</f>
        <v>314374.62746016489</v>
      </c>
      <c r="U293" s="481">
        <f>Taulukko8[[#This Row],[Skaalattu siirtyvän rahoituksen tasoon ]]*0.5</f>
        <v>157187.31373008245</v>
      </c>
    </row>
    <row r="294" spans="1:21">
      <c r="A294" s="465">
        <v>976</v>
      </c>
      <c r="B294" s="456" t="s">
        <v>299</v>
      </c>
      <c r="C294" s="459">
        <v>3788</v>
      </c>
      <c r="D294" s="459">
        <v>147081.98836425986</v>
      </c>
      <c r="E294" s="459">
        <v>31532.316808313422</v>
      </c>
      <c r="F294" s="473">
        <f>Taulukko8[[#This Row],[Siirtyvän henkilöstön ELY-keskus ja TE-toimistokohtaiset toimintamenot]]+Taulukko8[[#This Row],[Valtakunnalliset toimintamenot]]</f>
        <v>178614.30517257328</v>
      </c>
      <c r="G294" s="459">
        <v>77114.669673186421</v>
      </c>
      <c r="H294" s="459">
        <v>46268.801803911854</v>
      </c>
      <c r="I294" s="459">
        <v>43723.622224989616</v>
      </c>
      <c r="J294" s="459">
        <v>41789.232704228241</v>
      </c>
      <c r="K294" s="459">
        <v>170074.10601432883</v>
      </c>
      <c r="L294" s="459">
        <v>164109.50238289658</v>
      </c>
      <c r="M294" s="459">
        <v>47082.724814814821</v>
      </c>
      <c r="N294" s="459">
        <v>10119.513920597836</v>
      </c>
      <c r="O294" s="473">
        <f>SUM(Taulukko8[[#This Row],[Työvoimaviranomaisille siirtyvä kotoutumiskoulutus]:[Muut palvelut]])</f>
        <v>523167.50386576779</v>
      </c>
      <c r="P294" s="473">
        <f>Taulukko8[[#This Row],[Palvelut yhteensä]]+Taulukko8[[#This Row],[Toimintamenot yhteensä]]</f>
        <v>701781.80903834105</v>
      </c>
      <c r="Q294" s="481">
        <v>28960.500420511162</v>
      </c>
      <c r="R294" s="481">
        <v>96535.001401703877</v>
      </c>
      <c r="S294" s="473">
        <f>Taulukko8[[#This Row],[Palvelut + toimintamenot]]-Taulukko8[[#This Row],[Poistuva velvoitetyöllistäminen]]-Taulukko8[[#This Row],[Poistuvaksi ehdotettu  palkkatuki]]</f>
        <v>576286.30721612601</v>
      </c>
      <c r="T294" s="479">
        <f>(Taulukko8[[#This Row],[Palvelut + toimintamenot, huomioitu vuonna 2025 poistuvat tehtävät]]/$S$6)*$T$2</f>
        <v>543607.99542515818</v>
      </c>
      <c r="U294" s="481">
        <f>Taulukko8[[#This Row],[Skaalattu siirtyvän rahoituksen tasoon ]]*0.5</f>
        <v>271803.99771257909</v>
      </c>
    </row>
    <row r="295" spans="1:21">
      <c r="A295" s="465">
        <v>977</v>
      </c>
      <c r="B295" s="456" t="s">
        <v>300</v>
      </c>
      <c r="C295" s="459">
        <v>15293</v>
      </c>
      <c r="D295" s="459">
        <v>490167.1468724219</v>
      </c>
      <c r="E295" s="459">
        <v>105084.96612059709</v>
      </c>
      <c r="F295" s="473">
        <f>Taulukko8[[#This Row],[Siirtyvän henkilöstön ELY-keskus ja TE-toimistokohtaiset toimintamenot]]+Taulukko8[[#This Row],[Valtakunnalliset toimintamenot]]</f>
        <v>595252.11299301893</v>
      </c>
      <c r="G295" s="459">
        <v>17136.593260708094</v>
      </c>
      <c r="H295" s="459">
        <v>10281.955956424856</v>
      </c>
      <c r="I295" s="459">
        <v>109309.05556247404</v>
      </c>
      <c r="J295" s="459">
        <v>19287.338171182266</v>
      </c>
      <c r="K295" s="459">
        <v>205188.42248649569</v>
      </c>
      <c r="L295" s="459">
        <v>78975.287001829027</v>
      </c>
      <c r="M295" s="459">
        <v>102971.76675036075</v>
      </c>
      <c r="N295" s="459">
        <v>33724.409911502888</v>
      </c>
      <c r="O295" s="473">
        <f>SUM(Taulukko8[[#This Row],[Työvoimaviranomaisille siirtyvä kotoutumiskoulutus]:[Muut palvelut]])</f>
        <v>559738.23584026948</v>
      </c>
      <c r="P295" s="473">
        <f>Taulukko8[[#This Row],[Palvelut yhteensä]]+Taulukko8[[#This Row],[Toimintamenot yhteensä]]</f>
        <v>1154990.3488332885</v>
      </c>
      <c r="Q295" s="481">
        <v>15795.057400365806</v>
      </c>
      <c r="R295" s="481">
        <v>63180.229601463223</v>
      </c>
      <c r="S295" s="473">
        <f>Taulukko8[[#This Row],[Palvelut + toimintamenot]]-Taulukko8[[#This Row],[Poistuva velvoitetyöllistäminen]]-Taulukko8[[#This Row],[Poistuvaksi ehdotettu  palkkatuki]]</f>
        <v>1076015.0618314594</v>
      </c>
      <c r="T295" s="479">
        <f>(Taulukko8[[#This Row],[Palvelut + toimintamenot, huomioitu vuonna 2025 poistuvat tehtävät]]/$S$6)*$T$2</f>
        <v>1014999.6338367094</v>
      </c>
      <c r="U295" s="481">
        <f>Taulukko8[[#This Row],[Skaalattu siirtyvän rahoituksen tasoon ]]*0.5</f>
        <v>507499.81691835471</v>
      </c>
    </row>
    <row r="296" spans="1:21">
      <c r="A296" s="465">
        <v>980</v>
      </c>
      <c r="B296" s="456" t="s">
        <v>301</v>
      </c>
      <c r="C296" s="459">
        <v>33607</v>
      </c>
      <c r="D296" s="459">
        <v>912624.97347056214</v>
      </c>
      <c r="E296" s="459">
        <v>195654.00298630379</v>
      </c>
      <c r="F296" s="473">
        <f>Taulukko8[[#This Row],[Siirtyvän henkilöstön ELY-keskus ja TE-toimistokohtaiset toimintamenot]]+Taulukko8[[#This Row],[Valtakunnalliset toimintamenot]]</f>
        <v>1108278.9764568659</v>
      </c>
      <c r="G296" s="459">
        <v>42841.483151770233</v>
      </c>
      <c r="H296" s="459">
        <v>25704.889891062139</v>
      </c>
      <c r="I296" s="459">
        <v>295134.4500186799</v>
      </c>
      <c r="J296" s="459">
        <v>32145.563618637105</v>
      </c>
      <c r="K296" s="459">
        <v>1056737.4819524805</v>
      </c>
      <c r="L296" s="459">
        <v>528801.39693419577</v>
      </c>
      <c r="M296" s="459">
        <v>268983.9739657013</v>
      </c>
      <c r="N296" s="459">
        <v>62790.292856584179</v>
      </c>
      <c r="O296" s="473">
        <f>SUM(Taulukko8[[#This Row],[Työvoimaviranomaisille siirtyvä kotoutumiskoulutus]:[Muut palvelut]])</f>
        <v>2270298.0492373412</v>
      </c>
      <c r="P296" s="473">
        <f>Taulukko8[[#This Row],[Palvelut yhteensä]]+Taulukko8[[#This Row],[Toimintamenot yhteensä]]</f>
        <v>3378577.0256942073</v>
      </c>
      <c r="Q296" s="481">
        <v>107099.01710059661</v>
      </c>
      <c r="R296" s="481">
        <v>294522.29702664068</v>
      </c>
      <c r="S296" s="473">
        <f>Taulukko8[[#This Row],[Palvelut + toimintamenot]]-Taulukko8[[#This Row],[Poistuva velvoitetyöllistäminen]]-Taulukko8[[#This Row],[Poistuvaksi ehdotettu  palkkatuki]]</f>
        <v>2976955.7115669698</v>
      </c>
      <c r="T296" s="479">
        <f>(Taulukko8[[#This Row],[Palvelut + toimintamenot, huomioitu vuonna 2025 poistuvat tehtävät]]/$S$6)*$T$2</f>
        <v>2808147.4547815034</v>
      </c>
      <c r="U296" s="481">
        <f>Taulukko8[[#This Row],[Skaalattu siirtyvän rahoituksen tasoon ]]*0.5</f>
        <v>1404073.7273907517</v>
      </c>
    </row>
    <row r="297" spans="1:21">
      <c r="A297" s="465">
        <v>981</v>
      </c>
      <c r="B297" s="456" t="s">
        <v>302</v>
      </c>
      <c r="C297" s="459">
        <v>2237</v>
      </c>
      <c r="D297" s="459">
        <v>76557.274613670714</v>
      </c>
      <c r="E297" s="459">
        <v>16412.806652577943</v>
      </c>
      <c r="F297" s="473">
        <f>Taulukko8[[#This Row],[Siirtyvän henkilöstön ELY-keskus ja TE-toimistokohtaiset toimintamenot]]+Taulukko8[[#This Row],[Valtakunnalliset toimintamenot]]</f>
        <v>92970.081266248657</v>
      </c>
      <c r="G297" s="459">
        <v>0</v>
      </c>
      <c r="H297" s="459">
        <v>0</v>
      </c>
      <c r="I297" s="459">
        <v>10930.905556247404</v>
      </c>
      <c r="J297" s="459">
        <v>19287.338171182266</v>
      </c>
      <c r="K297" s="459">
        <v>41463.49587496923</v>
      </c>
      <c r="L297" s="459">
        <v>29171.890066896722</v>
      </c>
      <c r="M297" s="459">
        <v>21232.245600000002</v>
      </c>
      <c r="N297" s="459">
        <v>5267.282655014239</v>
      </c>
      <c r="O297" s="473">
        <f>SUM(Taulukko8[[#This Row],[Työvoimaviranomaisille siirtyvä kotoutumiskoulutus]:[Muut palvelut]])</f>
        <v>127353.15792430985</v>
      </c>
      <c r="P297" s="473">
        <f>Taulukko8[[#This Row],[Palvelut yhteensä]]+Taulukko8[[#This Row],[Toimintamenot yhteensä]]</f>
        <v>220323.2391905585</v>
      </c>
      <c r="Q297" s="481">
        <v>0</v>
      </c>
      <c r="R297" s="481">
        <v>29171.890066896722</v>
      </c>
      <c r="S297" s="473">
        <f>Taulukko8[[#This Row],[Palvelut + toimintamenot]]-Taulukko8[[#This Row],[Poistuva velvoitetyöllistäminen]]-Taulukko8[[#This Row],[Poistuvaksi ehdotettu  palkkatuki]]</f>
        <v>191151.34912366178</v>
      </c>
      <c r="T297" s="479">
        <f>(Taulukko8[[#This Row],[Palvelut + toimintamenot, huomioitu vuonna 2025 poistuvat tehtävät]]/$S$6)*$T$2</f>
        <v>180312.11295283859</v>
      </c>
      <c r="U297" s="481">
        <f>Taulukko8[[#This Row],[Skaalattu siirtyvän rahoituksen tasoon ]]*0.5</f>
        <v>90156.056476419297</v>
      </c>
    </row>
    <row r="298" spans="1:21">
      <c r="A298" s="474">
        <v>989</v>
      </c>
      <c r="B298" s="474" t="s">
        <v>303</v>
      </c>
      <c r="C298" s="459">
        <v>5406</v>
      </c>
      <c r="D298" s="459">
        <v>183164.26162721054</v>
      </c>
      <c r="E298" s="459">
        <v>39267.850467769764</v>
      </c>
      <c r="F298" s="473">
        <f>Taulukko8[[#This Row],[Siirtyvän henkilöstön ELY-keskus ja TE-toimistokohtaiset toimintamenot]]+Taulukko8[[#This Row],[Valtakunnalliset toimintamenot]]</f>
        <v>222432.11209498032</v>
      </c>
      <c r="G298" s="459">
        <v>42841.483151770233</v>
      </c>
      <c r="H298" s="459">
        <v>25704.889891062139</v>
      </c>
      <c r="I298" s="459">
        <v>76516.338893731823</v>
      </c>
      <c r="J298" s="459">
        <v>35360.119980500815</v>
      </c>
      <c r="K298" s="459">
        <v>142960.01598214285</v>
      </c>
      <c r="L298" s="459">
        <v>66828.216982662547</v>
      </c>
      <c r="M298" s="459">
        <v>24544.553786407767</v>
      </c>
      <c r="N298" s="459">
        <v>12602.041323388718</v>
      </c>
      <c r="O298" s="473">
        <f>SUM(Taulukko8[[#This Row],[Työvoimaviranomaisille siirtyvä kotoutumiskoulutus]:[Muut palvelut]])</f>
        <v>384516.17683989665</v>
      </c>
      <c r="P298" s="473">
        <f>Taulukko8[[#This Row],[Palvelut yhteensä]]+Taulukko8[[#This Row],[Toimintamenot yhteensä]]</f>
        <v>606948.28893487691</v>
      </c>
      <c r="Q298" s="481">
        <v>9546.8881403803625</v>
      </c>
      <c r="R298" s="481">
        <v>47734.440701901818</v>
      </c>
      <c r="S298" s="473">
        <f>Taulukko8[[#This Row],[Palvelut + toimintamenot]]-Taulukko8[[#This Row],[Poistuva velvoitetyöllistäminen]]-Taulukko8[[#This Row],[Poistuvaksi ehdotettu  palkkatuki]]</f>
        <v>549666.96009259473</v>
      </c>
      <c r="T298" s="479">
        <f>(Taulukko8[[#This Row],[Palvelut + toimintamenot, huomioitu vuonna 2025 poistuvat tehtävät]]/$S$6)*$T$2</f>
        <v>518498.09822969628</v>
      </c>
      <c r="U298" s="481">
        <f>Taulukko8[[#This Row],[Skaalattu siirtyvän rahoituksen tasoon ]]*0.5</f>
        <v>259249.04911484814</v>
      </c>
    </row>
    <row r="299" spans="1:21">
      <c r="A299" s="474">
        <v>992</v>
      </c>
      <c r="B299" s="474" t="s">
        <v>304</v>
      </c>
      <c r="C299" s="459">
        <v>18120</v>
      </c>
      <c r="D299" s="459">
        <v>907506.0762409122</v>
      </c>
      <c r="E299" s="459">
        <v>194556.58316658545</v>
      </c>
      <c r="F299" s="473">
        <f>Taulukko8[[#This Row],[Siirtyvän henkilöstön ELY-keskus ja TE-toimistokohtaiset toimintamenot]]+Taulukko8[[#This Row],[Valtakunnalliset toimintamenot]]</f>
        <v>1102062.6594074976</v>
      </c>
      <c r="G299" s="459">
        <v>145661.0427160188</v>
      </c>
      <c r="H299" s="459">
        <v>87396.62562961127</v>
      </c>
      <c r="I299" s="459">
        <v>98378.150006226642</v>
      </c>
      <c r="J299" s="459">
        <v>135011.36719827584</v>
      </c>
      <c r="K299" s="459">
        <v>757255.70932418504</v>
      </c>
      <c r="L299" s="459">
        <v>720069.91581959999</v>
      </c>
      <c r="M299" s="459">
        <v>105431.98559086672</v>
      </c>
      <c r="N299" s="459">
        <v>62438.103221744168</v>
      </c>
      <c r="O299" s="473">
        <f>SUM(Taulukko8[[#This Row],[Työvoimaviranomaisille siirtyvä kotoutumiskoulutus]:[Muut palvelut]])</f>
        <v>1965981.8567905095</v>
      </c>
      <c r="P299" s="473">
        <f>Taulukko8[[#This Row],[Palvelut yhteensä]]+Taulukko8[[#This Row],[Toimintamenot yhteensä]]</f>
        <v>3068044.5161980074</v>
      </c>
      <c r="Q299" s="481">
        <v>134413.05095299199</v>
      </c>
      <c r="R299" s="481">
        <v>422441.01728083199</v>
      </c>
      <c r="S299" s="473">
        <f>Taulukko8[[#This Row],[Palvelut + toimintamenot]]-Taulukko8[[#This Row],[Poistuva velvoitetyöllistäminen]]-Taulukko8[[#This Row],[Poistuvaksi ehdotettu  palkkatuki]]</f>
        <v>2511190.4479641835</v>
      </c>
      <c r="T299" s="479">
        <f>(Taulukko8[[#This Row],[Palvelut + toimintamenot, huomioitu vuonna 2025 poistuvat tehtävät]]/$S$6)*$T$2</f>
        <v>2368793.4078167449</v>
      </c>
      <c r="U299" s="481">
        <f>Taulukko8[[#This Row],[Skaalattu siirtyvän rahoituksen tasoon ]]*0.5</f>
        <v>1184396.7039083724</v>
      </c>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S304"/>
  <sheetViews>
    <sheetView zoomScale="90" zoomScaleNormal="90" workbookViewId="0"/>
  </sheetViews>
  <sheetFormatPr defaultRowHeight="14.25"/>
  <cols>
    <col min="1" max="1" width="10.5" customWidth="1"/>
    <col min="2" max="2" width="14.25" bestFit="1" customWidth="1"/>
    <col min="3" max="4" width="15.625" customWidth="1"/>
    <col min="5" max="6" width="17.375" customWidth="1"/>
    <col min="7" max="8" width="15.625" customWidth="1"/>
    <col min="9" max="9" width="12.375" customWidth="1"/>
    <col min="10" max="10" width="15.375" customWidth="1"/>
    <col min="13" max="13" width="7.25" customWidth="1"/>
    <col min="14" max="14" width="15.25" bestFit="1" customWidth="1"/>
    <col min="15" max="16" width="16.625" customWidth="1"/>
    <col min="17" max="18" width="17.125" customWidth="1"/>
    <col min="19" max="19" width="16.625" customWidth="1"/>
  </cols>
  <sheetData>
    <row r="1" spans="1:19" ht="23.25">
      <c r="A1" s="314" t="s">
        <v>780</v>
      </c>
    </row>
    <row r="2" spans="1:19">
      <c r="A2" s="450" t="s">
        <v>789</v>
      </c>
      <c r="I2" s="103"/>
    </row>
    <row r="3" spans="1:19">
      <c r="A3" s="451" t="s">
        <v>790</v>
      </c>
      <c r="I3" s="103"/>
    </row>
    <row r="4" spans="1:19">
      <c r="A4" s="451" t="s">
        <v>798</v>
      </c>
    </row>
    <row r="5" spans="1:19">
      <c r="A5" s="451" t="s">
        <v>803</v>
      </c>
    </row>
    <row r="6" spans="1:19">
      <c r="A6" s="451" t="s">
        <v>801</v>
      </c>
    </row>
    <row r="7" spans="1:19">
      <c r="A7" s="451" t="s">
        <v>802</v>
      </c>
    </row>
    <row r="8" spans="1:19">
      <c r="A8" s="451" t="s">
        <v>804</v>
      </c>
    </row>
    <row r="9" spans="1:19" ht="15">
      <c r="A9" s="549" t="s">
        <v>1194</v>
      </c>
      <c r="K9" s="452"/>
      <c r="M9" s="31" t="s">
        <v>1202</v>
      </c>
    </row>
    <row r="10" spans="1:19" ht="63.75">
      <c r="A10" s="453" t="s">
        <v>791</v>
      </c>
      <c r="B10" s="453" t="s">
        <v>3</v>
      </c>
      <c r="C10" s="453" t="s">
        <v>799</v>
      </c>
      <c r="D10" s="453" t="s">
        <v>793</v>
      </c>
      <c r="E10" s="453" t="s">
        <v>1206</v>
      </c>
      <c r="F10" s="453" t="s">
        <v>1201</v>
      </c>
      <c r="G10" s="453" t="s">
        <v>794</v>
      </c>
      <c r="H10" s="453" t="s">
        <v>795</v>
      </c>
      <c r="I10" s="453" t="s">
        <v>796</v>
      </c>
      <c r="J10" s="453" t="s">
        <v>800</v>
      </c>
      <c r="M10" s="453" t="s">
        <v>791</v>
      </c>
      <c r="N10" s="453" t="s">
        <v>3</v>
      </c>
      <c r="O10" s="453" t="s">
        <v>1203</v>
      </c>
      <c r="P10" s="453" t="s">
        <v>1204</v>
      </c>
      <c r="Q10" s="453" t="s">
        <v>1205</v>
      </c>
      <c r="R10" s="453" t="s">
        <v>793</v>
      </c>
      <c r="S10" s="453" t="s">
        <v>1201</v>
      </c>
    </row>
    <row r="11" spans="1:19">
      <c r="A11" s="454"/>
      <c r="B11" s="454" t="s">
        <v>797</v>
      </c>
      <c r="C11" s="455">
        <f t="shared" ref="C11:J11" si="0">SUM(C12:C304)</f>
        <v>5573310</v>
      </c>
      <c r="D11" s="455">
        <f t="shared" si="0"/>
        <v>478982410.46999967</v>
      </c>
      <c r="E11" s="455">
        <f t="shared" si="0"/>
        <v>591403832.23150015</v>
      </c>
      <c r="F11" s="455">
        <f t="shared" si="0"/>
        <v>112421421.76149997</v>
      </c>
      <c r="G11" s="455">
        <f t="shared" si="0"/>
        <v>24325676.198999982</v>
      </c>
      <c r="H11" s="455">
        <f t="shared" si="0"/>
        <v>79333917.627345026</v>
      </c>
      <c r="I11" s="455">
        <f t="shared" si="0"/>
        <v>695063426.05784523</v>
      </c>
      <c r="J11" s="466">
        <f t="shared" si="0"/>
        <v>216081015.58784497</v>
      </c>
      <c r="M11" s="454"/>
      <c r="N11" s="454" t="s">
        <v>797</v>
      </c>
      <c r="O11" s="455">
        <f t="shared" ref="O11:S11" si="1">SUM(O12:O304)</f>
        <v>611130754.62900031</v>
      </c>
      <c r="P11" s="455">
        <f t="shared" si="1"/>
        <v>571676909.83400047</v>
      </c>
      <c r="Q11" s="455">
        <f t="shared" si="1"/>
        <v>591403832.23150015</v>
      </c>
      <c r="R11" s="455">
        <f t="shared" si="1"/>
        <v>478982410.46999967</v>
      </c>
      <c r="S11" s="466">
        <f t="shared" si="1"/>
        <v>112421421.76149997</v>
      </c>
    </row>
    <row r="12" spans="1:19">
      <c r="A12" s="456">
        <v>5</v>
      </c>
      <c r="B12" s="456" t="s">
        <v>12</v>
      </c>
      <c r="C12" s="457">
        <v>9113</v>
      </c>
      <c r="D12" s="458">
        <v>272082.18</v>
      </c>
      <c r="E12" s="458">
        <v>452532.7145</v>
      </c>
      <c r="F12" s="458">
        <f>Taulukko9[[#This Row],[Uudistuksen mukainen osuus työmarkkinatuesta*]]-Taulukko9[[#This Row],[Nykytila, kuntien osuus työmarkkinatuesta]]</f>
        <v>180450.53450000001</v>
      </c>
      <c r="G12" s="458">
        <v>26031.342000000001</v>
      </c>
      <c r="H12" s="458">
        <v>110278.69402561701</v>
      </c>
      <c r="I12" s="459">
        <f>Taulukko9[[#This Row],[Uudistuksen mukainen osuus työmarkkinatuesta*]]+Taulukko9[[#This Row],[Uudistuksen mukainen osuus peruspäivärahasta]]+Taulukko9[[#This Row],[Uudistuksen mukainen osuus ansiopäivärahasta]]</f>
        <v>588842.75052561704</v>
      </c>
      <c r="J12" s="467">
        <f>Taulukko9[[#This Row],[Uudistuksen mukainen rahoitusvastuu yhteensä]]-Taulukko9[[#This Row],[Nykytila, kuntien osuus työmarkkinatuesta]]</f>
        <v>316760.57052561705</v>
      </c>
      <c r="M12" s="456">
        <v>5</v>
      </c>
      <c r="N12" s="456" t="s">
        <v>12</v>
      </c>
      <c r="O12" s="458">
        <v>461118.98599999998</v>
      </c>
      <c r="P12" s="458">
        <v>443946.44300000003</v>
      </c>
      <c r="Q12" s="458">
        <f>AVERAGE(Taulukko919[[#This Row],[Uudistuksen mukainen osuus työmarkkinatuesta, kotoutujia ei poistettu]:[Uudistuksen mukainen osuus työmarkkinatuesta, kotoutujat poistettu]])</f>
        <v>452532.7145</v>
      </c>
      <c r="R12" s="458">
        <v>272082.18</v>
      </c>
      <c r="S12" s="467">
        <f>Taulukko919[[#This Row],[Uudistuksen mukainen osuus työmarkkinatuesta, keskiarvo]]-Taulukko919[[#This Row],[Nykytila, kuntien osuus työmarkkinatuesta]]</f>
        <v>180450.53450000001</v>
      </c>
    </row>
    <row r="13" spans="1:19">
      <c r="A13" s="456">
        <v>9</v>
      </c>
      <c r="B13" s="456" t="s">
        <v>13</v>
      </c>
      <c r="C13" s="457">
        <v>2437</v>
      </c>
      <c r="D13" s="458">
        <v>90687.96</v>
      </c>
      <c r="E13" s="458">
        <v>121309.3115</v>
      </c>
      <c r="F13" s="458">
        <f>Taulukko9[[#This Row],[Uudistuksen mukainen osuus työmarkkinatuesta*]]-Taulukko9[[#This Row],[Nykytila, kuntien osuus työmarkkinatuesta]]</f>
        <v>30621.35149999999</v>
      </c>
      <c r="G13" s="458">
        <v>14230.047</v>
      </c>
      <c r="H13" s="458">
        <v>31178.224949555901</v>
      </c>
      <c r="I13" s="459">
        <f>Taulukko9[[#This Row],[Uudistuksen mukainen osuus työmarkkinatuesta*]]+Taulukko9[[#This Row],[Uudistuksen mukainen osuus peruspäivärahasta]]+Taulukko9[[#This Row],[Uudistuksen mukainen osuus ansiopäivärahasta]]</f>
        <v>166717.58344955591</v>
      </c>
      <c r="J13" s="467">
        <f>Taulukko9[[#This Row],[Uudistuksen mukainen rahoitusvastuu yhteensä]]-Taulukko9[[#This Row],[Nykytila, kuntien osuus työmarkkinatuesta]]</f>
        <v>76029.623449555904</v>
      </c>
      <c r="M13" s="456">
        <v>9</v>
      </c>
      <c r="N13" s="456" t="s">
        <v>13</v>
      </c>
      <c r="O13" s="458">
        <v>122651.06299999999</v>
      </c>
      <c r="P13" s="458">
        <v>119967.56</v>
      </c>
      <c r="Q13" s="458">
        <f>AVERAGE(Taulukko919[[#This Row],[Uudistuksen mukainen osuus työmarkkinatuesta, kotoutujia ei poistettu]:[Uudistuksen mukainen osuus työmarkkinatuesta, kotoutujat poistettu]])</f>
        <v>121309.3115</v>
      </c>
      <c r="R13" s="458">
        <v>90687.96</v>
      </c>
      <c r="S13" s="467">
        <f>Taulukko919[[#This Row],[Uudistuksen mukainen osuus työmarkkinatuesta, keskiarvo]]-Taulukko919[[#This Row],[Nykytila, kuntien osuus työmarkkinatuesta]]</f>
        <v>30621.35149999999</v>
      </c>
    </row>
    <row r="14" spans="1:19">
      <c r="A14" s="456">
        <v>10</v>
      </c>
      <c r="B14" s="456" t="s">
        <v>14</v>
      </c>
      <c r="C14" s="457">
        <v>10933</v>
      </c>
      <c r="D14" s="458">
        <v>355483.19</v>
      </c>
      <c r="E14" s="458">
        <v>740956.62700000009</v>
      </c>
      <c r="F14" s="458">
        <f>Taulukko9[[#This Row],[Uudistuksen mukainen osuus työmarkkinatuesta*]]-Taulukko9[[#This Row],[Nykytila, kuntien osuus työmarkkinatuesta]]</f>
        <v>385473.43700000009</v>
      </c>
      <c r="G14" s="458">
        <v>48479.925000000003</v>
      </c>
      <c r="H14" s="458">
        <v>100256.254807448</v>
      </c>
      <c r="I14" s="459">
        <f>Taulukko9[[#This Row],[Uudistuksen mukainen osuus työmarkkinatuesta*]]+Taulukko9[[#This Row],[Uudistuksen mukainen osuus peruspäivärahasta]]+Taulukko9[[#This Row],[Uudistuksen mukainen osuus ansiopäivärahasta]]</f>
        <v>889692.80680744816</v>
      </c>
      <c r="J14" s="467">
        <f>Taulukko9[[#This Row],[Uudistuksen mukainen rahoitusvastuu yhteensä]]-Taulukko9[[#This Row],[Nykytila, kuntien osuus työmarkkinatuesta]]</f>
        <v>534209.61680744821</v>
      </c>
      <c r="M14" s="456">
        <v>10</v>
      </c>
      <c r="N14" s="456" t="s">
        <v>14</v>
      </c>
      <c r="O14" s="458">
        <v>745167.18200000003</v>
      </c>
      <c r="P14" s="458">
        <v>736746.07200000004</v>
      </c>
      <c r="Q14" s="458">
        <f>AVERAGE(Taulukko919[[#This Row],[Uudistuksen mukainen osuus työmarkkinatuesta, kotoutujia ei poistettu]:[Uudistuksen mukainen osuus työmarkkinatuesta, kotoutujat poistettu]])</f>
        <v>740956.62700000009</v>
      </c>
      <c r="R14" s="458">
        <v>355483.19</v>
      </c>
      <c r="S14" s="467">
        <f>Taulukko919[[#This Row],[Uudistuksen mukainen osuus työmarkkinatuesta, keskiarvo]]-Taulukko919[[#This Row],[Nykytila, kuntien osuus työmarkkinatuesta]]</f>
        <v>385473.43700000009</v>
      </c>
    </row>
    <row r="15" spans="1:19">
      <c r="A15" s="456">
        <v>16</v>
      </c>
      <c r="B15" s="456" t="s">
        <v>15</v>
      </c>
      <c r="C15" s="457">
        <v>7968</v>
      </c>
      <c r="D15" s="458">
        <v>414385.79</v>
      </c>
      <c r="E15" s="458">
        <v>556465.52300000004</v>
      </c>
      <c r="F15" s="458">
        <f>Taulukko9[[#This Row],[Uudistuksen mukainen osuus työmarkkinatuesta*]]-Taulukko9[[#This Row],[Nykytila, kuntien osuus työmarkkinatuesta]]</f>
        <v>142079.73300000007</v>
      </c>
      <c r="G15" s="458">
        <v>32343.514999999999</v>
      </c>
      <c r="H15" s="458">
        <v>120106.580237653</v>
      </c>
      <c r="I15" s="459">
        <f>Taulukko9[[#This Row],[Uudistuksen mukainen osuus työmarkkinatuesta*]]+Taulukko9[[#This Row],[Uudistuksen mukainen osuus peruspäivärahasta]]+Taulukko9[[#This Row],[Uudistuksen mukainen osuus ansiopäivärahasta]]</f>
        <v>708915.61823765305</v>
      </c>
      <c r="J15" s="467">
        <f>Taulukko9[[#This Row],[Uudistuksen mukainen rahoitusvastuu yhteensä]]-Taulukko9[[#This Row],[Nykytila, kuntien osuus työmarkkinatuesta]]</f>
        <v>294529.82823765307</v>
      </c>
      <c r="M15" s="456">
        <v>16</v>
      </c>
      <c r="N15" s="456" t="s">
        <v>15</v>
      </c>
      <c r="O15" s="458">
        <v>564202.76800000004</v>
      </c>
      <c r="P15" s="458">
        <v>548728.27800000005</v>
      </c>
      <c r="Q15" s="458">
        <f>AVERAGE(Taulukko919[[#This Row],[Uudistuksen mukainen osuus työmarkkinatuesta, kotoutujia ei poistettu]:[Uudistuksen mukainen osuus työmarkkinatuesta, kotoutujat poistettu]])</f>
        <v>556465.52300000004</v>
      </c>
      <c r="R15" s="458">
        <v>414385.79</v>
      </c>
      <c r="S15" s="467">
        <f>Taulukko919[[#This Row],[Uudistuksen mukainen osuus työmarkkinatuesta, keskiarvo]]-Taulukko919[[#This Row],[Nykytila, kuntien osuus työmarkkinatuesta]]</f>
        <v>142079.73300000007</v>
      </c>
    </row>
    <row r="16" spans="1:19">
      <c r="A16" s="456">
        <v>18</v>
      </c>
      <c r="B16" s="456" t="s">
        <v>16</v>
      </c>
      <c r="C16" s="457">
        <v>4700</v>
      </c>
      <c r="D16" s="458">
        <v>259039.92</v>
      </c>
      <c r="E16" s="458">
        <v>319751.54149999999</v>
      </c>
      <c r="F16" s="458">
        <f>Taulukko9[[#This Row],[Uudistuksen mukainen osuus työmarkkinatuesta*]]-Taulukko9[[#This Row],[Nykytila, kuntien osuus työmarkkinatuesta]]</f>
        <v>60711.621499999979</v>
      </c>
      <c r="G16" s="458">
        <v>12363.584000000001</v>
      </c>
      <c r="H16" s="458">
        <v>62161.2160712607</v>
      </c>
      <c r="I16" s="459">
        <f>Taulukko9[[#This Row],[Uudistuksen mukainen osuus työmarkkinatuesta*]]+Taulukko9[[#This Row],[Uudistuksen mukainen osuus peruspäivärahasta]]+Taulukko9[[#This Row],[Uudistuksen mukainen osuus ansiopäivärahasta]]</f>
        <v>394276.34157126065</v>
      </c>
      <c r="J16" s="467">
        <f>Taulukko9[[#This Row],[Uudistuksen mukainen rahoitusvastuu yhteensä]]-Taulukko9[[#This Row],[Nykytila, kuntien osuus työmarkkinatuesta]]</f>
        <v>135236.42157126064</v>
      </c>
      <c r="M16" s="456">
        <v>18</v>
      </c>
      <c r="N16" s="456" t="s">
        <v>16</v>
      </c>
      <c r="O16" s="458">
        <v>321598.26699999999</v>
      </c>
      <c r="P16" s="458">
        <v>317904.81599999999</v>
      </c>
      <c r="Q16" s="458">
        <f>AVERAGE(Taulukko919[[#This Row],[Uudistuksen mukainen osuus työmarkkinatuesta, kotoutujia ei poistettu]:[Uudistuksen mukainen osuus työmarkkinatuesta, kotoutujat poistettu]])</f>
        <v>319751.54149999999</v>
      </c>
      <c r="R16" s="458">
        <v>259039.92</v>
      </c>
      <c r="S16" s="467">
        <f>Taulukko919[[#This Row],[Uudistuksen mukainen osuus työmarkkinatuesta, keskiarvo]]-Taulukko919[[#This Row],[Nykytila, kuntien osuus työmarkkinatuesta]]</f>
        <v>60711.621499999979</v>
      </c>
    </row>
    <row r="17" spans="1:19">
      <c r="A17" s="456">
        <v>19</v>
      </c>
      <c r="B17" s="456" t="s">
        <v>17</v>
      </c>
      <c r="C17" s="457">
        <v>3961</v>
      </c>
      <c r="D17" s="458">
        <v>165467.26</v>
      </c>
      <c r="E17" s="458">
        <v>199064.22350000002</v>
      </c>
      <c r="F17" s="458">
        <f>Taulukko9[[#This Row],[Uudistuksen mukainen osuus työmarkkinatuesta*]]-Taulukko9[[#This Row],[Nykytila, kuntien osuus työmarkkinatuesta]]</f>
        <v>33596.963500000013</v>
      </c>
      <c r="G17" s="458">
        <v>5854.0540000000001</v>
      </c>
      <c r="H17" s="458">
        <v>37630.0642845525</v>
      </c>
      <c r="I17" s="459">
        <f>Taulukko9[[#This Row],[Uudistuksen mukainen osuus työmarkkinatuesta*]]+Taulukko9[[#This Row],[Uudistuksen mukainen osuus peruspäivärahasta]]+Taulukko9[[#This Row],[Uudistuksen mukainen osuus ansiopäivärahasta]]</f>
        <v>242548.34178455253</v>
      </c>
      <c r="J17" s="467">
        <f>Taulukko9[[#This Row],[Uudistuksen mukainen rahoitusvastuu yhteensä]]-Taulukko9[[#This Row],[Nykytila, kuntien osuus työmarkkinatuesta]]</f>
        <v>77081.081784552516</v>
      </c>
      <c r="M17" s="456">
        <v>19</v>
      </c>
      <c r="N17" s="456" t="s">
        <v>17</v>
      </c>
      <c r="O17" s="458">
        <v>199073.52600000001</v>
      </c>
      <c r="P17" s="458">
        <v>199054.921</v>
      </c>
      <c r="Q17" s="458">
        <f>AVERAGE(Taulukko919[[#This Row],[Uudistuksen mukainen osuus työmarkkinatuesta, kotoutujia ei poistettu]:[Uudistuksen mukainen osuus työmarkkinatuesta, kotoutujat poistettu]])</f>
        <v>199064.22350000002</v>
      </c>
      <c r="R17" s="458">
        <v>165467.26</v>
      </c>
      <c r="S17" s="467">
        <f>Taulukko919[[#This Row],[Uudistuksen mukainen osuus työmarkkinatuesta, keskiarvo]]-Taulukko919[[#This Row],[Nykytila, kuntien osuus työmarkkinatuesta]]</f>
        <v>33596.963500000013</v>
      </c>
    </row>
    <row r="18" spans="1:19">
      <c r="A18" s="456">
        <v>20</v>
      </c>
      <c r="B18" s="456" t="s">
        <v>18</v>
      </c>
      <c r="C18" s="457">
        <v>16405</v>
      </c>
      <c r="D18" s="458">
        <v>847835.63</v>
      </c>
      <c r="E18" s="458">
        <v>1582603.1894999999</v>
      </c>
      <c r="F18" s="458">
        <f>Taulukko9[[#This Row],[Uudistuksen mukainen osuus työmarkkinatuesta*]]-Taulukko9[[#This Row],[Nykytila, kuntien osuus työmarkkinatuesta]]</f>
        <v>734767.55949999986</v>
      </c>
      <c r="G18" s="458">
        <v>50300.28</v>
      </c>
      <c r="H18" s="458">
        <v>243402.02447187799</v>
      </c>
      <c r="I18" s="459">
        <f>Taulukko9[[#This Row],[Uudistuksen mukainen osuus työmarkkinatuesta*]]+Taulukko9[[#This Row],[Uudistuksen mukainen osuus peruspäivärahasta]]+Taulukko9[[#This Row],[Uudistuksen mukainen osuus ansiopäivärahasta]]</f>
        <v>1876305.493971878</v>
      </c>
      <c r="J18" s="467">
        <f>Taulukko9[[#This Row],[Uudistuksen mukainen rahoitusvastuu yhteensä]]-Taulukko9[[#This Row],[Nykytila, kuntien osuus työmarkkinatuesta]]</f>
        <v>1028469.863971878</v>
      </c>
      <c r="M18" s="456">
        <v>20</v>
      </c>
      <c r="N18" s="456" t="s">
        <v>18</v>
      </c>
      <c r="O18" s="458">
        <v>1606693.8629999999</v>
      </c>
      <c r="P18" s="458">
        <v>1558512.5160000001</v>
      </c>
      <c r="Q18" s="458">
        <f>AVERAGE(Taulukko919[[#This Row],[Uudistuksen mukainen osuus työmarkkinatuesta, kotoutujia ei poistettu]:[Uudistuksen mukainen osuus työmarkkinatuesta, kotoutujat poistettu]])</f>
        <v>1582603.1894999999</v>
      </c>
      <c r="R18" s="458">
        <v>847835.63</v>
      </c>
      <c r="S18" s="467">
        <f>Taulukko919[[#This Row],[Uudistuksen mukainen osuus työmarkkinatuesta, keskiarvo]]-Taulukko919[[#This Row],[Nykytila, kuntien osuus työmarkkinatuesta]]</f>
        <v>734767.55949999986</v>
      </c>
    </row>
    <row r="19" spans="1:19">
      <c r="A19" s="456">
        <v>46</v>
      </c>
      <c r="B19" s="456" t="s">
        <v>19</v>
      </c>
      <c r="C19" s="457">
        <v>1320</v>
      </c>
      <c r="D19" s="458">
        <v>105084.29</v>
      </c>
      <c r="E19" s="458">
        <v>117518.88500000001</v>
      </c>
      <c r="F19" s="458">
        <f>Taulukko9[[#This Row],[Uudistuksen mukainen osuus työmarkkinatuesta*]]-Taulukko9[[#This Row],[Nykytila, kuntien osuus työmarkkinatuesta]]</f>
        <v>12434.595000000016</v>
      </c>
      <c r="G19" s="458">
        <v>6965.7659999999996</v>
      </c>
      <c r="H19" s="458">
        <v>20021.6488646006</v>
      </c>
      <c r="I19" s="459">
        <f>Taulukko9[[#This Row],[Uudistuksen mukainen osuus työmarkkinatuesta*]]+Taulukko9[[#This Row],[Uudistuksen mukainen osuus peruspäivärahasta]]+Taulukko9[[#This Row],[Uudistuksen mukainen osuus ansiopäivärahasta]]</f>
        <v>144506.29986460062</v>
      </c>
      <c r="J19" s="467">
        <f>Taulukko9[[#This Row],[Uudistuksen mukainen rahoitusvastuu yhteensä]]-Taulukko9[[#This Row],[Nykytila, kuntien osuus työmarkkinatuesta]]</f>
        <v>39422.009864600623</v>
      </c>
      <c r="M19" s="456">
        <v>46</v>
      </c>
      <c r="N19" s="456" t="s">
        <v>19</v>
      </c>
      <c r="O19" s="458">
        <v>119105.51700000001</v>
      </c>
      <c r="P19" s="458">
        <v>115932.253</v>
      </c>
      <c r="Q19" s="458">
        <f>AVERAGE(Taulukko919[[#This Row],[Uudistuksen mukainen osuus työmarkkinatuesta, kotoutujia ei poistettu]:[Uudistuksen mukainen osuus työmarkkinatuesta, kotoutujat poistettu]])</f>
        <v>117518.88500000001</v>
      </c>
      <c r="R19" s="458">
        <v>105084.29</v>
      </c>
      <c r="S19" s="467">
        <f>Taulukko919[[#This Row],[Uudistuksen mukainen osuus työmarkkinatuesta, keskiarvo]]-Taulukko919[[#This Row],[Nykytila, kuntien osuus työmarkkinatuesta]]</f>
        <v>12434.595000000016</v>
      </c>
    </row>
    <row r="20" spans="1:19">
      <c r="A20" s="456">
        <v>47</v>
      </c>
      <c r="B20" s="456" t="s">
        <v>20</v>
      </c>
      <c r="C20" s="457">
        <v>1771</v>
      </c>
      <c r="D20" s="458">
        <v>181362.54</v>
      </c>
      <c r="E20" s="458">
        <v>163573.908</v>
      </c>
      <c r="F20" s="458">
        <f>Taulukko9[[#This Row],[Uudistuksen mukainen osuus työmarkkinatuesta*]]-Taulukko9[[#This Row],[Nykytila, kuntien osuus työmarkkinatuesta]]</f>
        <v>-17788.632000000012</v>
      </c>
      <c r="G20" s="458">
        <v>4810.3860000000004</v>
      </c>
      <c r="H20" s="458">
        <v>57750.545622023201</v>
      </c>
      <c r="I20" s="459">
        <f>Taulukko9[[#This Row],[Uudistuksen mukainen osuus työmarkkinatuesta*]]+Taulukko9[[#This Row],[Uudistuksen mukainen osuus peruspäivärahasta]]+Taulukko9[[#This Row],[Uudistuksen mukainen osuus ansiopäivärahasta]]</f>
        <v>226134.8396220232</v>
      </c>
      <c r="J20" s="467">
        <f>Taulukko9[[#This Row],[Uudistuksen mukainen rahoitusvastuu yhteensä]]-Taulukko9[[#This Row],[Nykytila, kuntien osuus työmarkkinatuesta]]</f>
        <v>44772.299622023187</v>
      </c>
      <c r="M20" s="456">
        <v>47</v>
      </c>
      <c r="N20" s="456" t="s">
        <v>20</v>
      </c>
      <c r="O20" s="458">
        <v>163573.908</v>
      </c>
      <c r="P20" s="458">
        <v>163573.908</v>
      </c>
      <c r="Q20" s="458">
        <f>AVERAGE(Taulukko919[[#This Row],[Uudistuksen mukainen osuus työmarkkinatuesta, kotoutujia ei poistettu]:[Uudistuksen mukainen osuus työmarkkinatuesta, kotoutujat poistettu]])</f>
        <v>163573.908</v>
      </c>
      <c r="R20" s="458">
        <v>181362.54</v>
      </c>
      <c r="S20" s="467">
        <f>Taulukko919[[#This Row],[Uudistuksen mukainen osuus työmarkkinatuesta, keskiarvo]]-Taulukko919[[#This Row],[Nykytila, kuntien osuus työmarkkinatuesta]]</f>
        <v>-17788.632000000012</v>
      </c>
    </row>
    <row r="21" spans="1:19">
      <c r="A21" s="456">
        <v>49</v>
      </c>
      <c r="B21" s="456" t="s">
        <v>21</v>
      </c>
      <c r="C21" s="457">
        <v>314024</v>
      </c>
      <c r="D21" s="458">
        <v>29188593.760000002</v>
      </c>
      <c r="E21" s="458">
        <v>33632627.175999999</v>
      </c>
      <c r="F21" s="458">
        <f>Taulukko9[[#This Row],[Uudistuksen mukainen osuus työmarkkinatuesta*]]-Taulukko9[[#This Row],[Nykytila, kuntien osuus työmarkkinatuesta]]</f>
        <v>4444033.4159999974</v>
      </c>
      <c r="G21" s="458">
        <v>1322760.139</v>
      </c>
      <c r="H21" s="458">
        <v>3234844.7543743299</v>
      </c>
      <c r="I21" s="459">
        <f>Taulukko9[[#This Row],[Uudistuksen mukainen osuus työmarkkinatuesta*]]+Taulukko9[[#This Row],[Uudistuksen mukainen osuus peruspäivärahasta]]+Taulukko9[[#This Row],[Uudistuksen mukainen osuus ansiopäivärahasta]]</f>
        <v>38190232.06937433</v>
      </c>
      <c r="J21" s="467">
        <f>Taulukko9[[#This Row],[Uudistuksen mukainen rahoitusvastuu yhteensä]]-Taulukko9[[#This Row],[Nykytila, kuntien osuus työmarkkinatuesta]]</f>
        <v>9001638.3093743287</v>
      </c>
      <c r="M21" s="456">
        <v>49</v>
      </c>
      <c r="N21" s="456" t="s">
        <v>21</v>
      </c>
      <c r="O21" s="458">
        <v>36239454.251999997</v>
      </c>
      <c r="P21" s="458">
        <v>31025800.100000001</v>
      </c>
      <c r="Q21" s="458">
        <f>AVERAGE(Taulukko919[[#This Row],[Uudistuksen mukainen osuus työmarkkinatuesta, kotoutujia ei poistettu]:[Uudistuksen mukainen osuus työmarkkinatuesta, kotoutujat poistettu]])</f>
        <v>33632627.175999999</v>
      </c>
      <c r="R21" s="458">
        <v>29188593.760000002</v>
      </c>
      <c r="S21" s="467">
        <f>Taulukko919[[#This Row],[Uudistuksen mukainen osuus työmarkkinatuesta, keskiarvo]]-Taulukko919[[#This Row],[Nykytila, kuntien osuus työmarkkinatuesta]]</f>
        <v>4444033.4159999974</v>
      </c>
    </row>
    <row r="22" spans="1:19">
      <c r="A22" s="456">
        <v>50</v>
      </c>
      <c r="B22" s="456" t="s">
        <v>22</v>
      </c>
      <c r="C22" s="457">
        <v>11184</v>
      </c>
      <c r="D22" s="458">
        <v>556774.9</v>
      </c>
      <c r="E22" s="458">
        <v>710234.91149999993</v>
      </c>
      <c r="F22" s="458">
        <f>Taulukko9[[#This Row],[Uudistuksen mukainen osuus työmarkkinatuesta*]]-Taulukko9[[#This Row],[Nykytila, kuntien osuus työmarkkinatuesta]]</f>
        <v>153460.01149999991</v>
      </c>
      <c r="G22" s="458">
        <v>32156.766</v>
      </c>
      <c r="H22" s="458">
        <v>110196.450782379</v>
      </c>
      <c r="I22" s="459">
        <f>Taulukko9[[#This Row],[Uudistuksen mukainen osuus työmarkkinatuesta*]]+Taulukko9[[#This Row],[Uudistuksen mukainen osuus peruspäivärahasta]]+Taulukko9[[#This Row],[Uudistuksen mukainen osuus ansiopäivärahasta]]</f>
        <v>852588.12828237889</v>
      </c>
      <c r="J22" s="467">
        <f>Taulukko9[[#This Row],[Uudistuksen mukainen rahoitusvastuu yhteensä]]-Taulukko9[[#This Row],[Nykytila, kuntien osuus työmarkkinatuesta]]</f>
        <v>295813.22828237887</v>
      </c>
      <c r="M22" s="456">
        <v>50</v>
      </c>
      <c r="N22" s="456" t="s">
        <v>22</v>
      </c>
      <c r="O22" s="458">
        <v>716371.45900000003</v>
      </c>
      <c r="P22" s="458">
        <v>704098.36399999994</v>
      </c>
      <c r="Q22" s="458">
        <f>AVERAGE(Taulukko919[[#This Row],[Uudistuksen mukainen osuus työmarkkinatuesta, kotoutujia ei poistettu]:[Uudistuksen mukainen osuus työmarkkinatuesta, kotoutujat poistettu]])</f>
        <v>710234.91149999993</v>
      </c>
      <c r="R22" s="458">
        <v>556774.9</v>
      </c>
      <c r="S22" s="467">
        <f>Taulukko919[[#This Row],[Uudistuksen mukainen osuus työmarkkinatuesta, keskiarvo]]-Taulukko919[[#This Row],[Nykytila, kuntien osuus työmarkkinatuesta]]</f>
        <v>153460.01149999991</v>
      </c>
    </row>
    <row r="23" spans="1:19">
      <c r="A23" s="456">
        <v>51</v>
      </c>
      <c r="B23" s="456" t="s">
        <v>23</v>
      </c>
      <c r="C23" s="457">
        <v>9143</v>
      </c>
      <c r="D23" s="458">
        <v>334235.81</v>
      </c>
      <c r="E23" s="458">
        <v>482994.9705</v>
      </c>
      <c r="F23" s="458">
        <f>Taulukko9[[#This Row],[Uudistuksen mukainen osuus työmarkkinatuesta*]]-Taulukko9[[#This Row],[Nykytila, kuntien osuus työmarkkinatuesta]]</f>
        <v>148759.1605</v>
      </c>
      <c r="G23" s="458">
        <v>19638.681</v>
      </c>
      <c r="H23" s="458">
        <v>95365.317687388801</v>
      </c>
      <c r="I23" s="459">
        <f>Taulukko9[[#This Row],[Uudistuksen mukainen osuus työmarkkinatuesta*]]+Taulukko9[[#This Row],[Uudistuksen mukainen osuus peruspäivärahasta]]+Taulukko9[[#This Row],[Uudistuksen mukainen osuus ansiopäivärahasta]]</f>
        <v>597998.96918738878</v>
      </c>
      <c r="J23" s="467">
        <f>Taulukko9[[#This Row],[Uudistuksen mukainen rahoitusvastuu yhteensä]]-Taulukko9[[#This Row],[Nykytila, kuntien osuus työmarkkinatuesta]]</f>
        <v>263763.15918738878</v>
      </c>
      <c r="M23" s="456">
        <v>51</v>
      </c>
      <c r="N23" s="456" t="s">
        <v>23</v>
      </c>
      <c r="O23" s="458">
        <v>484922.05699999997</v>
      </c>
      <c r="P23" s="458">
        <v>481067.88400000002</v>
      </c>
      <c r="Q23" s="458">
        <f>AVERAGE(Taulukko919[[#This Row],[Uudistuksen mukainen osuus työmarkkinatuesta, kotoutujia ei poistettu]:[Uudistuksen mukainen osuus työmarkkinatuesta, kotoutujat poistettu]])</f>
        <v>482994.9705</v>
      </c>
      <c r="R23" s="458">
        <v>334235.81</v>
      </c>
      <c r="S23" s="467">
        <f>Taulukko919[[#This Row],[Uudistuksen mukainen osuus työmarkkinatuesta, keskiarvo]]-Taulukko919[[#This Row],[Nykytila, kuntien osuus työmarkkinatuesta]]</f>
        <v>148759.1605</v>
      </c>
    </row>
    <row r="24" spans="1:19">
      <c r="A24" s="456">
        <v>52</v>
      </c>
      <c r="B24" s="456" t="s">
        <v>24</v>
      </c>
      <c r="C24" s="457">
        <v>2292</v>
      </c>
      <c r="D24" s="458">
        <v>24103.34</v>
      </c>
      <c r="E24" s="458">
        <v>65932.213499999998</v>
      </c>
      <c r="F24" s="458">
        <f>Taulukko9[[#This Row],[Uudistuksen mukainen osuus työmarkkinatuesta*]]-Taulukko9[[#This Row],[Nykytila, kuntien osuus työmarkkinatuesta]]</f>
        <v>41828.873500000002</v>
      </c>
      <c r="G24" s="458">
        <v>1412.604</v>
      </c>
      <c r="H24" s="458">
        <v>22453.975146518002</v>
      </c>
      <c r="I24" s="459">
        <f>Taulukko9[[#This Row],[Uudistuksen mukainen osuus työmarkkinatuesta*]]+Taulukko9[[#This Row],[Uudistuksen mukainen osuus peruspäivärahasta]]+Taulukko9[[#This Row],[Uudistuksen mukainen osuus ansiopäivärahasta]]</f>
        <v>89798.792646518006</v>
      </c>
      <c r="J24" s="467">
        <f>Taulukko9[[#This Row],[Uudistuksen mukainen rahoitusvastuu yhteensä]]-Taulukko9[[#This Row],[Nykytila, kuntien osuus työmarkkinatuesta]]</f>
        <v>65695.45264651801</v>
      </c>
      <c r="M24" s="456">
        <v>52</v>
      </c>
      <c r="N24" s="456" t="s">
        <v>24</v>
      </c>
      <c r="O24" s="458">
        <v>70089.998999999996</v>
      </c>
      <c r="P24" s="458">
        <v>61774.428</v>
      </c>
      <c r="Q24" s="458">
        <f>AVERAGE(Taulukko919[[#This Row],[Uudistuksen mukainen osuus työmarkkinatuesta, kotoutujia ei poistettu]:[Uudistuksen mukainen osuus työmarkkinatuesta, kotoutujat poistettu]])</f>
        <v>65932.213499999998</v>
      </c>
      <c r="R24" s="458">
        <v>24103.34</v>
      </c>
      <c r="S24" s="467">
        <f>Taulukko919[[#This Row],[Uudistuksen mukainen osuus työmarkkinatuesta, keskiarvo]]-Taulukko919[[#This Row],[Nykytila, kuntien osuus työmarkkinatuesta]]</f>
        <v>41828.873500000002</v>
      </c>
    </row>
    <row r="25" spans="1:19">
      <c r="A25" s="456">
        <v>61</v>
      </c>
      <c r="B25" s="456" t="s">
        <v>25</v>
      </c>
      <c r="C25" s="457">
        <v>16469</v>
      </c>
      <c r="D25" s="458">
        <v>800604.47</v>
      </c>
      <c r="E25" s="458">
        <v>1739154.1205</v>
      </c>
      <c r="F25" s="458">
        <f>Taulukko9[[#This Row],[Uudistuksen mukainen osuus työmarkkinatuesta*]]-Taulukko9[[#This Row],[Nykytila, kuntien osuus työmarkkinatuesta]]</f>
        <v>938549.65049999999</v>
      </c>
      <c r="G25" s="458">
        <v>65945.289999999994</v>
      </c>
      <c r="H25" s="458">
        <v>306197.005801172</v>
      </c>
      <c r="I25" s="459">
        <f>Taulukko9[[#This Row],[Uudistuksen mukainen osuus työmarkkinatuesta*]]+Taulukko9[[#This Row],[Uudistuksen mukainen osuus peruspäivärahasta]]+Taulukko9[[#This Row],[Uudistuksen mukainen osuus ansiopäivärahasta]]</f>
        <v>2111296.4163011722</v>
      </c>
      <c r="J25" s="467">
        <f>Taulukko9[[#This Row],[Uudistuksen mukainen rahoitusvastuu yhteensä]]-Taulukko9[[#This Row],[Nykytila, kuntien osuus työmarkkinatuesta]]</f>
        <v>1310691.9463011723</v>
      </c>
      <c r="M25" s="456">
        <v>61</v>
      </c>
      <c r="N25" s="456" t="s">
        <v>25</v>
      </c>
      <c r="O25" s="458">
        <v>1788861.287</v>
      </c>
      <c r="P25" s="458">
        <v>1689446.9539999999</v>
      </c>
      <c r="Q25" s="458">
        <f>AVERAGE(Taulukko919[[#This Row],[Uudistuksen mukainen osuus työmarkkinatuesta, kotoutujia ei poistettu]:[Uudistuksen mukainen osuus työmarkkinatuesta, kotoutujat poistettu]])</f>
        <v>1739154.1205</v>
      </c>
      <c r="R25" s="458">
        <v>800604.47</v>
      </c>
      <c r="S25" s="467">
        <f>Taulukko919[[#This Row],[Uudistuksen mukainen osuus työmarkkinatuesta, keskiarvo]]-Taulukko919[[#This Row],[Nykytila, kuntien osuus työmarkkinatuesta]]</f>
        <v>938549.65049999999</v>
      </c>
    </row>
    <row r="26" spans="1:19">
      <c r="A26" s="456">
        <v>69</v>
      </c>
      <c r="B26" s="456" t="s">
        <v>26</v>
      </c>
      <c r="C26" s="457">
        <v>6558</v>
      </c>
      <c r="D26" s="458">
        <v>346789.1</v>
      </c>
      <c r="E26" s="458">
        <v>471432.93</v>
      </c>
      <c r="F26" s="458">
        <f>Taulukko9[[#This Row],[Uudistuksen mukainen osuus työmarkkinatuesta*]]-Taulukko9[[#This Row],[Nykytila, kuntien osuus työmarkkinatuesta]]</f>
        <v>124643.83000000002</v>
      </c>
      <c r="G26" s="458">
        <v>24987.717000000001</v>
      </c>
      <c r="H26" s="458">
        <v>75745.660614843306</v>
      </c>
      <c r="I26" s="459">
        <f>Taulukko9[[#This Row],[Uudistuksen mukainen osuus työmarkkinatuesta*]]+Taulukko9[[#This Row],[Uudistuksen mukainen osuus peruspäivärahasta]]+Taulukko9[[#This Row],[Uudistuksen mukainen osuus ansiopäivärahasta]]</f>
        <v>572166.30761484336</v>
      </c>
      <c r="J26" s="467">
        <f>Taulukko9[[#This Row],[Uudistuksen mukainen rahoitusvastuu yhteensä]]-Taulukko9[[#This Row],[Nykytila, kuntien osuus työmarkkinatuesta]]</f>
        <v>225377.20761484338</v>
      </c>
      <c r="M26" s="456">
        <v>69</v>
      </c>
      <c r="N26" s="456" t="s">
        <v>26</v>
      </c>
      <c r="O26" s="458">
        <v>472093.864</v>
      </c>
      <c r="P26" s="458">
        <v>470771.99599999998</v>
      </c>
      <c r="Q26" s="458">
        <f>AVERAGE(Taulukko919[[#This Row],[Uudistuksen mukainen osuus työmarkkinatuesta, kotoutujia ei poistettu]:[Uudistuksen mukainen osuus työmarkkinatuesta, kotoutujat poistettu]])</f>
        <v>471432.93</v>
      </c>
      <c r="R26" s="458">
        <v>346789.1</v>
      </c>
      <c r="S26" s="467">
        <f>Taulukko919[[#This Row],[Uudistuksen mukainen osuus työmarkkinatuesta, keskiarvo]]-Taulukko919[[#This Row],[Nykytila, kuntien osuus työmarkkinatuesta]]</f>
        <v>124643.83000000002</v>
      </c>
    </row>
    <row r="27" spans="1:19">
      <c r="A27" s="456">
        <v>71</v>
      </c>
      <c r="B27" s="456" t="s">
        <v>27</v>
      </c>
      <c r="C27" s="457">
        <v>6473</v>
      </c>
      <c r="D27" s="458">
        <v>269800.99</v>
      </c>
      <c r="E27" s="458">
        <v>389724.02949999995</v>
      </c>
      <c r="F27" s="458">
        <f>Taulukko9[[#This Row],[Uudistuksen mukainen osuus työmarkkinatuesta*]]-Taulukko9[[#This Row],[Nykytila, kuntien osuus työmarkkinatuesta]]</f>
        <v>119923.03949999996</v>
      </c>
      <c r="G27" s="458">
        <v>27679.145</v>
      </c>
      <c r="H27" s="458">
        <v>68450.876165450507</v>
      </c>
      <c r="I27" s="459">
        <f>Taulukko9[[#This Row],[Uudistuksen mukainen osuus työmarkkinatuesta*]]+Taulukko9[[#This Row],[Uudistuksen mukainen osuus peruspäivärahasta]]+Taulukko9[[#This Row],[Uudistuksen mukainen osuus ansiopäivärahasta]]</f>
        <v>485854.05066545046</v>
      </c>
      <c r="J27" s="467">
        <f>Taulukko9[[#This Row],[Uudistuksen mukainen rahoitusvastuu yhteensä]]-Taulukko9[[#This Row],[Nykytila, kuntien osuus työmarkkinatuesta]]</f>
        <v>216053.06066545047</v>
      </c>
      <c r="M27" s="456">
        <v>71</v>
      </c>
      <c r="N27" s="456" t="s">
        <v>27</v>
      </c>
      <c r="O27" s="458">
        <v>393857.25199999998</v>
      </c>
      <c r="P27" s="458">
        <v>385590.80699999997</v>
      </c>
      <c r="Q27" s="458">
        <f>AVERAGE(Taulukko919[[#This Row],[Uudistuksen mukainen osuus työmarkkinatuesta, kotoutujia ei poistettu]:[Uudistuksen mukainen osuus työmarkkinatuesta, kotoutujat poistettu]])</f>
        <v>389724.02949999995</v>
      </c>
      <c r="R27" s="458">
        <v>269800.99</v>
      </c>
      <c r="S27" s="467">
        <f>Taulukko919[[#This Row],[Uudistuksen mukainen osuus työmarkkinatuesta, keskiarvo]]-Taulukko919[[#This Row],[Nykytila, kuntien osuus työmarkkinatuesta]]</f>
        <v>119923.03949999996</v>
      </c>
    </row>
    <row r="28" spans="1:19">
      <c r="A28" s="456">
        <v>72</v>
      </c>
      <c r="B28" s="456" t="s">
        <v>28</v>
      </c>
      <c r="C28" s="457">
        <v>948</v>
      </c>
      <c r="D28" s="458">
        <v>40497.839999999997</v>
      </c>
      <c r="E28" s="458">
        <v>53014.722999999998</v>
      </c>
      <c r="F28" s="458">
        <f>Taulukko9[[#This Row],[Uudistuksen mukainen osuus työmarkkinatuesta*]]-Taulukko9[[#This Row],[Nykytila, kuntien osuus työmarkkinatuesta]]</f>
        <v>12516.883000000002</v>
      </c>
      <c r="G28" s="458">
        <v>7305.6480000000001</v>
      </c>
      <c r="H28" s="458">
        <v>18721.622724807999</v>
      </c>
      <c r="I28" s="459">
        <f>Taulukko9[[#This Row],[Uudistuksen mukainen osuus työmarkkinatuesta*]]+Taulukko9[[#This Row],[Uudistuksen mukainen osuus peruspäivärahasta]]+Taulukko9[[#This Row],[Uudistuksen mukainen osuus ansiopäivärahasta]]</f>
        <v>79041.993724807995</v>
      </c>
      <c r="J28" s="467">
        <f>Taulukko9[[#This Row],[Uudistuksen mukainen rahoitusvastuu yhteensä]]-Taulukko9[[#This Row],[Nykytila, kuntien osuus työmarkkinatuesta]]</f>
        <v>38544.153724807999</v>
      </c>
      <c r="M28" s="456">
        <v>72</v>
      </c>
      <c r="N28" s="456" t="s">
        <v>28</v>
      </c>
      <c r="O28" s="458">
        <v>53014.722999999998</v>
      </c>
      <c r="P28" s="458">
        <v>53014.722999999998</v>
      </c>
      <c r="Q28" s="458">
        <f>AVERAGE(Taulukko919[[#This Row],[Uudistuksen mukainen osuus työmarkkinatuesta, kotoutujia ei poistettu]:[Uudistuksen mukainen osuus työmarkkinatuesta, kotoutujat poistettu]])</f>
        <v>53014.722999999998</v>
      </c>
      <c r="R28" s="458">
        <v>40497.839999999997</v>
      </c>
      <c r="S28" s="467">
        <f>Taulukko919[[#This Row],[Uudistuksen mukainen osuus työmarkkinatuesta, keskiarvo]]-Taulukko919[[#This Row],[Nykytila, kuntien osuus työmarkkinatuesta]]</f>
        <v>12516.883000000002</v>
      </c>
    </row>
    <row r="29" spans="1:19">
      <c r="A29" s="456">
        <v>74</v>
      </c>
      <c r="B29" s="456" t="s">
        <v>29</v>
      </c>
      <c r="C29" s="457">
        <v>1013</v>
      </c>
      <c r="D29" s="458">
        <v>50285.54</v>
      </c>
      <c r="E29" s="458">
        <v>54043.273000000001</v>
      </c>
      <c r="F29" s="458">
        <f>Taulukko9[[#This Row],[Uudistuksen mukainen osuus työmarkkinatuesta*]]-Taulukko9[[#This Row],[Nykytila, kuntien osuus työmarkkinatuesta]]</f>
        <v>3757.7330000000002</v>
      </c>
      <c r="G29" s="458">
        <v>416.75200000000001</v>
      </c>
      <c r="H29" s="458">
        <v>9353.0345718019307</v>
      </c>
      <c r="I29" s="459">
        <f>Taulukko9[[#This Row],[Uudistuksen mukainen osuus työmarkkinatuesta*]]+Taulukko9[[#This Row],[Uudistuksen mukainen osuus peruspäivärahasta]]+Taulukko9[[#This Row],[Uudistuksen mukainen osuus ansiopäivärahasta]]</f>
        <v>63813.059571801932</v>
      </c>
      <c r="J29" s="467">
        <f>Taulukko9[[#This Row],[Uudistuksen mukainen rahoitusvastuu yhteensä]]-Taulukko9[[#This Row],[Nykytila, kuntien osuus työmarkkinatuesta]]</f>
        <v>13527.519571801931</v>
      </c>
      <c r="M29" s="456">
        <v>74</v>
      </c>
      <c r="N29" s="456" t="s">
        <v>29</v>
      </c>
      <c r="O29" s="458">
        <v>54043.273000000001</v>
      </c>
      <c r="P29" s="458">
        <v>54043.273000000001</v>
      </c>
      <c r="Q29" s="458">
        <f>AVERAGE(Taulukko919[[#This Row],[Uudistuksen mukainen osuus työmarkkinatuesta, kotoutujia ei poistettu]:[Uudistuksen mukainen osuus työmarkkinatuesta, kotoutujat poistettu]])</f>
        <v>54043.273000000001</v>
      </c>
      <c r="R29" s="458">
        <v>50285.54</v>
      </c>
      <c r="S29" s="467">
        <f>Taulukko919[[#This Row],[Uudistuksen mukainen osuus työmarkkinatuesta, keskiarvo]]-Taulukko919[[#This Row],[Nykytila, kuntien osuus työmarkkinatuesta]]</f>
        <v>3757.7330000000002</v>
      </c>
    </row>
    <row r="30" spans="1:19">
      <c r="A30" s="456">
        <v>75</v>
      </c>
      <c r="B30" s="456" t="s">
        <v>30</v>
      </c>
      <c r="C30" s="457">
        <v>19534</v>
      </c>
      <c r="D30" s="458">
        <v>1627199.11</v>
      </c>
      <c r="E30" s="458">
        <v>2016561.9339999999</v>
      </c>
      <c r="F30" s="458">
        <f>Taulukko9[[#This Row],[Uudistuksen mukainen osuus työmarkkinatuesta*]]-Taulukko9[[#This Row],[Nykytila, kuntien osuus työmarkkinatuesta]]</f>
        <v>389362.82399999979</v>
      </c>
      <c r="G30" s="458">
        <v>87165.508000000002</v>
      </c>
      <c r="H30" s="458">
        <v>421925.58664475102</v>
      </c>
      <c r="I30" s="459">
        <f>Taulukko9[[#This Row],[Uudistuksen mukainen osuus työmarkkinatuesta*]]+Taulukko9[[#This Row],[Uudistuksen mukainen osuus peruspäivärahasta]]+Taulukko9[[#This Row],[Uudistuksen mukainen osuus ansiopäivärahasta]]</f>
        <v>2525653.0286447508</v>
      </c>
      <c r="J30" s="467">
        <f>Taulukko9[[#This Row],[Uudistuksen mukainen rahoitusvastuu yhteensä]]-Taulukko9[[#This Row],[Nykytila, kuntien osuus työmarkkinatuesta]]</f>
        <v>898453.91864475072</v>
      </c>
      <c r="M30" s="456">
        <v>75</v>
      </c>
      <c r="N30" s="456" t="s">
        <v>30</v>
      </c>
      <c r="O30" s="458">
        <v>2054358.9010000001</v>
      </c>
      <c r="P30" s="458">
        <v>1978764.9669999999</v>
      </c>
      <c r="Q30" s="458">
        <f>AVERAGE(Taulukko919[[#This Row],[Uudistuksen mukainen osuus työmarkkinatuesta, kotoutujia ei poistettu]:[Uudistuksen mukainen osuus työmarkkinatuesta, kotoutujat poistettu]])</f>
        <v>2016561.9339999999</v>
      </c>
      <c r="R30" s="458">
        <v>1627199.11</v>
      </c>
      <c r="S30" s="467">
        <f>Taulukko919[[#This Row],[Uudistuksen mukainen osuus työmarkkinatuesta, keskiarvo]]-Taulukko919[[#This Row],[Nykytila, kuntien osuus työmarkkinatuesta]]</f>
        <v>389362.82399999979</v>
      </c>
    </row>
    <row r="31" spans="1:19">
      <c r="A31" s="456">
        <v>77</v>
      </c>
      <c r="B31" s="456" t="s">
        <v>31</v>
      </c>
      <c r="C31" s="457">
        <v>4549</v>
      </c>
      <c r="D31" s="458">
        <v>277254.27</v>
      </c>
      <c r="E31" s="458">
        <v>387999.272</v>
      </c>
      <c r="F31" s="458">
        <f>Taulukko9[[#This Row],[Uudistuksen mukainen osuus työmarkkinatuesta*]]-Taulukko9[[#This Row],[Nykytila, kuntien osuus työmarkkinatuesta]]</f>
        <v>110745.00199999998</v>
      </c>
      <c r="G31" s="458">
        <v>16124.112999999999</v>
      </c>
      <c r="H31" s="458">
        <v>80189.180873331003</v>
      </c>
      <c r="I31" s="459">
        <f>Taulukko9[[#This Row],[Uudistuksen mukainen osuus työmarkkinatuesta*]]+Taulukko9[[#This Row],[Uudistuksen mukainen osuus peruspäivärahasta]]+Taulukko9[[#This Row],[Uudistuksen mukainen osuus ansiopäivärahasta]]</f>
        <v>484312.56587333104</v>
      </c>
      <c r="J31" s="467">
        <f>Taulukko9[[#This Row],[Uudistuksen mukainen rahoitusvastuu yhteensä]]-Taulukko9[[#This Row],[Nykytila, kuntien osuus työmarkkinatuesta]]</f>
        <v>207058.29587333102</v>
      </c>
      <c r="M31" s="456">
        <v>77</v>
      </c>
      <c r="N31" s="456" t="s">
        <v>31</v>
      </c>
      <c r="O31" s="458">
        <v>391138.99800000002</v>
      </c>
      <c r="P31" s="458">
        <v>384859.54599999997</v>
      </c>
      <c r="Q31" s="458">
        <f>AVERAGE(Taulukko919[[#This Row],[Uudistuksen mukainen osuus työmarkkinatuesta, kotoutujia ei poistettu]:[Uudistuksen mukainen osuus työmarkkinatuesta, kotoutujat poistettu]])</f>
        <v>387999.272</v>
      </c>
      <c r="R31" s="458">
        <v>277254.27</v>
      </c>
      <c r="S31" s="467">
        <f>Taulukko919[[#This Row],[Uudistuksen mukainen osuus työmarkkinatuesta, keskiarvo]]-Taulukko919[[#This Row],[Nykytila, kuntien osuus työmarkkinatuesta]]</f>
        <v>110745.00199999998</v>
      </c>
    </row>
    <row r="32" spans="1:19">
      <c r="A32" s="456">
        <v>78</v>
      </c>
      <c r="B32" s="456" t="s">
        <v>32</v>
      </c>
      <c r="C32" s="457">
        <v>7721</v>
      </c>
      <c r="D32" s="458">
        <v>834977.57</v>
      </c>
      <c r="E32" s="458">
        <v>1038468.0825</v>
      </c>
      <c r="F32" s="458">
        <f>Taulukko9[[#This Row],[Uudistuksen mukainen osuus työmarkkinatuesta*]]-Taulukko9[[#This Row],[Nykytila, kuntien osuus työmarkkinatuesta]]</f>
        <v>203490.51250000007</v>
      </c>
      <c r="G32" s="458">
        <v>24417.552</v>
      </c>
      <c r="H32" s="458">
        <v>101812.338198257</v>
      </c>
      <c r="I32" s="459">
        <f>Taulukko9[[#This Row],[Uudistuksen mukainen osuus työmarkkinatuesta*]]+Taulukko9[[#This Row],[Uudistuksen mukainen osuus peruspäivärahasta]]+Taulukko9[[#This Row],[Uudistuksen mukainen osuus ansiopäivärahasta]]</f>
        <v>1164697.9726982568</v>
      </c>
      <c r="J32" s="467">
        <f>Taulukko9[[#This Row],[Uudistuksen mukainen rahoitusvastuu yhteensä]]-Taulukko9[[#This Row],[Nykytila, kuntien osuus työmarkkinatuesta]]</f>
        <v>329720.40269825689</v>
      </c>
      <c r="M32" s="456">
        <v>78</v>
      </c>
      <c r="N32" s="456" t="s">
        <v>32</v>
      </c>
      <c r="O32" s="458">
        <v>1042861.203</v>
      </c>
      <c r="P32" s="458">
        <v>1034074.9620000001</v>
      </c>
      <c r="Q32" s="458">
        <f>AVERAGE(Taulukko919[[#This Row],[Uudistuksen mukainen osuus työmarkkinatuesta, kotoutujia ei poistettu]:[Uudistuksen mukainen osuus työmarkkinatuesta, kotoutujat poistettu]])</f>
        <v>1038468.0825</v>
      </c>
      <c r="R32" s="458">
        <v>834977.57</v>
      </c>
      <c r="S32" s="467">
        <f>Taulukko919[[#This Row],[Uudistuksen mukainen osuus työmarkkinatuesta, keskiarvo]]-Taulukko919[[#This Row],[Nykytila, kuntien osuus työmarkkinatuesta]]</f>
        <v>203490.51250000007</v>
      </c>
    </row>
    <row r="33" spans="1:19">
      <c r="A33" s="456">
        <v>79</v>
      </c>
      <c r="B33" s="456" t="s">
        <v>33</v>
      </c>
      <c r="C33" s="457">
        <v>6703</v>
      </c>
      <c r="D33" s="458">
        <v>575366.51</v>
      </c>
      <c r="E33" s="458">
        <v>878108.27450000006</v>
      </c>
      <c r="F33" s="458">
        <f>Taulukko9[[#This Row],[Uudistuksen mukainen osuus työmarkkinatuesta*]]-Taulukko9[[#This Row],[Nykytila, kuntien osuus työmarkkinatuesta]]</f>
        <v>302741.76450000005</v>
      </c>
      <c r="G33" s="458">
        <v>24912.278999999999</v>
      </c>
      <c r="H33" s="458">
        <v>77685.699912199198</v>
      </c>
      <c r="I33" s="459">
        <f>Taulukko9[[#This Row],[Uudistuksen mukainen osuus työmarkkinatuesta*]]+Taulukko9[[#This Row],[Uudistuksen mukainen osuus peruspäivärahasta]]+Taulukko9[[#This Row],[Uudistuksen mukainen osuus ansiopäivärahasta]]</f>
        <v>980706.25341219921</v>
      </c>
      <c r="J33" s="467">
        <f>Taulukko9[[#This Row],[Uudistuksen mukainen rahoitusvastuu yhteensä]]-Taulukko9[[#This Row],[Nykytila, kuntien osuus työmarkkinatuesta]]</f>
        <v>405339.7434121992</v>
      </c>
      <c r="M33" s="456">
        <v>79</v>
      </c>
      <c r="N33" s="456" t="s">
        <v>33</v>
      </c>
      <c r="O33" s="458">
        <v>882099.86</v>
      </c>
      <c r="P33" s="458">
        <v>874116.68900000001</v>
      </c>
      <c r="Q33" s="458">
        <f>AVERAGE(Taulukko919[[#This Row],[Uudistuksen mukainen osuus työmarkkinatuesta, kotoutujia ei poistettu]:[Uudistuksen mukainen osuus työmarkkinatuesta, kotoutujat poistettu]])</f>
        <v>878108.27450000006</v>
      </c>
      <c r="R33" s="458">
        <v>575366.51</v>
      </c>
      <c r="S33" s="467">
        <f>Taulukko919[[#This Row],[Uudistuksen mukainen osuus työmarkkinatuesta, keskiarvo]]-Taulukko919[[#This Row],[Nykytila, kuntien osuus työmarkkinatuesta]]</f>
        <v>302741.76450000005</v>
      </c>
    </row>
    <row r="34" spans="1:19">
      <c r="A34" s="456">
        <v>81</v>
      </c>
      <c r="B34" s="456" t="s">
        <v>34</v>
      </c>
      <c r="C34" s="457">
        <v>2531</v>
      </c>
      <c r="D34" s="458">
        <v>143238.32999999999</v>
      </c>
      <c r="E34" s="458">
        <v>206567.64500000002</v>
      </c>
      <c r="F34" s="458">
        <f>Taulukko9[[#This Row],[Uudistuksen mukainen osuus työmarkkinatuesta*]]-Taulukko9[[#This Row],[Nykytila, kuntien osuus työmarkkinatuesta]]</f>
        <v>63329.315000000031</v>
      </c>
      <c r="G34" s="458">
        <v>17738.434000000001</v>
      </c>
      <c r="H34" s="458">
        <v>37292.850740016198</v>
      </c>
      <c r="I34" s="459">
        <f>Taulukko9[[#This Row],[Uudistuksen mukainen osuus työmarkkinatuesta*]]+Taulukko9[[#This Row],[Uudistuksen mukainen osuus peruspäivärahasta]]+Taulukko9[[#This Row],[Uudistuksen mukainen osuus ansiopäivärahasta]]</f>
        <v>261598.92974001623</v>
      </c>
      <c r="J34" s="467">
        <f>Taulukko9[[#This Row],[Uudistuksen mukainen rahoitusvastuu yhteensä]]-Taulukko9[[#This Row],[Nykytila, kuntien osuus työmarkkinatuesta]]</f>
        <v>118360.59974001625</v>
      </c>
      <c r="M34" s="456">
        <v>81</v>
      </c>
      <c r="N34" s="456" t="s">
        <v>34</v>
      </c>
      <c r="O34" s="458">
        <v>207359.106</v>
      </c>
      <c r="P34" s="458">
        <v>205776.18400000001</v>
      </c>
      <c r="Q34" s="458">
        <f>AVERAGE(Taulukko919[[#This Row],[Uudistuksen mukainen osuus työmarkkinatuesta, kotoutujia ei poistettu]:[Uudistuksen mukainen osuus työmarkkinatuesta, kotoutujat poistettu]])</f>
        <v>206567.64500000002</v>
      </c>
      <c r="R34" s="458">
        <v>143238.32999999999</v>
      </c>
      <c r="S34" s="467">
        <f>Taulukko919[[#This Row],[Uudistuksen mukainen osuus työmarkkinatuesta, keskiarvo]]-Taulukko919[[#This Row],[Nykytila, kuntien osuus työmarkkinatuesta]]</f>
        <v>63329.315000000031</v>
      </c>
    </row>
    <row r="35" spans="1:19">
      <c r="A35" s="456">
        <v>82</v>
      </c>
      <c r="B35" s="456" t="s">
        <v>35</v>
      </c>
      <c r="C35" s="457">
        <v>9371</v>
      </c>
      <c r="D35" s="458">
        <v>368071.97</v>
      </c>
      <c r="E35" s="458">
        <v>493967.96950000001</v>
      </c>
      <c r="F35" s="458">
        <f>Taulukko9[[#This Row],[Uudistuksen mukainen osuus työmarkkinatuesta*]]-Taulukko9[[#This Row],[Nykytila, kuntien osuus työmarkkinatuesta]]</f>
        <v>125895.99950000003</v>
      </c>
      <c r="G35" s="458">
        <v>15932.959000000001</v>
      </c>
      <c r="H35" s="458">
        <v>94070.381612722296</v>
      </c>
      <c r="I35" s="459">
        <f>Taulukko9[[#This Row],[Uudistuksen mukainen osuus työmarkkinatuesta*]]+Taulukko9[[#This Row],[Uudistuksen mukainen osuus peruspäivärahasta]]+Taulukko9[[#This Row],[Uudistuksen mukainen osuus ansiopäivärahasta]]</f>
        <v>603971.31011272222</v>
      </c>
      <c r="J35" s="467">
        <f>Taulukko9[[#This Row],[Uudistuksen mukainen rahoitusvastuu yhteensä]]-Taulukko9[[#This Row],[Nykytila, kuntien osuus työmarkkinatuesta]]</f>
        <v>235899.34011272225</v>
      </c>
      <c r="M35" s="456">
        <v>82</v>
      </c>
      <c r="N35" s="456" t="s">
        <v>35</v>
      </c>
      <c r="O35" s="458">
        <v>495621.95400000003</v>
      </c>
      <c r="P35" s="458">
        <v>492313.98499999999</v>
      </c>
      <c r="Q35" s="458">
        <f>AVERAGE(Taulukko919[[#This Row],[Uudistuksen mukainen osuus työmarkkinatuesta, kotoutujia ei poistettu]:[Uudistuksen mukainen osuus työmarkkinatuesta, kotoutujat poistettu]])</f>
        <v>493967.96950000001</v>
      </c>
      <c r="R35" s="458">
        <v>368071.97</v>
      </c>
      <c r="S35" s="467">
        <f>Taulukko919[[#This Row],[Uudistuksen mukainen osuus työmarkkinatuesta, keskiarvo]]-Taulukko919[[#This Row],[Nykytila, kuntien osuus työmarkkinatuesta]]</f>
        <v>125895.99950000003</v>
      </c>
    </row>
    <row r="36" spans="1:19">
      <c r="A36" s="456">
        <v>86</v>
      </c>
      <c r="B36" s="456" t="s">
        <v>36</v>
      </c>
      <c r="C36" s="457">
        <v>7998</v>
      </c>
      <c r="D36" s="458">
        <v>199880.57</v>
      </c>
      <c r="E36" s="458">
        <v>480727.29200000002</v>
      </c>
      <c r="F36" s="458">
        <f>Taulukko9[[#This Row],[Uudistuksen mukainen osuus työmarkkinatuesta*]]-Taulukko9[[#This Row],[Nykytila, kuntien osuus työmarkkinatuesta]]</f>
        <v>280846.72200000001</v>
      </c>
      <c r="G36" s="458">
        <v>32640.988000000001</v>
      </c>
      <c r="H36" s="458">
        <v>115596.46827694299</v>
      </c>
      <c r="I36" s="459">
        <f>Taulukko9[[#This Row],[Uudistuksen mukainen osuus työmarkkinatuesta*]]+Taulukko9[[#This Row],[Uudistuksen mukainen osuus peruspäivärahasta]]+Taulukko9[[#This Row],[Uudistuksen mukainen osuus ansiopäivärahasta]]</f>
        <v>628964.74827694299</v>
      </c>
      <c r="J36" s="467">
        <f>Taulukko9[[#This Row],[Uudistuksen mukainen rahoitusvastuu yhteensä]]-Taulukko9[[#This Row],[Nykytila, kuntien osuus työmarkkinatuesta]]</f>
        <v>429084.17827694298</v>
      </c>
      <c r="M36" s="456">
        <v>86</v>
      </c>
      <c r="N36" s="456" t="s">
        <v>36</v>
      </c>
      <c r="O36" s="458">
        <v>488536.30699999997</v>
      </c>
      <c r="P36" s="458">
        <v>472918.277</v>
      </c>
      <c r="Q36" s="458">
        <f>AVERAGE(Taulukko919[[#This Row],[Uudistuksen mukainen osuus työmarkkinatuesta, kotoutujia ei poistettu]:[Uudistuksen mukainen osuus työmarkkinatuesta, kotoutujat poistettu]])</f>
        <v>480727.29200000002</v>
      </c>
      <c r="R36" s="458">
        <v>199880.57</v>
      </c>
      <c r="S36" s="467">
        <f>Taulukko919[[#This Row],[Uudistuksen mukainen osuus työmarkkinatuesta, keskiarvo]]-Taulukko919[[#This Row],[Nykytila, kuntien osuus työmarkkinatuesta]]</f>
        <v>280846.72200000001</v>
      </c>
    </row>
    <row r="37" spans="1:19">
      <c r="A37" s="456">
        <v>90</v>
      </c>
      <c r="B37" s="456" t="s">
        <v>37</v>
      </c>
      <c r="C37" s="457">
        <v>3001</v>
      </c>
      <c r="D37" s="458">
        <v>222542.47</v>
      </c>
      <c r="E37" s="458">
        <v>294225.1165</v>
      </c>
      <c r="F37" s="458">
        <f>Taulukko9[[#This Row],[Uudistuksen mukainen osuus työmarkkinatuesta*]]-Taulukko9[[#This Row],[Nykytila, kuntien osuus työmarkkinatuesta]]</f>
        <v>71682.646500000003</v>
      </c>
      <c r="G37" s="458">
        <v>15098.24</v>
      </c>
      <c r="H37" s="458">
        <v>70901.755454146696</v>
      </c>
      <c r="I37" s="459">
        <f>Taulukko9[[#This Row],[Uudistuksen mukainen osuus työmarkkinatuesta*]]+Taulukko9[[#This Row],[Uudistuksen mukainen osuus peruspäivärahasta]]+Taulukko9[[#This Row],[Uudistuksen mukainen osuus ansiopäivärahasta]]</f>
        <v>380225.11195414671</v>
      </c>
      <c r="J37" s="467">
        <f>Taulukko9[[#This Row],[Uudistuksen mukainen rahoitusvastuu yhteensä]]-Taulukko9[[#This Row],[Nykytila, kuntien osuus työmarkkinatuesta]]</f>
        <v>157682.6419541467</v>
      </c>
      <c r="M37" s="456">
        <v>90</v>
      </c>
      <c r="N37" s="456" t="s">
        <v>37</v>
      </c>
      <c r="O37" s="458">
        <v>322875.15700000001</v>
      </c>
      <c r="P37" s="458">
        <v>265575.076</v>
      </c>
      <c r="Q37" s="458">
        <f>AVERAGE(Taulukko919[[#This Row],[Uudistuksen mukainen osuus työmarkkinatuesta, kotoutujia ei poistettu]:[Uudistuksen mukainen osuus työmarkkinatuesta, kotoutujat poistettu]])</f>
        <v>294225.1165</v>
      </c>
      <c r="R37" s="458">
        <v>222542.47</v>
      </c>
      <c r="S37" s="467">
        <f>Taulukko919[[#This Row],[Uudistuksen mukainen osuus työmarkkinatuesta, keskiarvo]]-Taulukko919[[#This Row],[Nykytila, kuntien osuus työmarkkinatuesta]]</f>
        <v>71682.646500000003</v>
      </c>
    </row>
    <row r="38" spans="1:19">
      <c r="A38" s="456">
        <v>91</v>
      </c>
      <c r="B38" s="456" t="s">
        <v>38</v>
      </c>
      <c r="C38" s="457">
        <v>674500</v>
      </c>
      <c r="D38" s="458">
        <v>89147887.530000001</v>
      </c>
      <c r="E38" s="458">
        <v>94035048.919499993</v>
      </c>
      <c r="F38" s="458">
        <f>Taulukko9[[#This Row],[Uudistuksen mukainen osuus työmarkkinatuesta*]]-Taulukko9[[#This Row],[Nykytila, kuntien osuus työmarkkinatuesta]]</f>
        <v>4887161.3894999921</v>
      </c>
      <c r="G38" s="458">
        <v>3539940.4550000001</v>
      </c>
      <c r="H38" s="458">
        <v>8922332.3157640193</v>
      </c>
      <c r="I38" s="459">
        <f>Taulukko9[[#This Row],[Uudistuksen mukainen osuus työmarkkinatuesta*]]+Taulukko9[[#This Row],[Uudistuksen mukainen osuus peruspäivärahasta]]+Taulukko9[[#This Row],[Uudistuksen mukainen osuus ansiopäivärahasta]]</f>
        <v>106497321.69026402</v>
      </c>
      <c r="J38" s="467">
        <f>Taulukko9[[#This Row],[Uudistuksen mukainen rahoitusvastuu yhteensä]]-Taulukko9[[#This Row],[Nykytila, kuntien osuus työmarkkinatuesta]]</f>
        <v>17349434.160264015</v>
      </c>
      <c r="M38" s="456">
        <v>91</v>
      </c>
      <c r="N38" s="456" t="s">
        <v>38</v>
      </c>
      <c r="O38" s="458">
        <v>97993039.143000007</v>
      </c>
      <c r="P38" s="458">
        <v>90077058.695999995</v>
      </c>
      <c r="Q38" s="458">
        <f>AVERAGE(Taulukko919[[#This Row],[Uudistuksen mukainen osuus työmarkkinatuesta, kotoutujia ei poistettu]:[Uudistuksen mukainen osuus työmarkkinatuesta, kotoutujat poistettu]])</f>
        <v>94035048.919499993</v>
      </c>
      <c r="R38" s="458">
        <v>89147887.530000001</v>
      </c>
      <c r="S38" s="467">
        <f>Taulukko919[[#This Row],[Uudistuksen mukainen osuus työmarkkinatuesta, keskiarvo]]-Taulukko919[[#This Row],[Nykytila, kuntien osuus työmarkkinatuesta]]</f>
        <v>4887161.3894999921</v>
      </c>
    </row>
    <row r="39" spans="1:19">
      <c r="A39" s="456">
        <v>92</v>
      </c>
      <c r="B39" s="456" t="s">
        <v>39</v>
      </c>
      <c r="C39" s="457">
        <v>247443</v>
      </c>
      <c r="D39" s="458">
        <v>29193759.960000001</v>
      </c>
      <c r="E39" s="458">
        <v>34892619.906000003</v>
      </c>
      <c r="F39" s="458">
        <f>Taulukko9[[#This Row],[Uudistuksen mukainen osuus työmarkkinatuesta*]]-Taulukko9[[#This Row],[Nykytila, kuntien osuus työmarkkinatuesta]]</f>
        <v>5698859.9460000023</v>
      </c>
      <c r="G39" s="458">
        <v>1363121.0460000001</v>
      </c>
      <c r="H39" s="458">
        <v>3103993.1959998002</v>
      </c>
      <c r="I39" s="459">
        <f>Taulukko9[[#This Row],[Uudistuksen mukainen osuus työmarkkinatuesta*]]+Taulukko9[[#This Row],[Uudistuksen mukainen osuus peruspäivärahasta]]+Taulukko9[[#This Row],[Uudistuksen mukainen osuus ansiopäivärahasta]]</f>
        <v>39359734.147999808</v>
      </c>
      <c r="J39" s="467">
        <f>Taulukko9[[#This Row],[Uudistuksen mukainen rahoitusvastuu yhteensä]]-Taulukko9[[#This Row],[Nykytila, kuntien osuus työmarkkinatuesta]]</f>
        <v>10165974.187999807</v>
      </c>
      <c r="M39" s="456">
        <v>92</v>
      </c>
      <c r="N39" s="456" t="s">
        <v>39</v>
      </c>
      <c r="O39" s="458">
        <v>37261163.862000003</v>
      </c>
      <c r="P39" s="458">
        <v>32524075.949999999</v>
      </c>
      <c r="Q39" s="458">
        <f>AVERAGE(Taulukko919[[#This Row],[Uudistuksen mukainen osuus työmarkkinatuesta, kotoutujia ei poistettu]:[Uudistuksen mukainen osuus työmarkkinatuesta, kotoutujat poistettu]])</f>
        <v>34892619.906000003</v>
      </c>
      <c r="R39" s="458">
        <v>29193759.960000001</v>
      </c>
      <c r="S39" s="467">
        <f>Taulukko919[[#This Row],[Uudistuksen mukainen osuus työmarkkinatuesta, keskiarvo]]-Taulukko919[[#This Row],[Nykytila, kuntien osuus työmarkkinatuesta]]</f>
        <v>5698859.9460000023</v>
      </c>
    </row>
    <row r="40" spans="1:19">
      <c r="A40" s="456">
        <v>97</v>
      </c>
      <c r="B40" s="456" t="s">
        <v>40</v>
      </c>
      <c r="C40" s="457">
        <v>2062</v>
      </c>
      <c r="D40" s="458">
        <v>122630.54</v>
      </c>
      <c r="E40" s="458">
        <v>142042.33000000002</v>
      </c>
      <c r="F40" s="458">
        <f>Taulukko9[[#This Row],[Uudistuksen mukainen osuus työmarkkinatuesta*]]-Taulukko9[[#This Row],[Nykytila, kuntien osuus työmarkkinatuesta]]</f>
        <v>19411.790000000023</v>
      </c>
      <c r="G40" s="458">
        <v>12220.28</v>
      </c>
      <c r="H40" s="458">
        <v>39505.746863066001</v>
      </c>
      <c r="I40" s="459">
        <f>Taulukko9[[#This Row],[Uudistuksen mukainen osuus työmarkkinatuesta*]]+Taulukko9[[#This Row],[Uudistuksen mukainen osuus peruspäivärahasta]]+Taulukko9[[#This Row],[Uudistuksen mukainen osuus ansiopäivärahasta]]</f>
        <v>193768.35686306603</v>
      </c>
      <c r="J40" s="467">
        <f>Taulukko9[[#This Row],[Uudistuksen mukainen rahoitusvastuu yhteensä]]-Taulukko9[[#This Row],[Nykytila, kuntien osuus työmarkkinatuesta]]</f>
        <v>71137.816863066037</v>
      </c>
      <c r="M40" s="456">
        <v>97</v>
      </c>
      <c r="N40" s="456" t="s">
        <v>40</v>
      </c>
      <c r="O40" s="458">
        <v>145202.144</v>
      </c>
      <c r="P40" s="458">
        <v>138882.516</v>
      </c>
      <c r="Q40" s="458">
        <f>AVERAGE(Taulukko919[[#This Row],[Uudistuksen mukainen osuus työmarkkinatuesta, kotoutujia ei poistettu]:[Uudistuksen mukainen osuus työmarkkinatuesta, kotoutujat poistettu]])</f>
        <v>142042.33000000002</v>
      </c>
      <c r="R40" s="458">
        <v>122630.54</v>
      </c>
      <c r="S40" s="467">
        <f>Taulukko919[[#This Row],[Uudistuksen mukainen osuus työmarkkinatuesta, keskiarvo]]-Taulukko919[[#This Row],[Nykytila, kuntien osuus työmarkkinatuesta]]</f>
        <v>19411.790000000023</v>
      </c>
    </row>
    <row r="41" spans="1:19">
      <c r="A41" s="456">
        <v>98</v>
      </c>
      <c r="B41" s="456" t="s">
        <v>41</v>
      </c>
      <c r="C41" s="457">
        <v>22885</v>
      </c>
      <c r="D41" s="458">
        <v>1206970.95</v>
      </c>
      <c r="E41" s="458">
        <v>1434692.3730000001</v>
      </c>
      <c r="F41" s="458">
        <f>Taulukko9[[#This Row],[Uudistuksen mukainen osuus työmarkkinatuesta*]]-Taulukko9[[#This Row],[Nykytila, kuntien osuus työmarkkinatuesta]]</f>
        <v>227721.42300000018</v>
      </c>
      <c r="G41" s="458">
        <v>101220.36900000001</v>
      </c>
      <c r="H41" s="458">
        <v>392335.61061503098</v>
      </c>
      <c r="I41" s="459">
        <f>Taulukko9[[#This Row],[Uudistuksen mukainen osuus työmarkkinatuesta*]]+Taulukko9[[#This Row],[Uudistuksen mukainen osuus peruspäivärahasta]]+Taulukko9[[#This Row],[Uudistuksen mukainen osuus ansiopäivärahasta]]</f>
        <v>1928248.3526150309</v>
      </c>
      <c r="J41" s="467">
        <f>Taulukko9[[#This Row],[Uudistuksen mukainen rahoitusvastuu yhteensä]]-Taulukko9[[#This Row],[Nykytila, kuntien osuus työmarkkinatuesta]]</f>
        <v>721277.40261503099</v>
      </c>
      <c r="M41" s="456">
        <v>98</v>
      </c>
      <c r="N41" s="456" t="s">
        <v>41</v>
      </c>
      <c r="O41" s="458">
        <v>1455773.0390000001</v>
      </c>
      <c r="P41" s="458">
        <v>1413611.7069999999</v>
      </c>
      <c r="Q41" s="458">
        <f>AVERAGE(Taulukko919[[#This Row],[Uudistuksen mukainen osuus työmarkkinatuesta, kotoutujia ei poistettu]:[Uudistuksen mukainen osuus työmarkkinatuesta, kotoutujat poistettu]])</f>
        <v>1434692.3730000001</v>
      </c>
      <c r="R41" s="458">
        <v>1206970.95</v>
      </c>
      <c r="S41" s="467">
        <f>Taulukko919[[#This Row],[Uudistuksen mukainen osuus työmarkkinatuesta, keskiarvo]]-Taulukko919[[#This Row],[Nykytila, kuntien osuus työmarkkinatuesta]]</f>
        <v>227721.42300000018</v>
      </c>
    </row>
    <row r="42" spans="1:19">
      <c r="A42" s="456">
        <v>102</v>
      </c>
      <c r="B42" s="456" t="s">
        <v>42</v>
      </c>
      <c r="C42" s="457">
        <v>9646</v>
      </c>
      <c r="D42" s="458">
        <v>347410.4</v>
      </c>
      <c r="E42" s="458">
        <v>748465.09600000002</v>
      </c>
      <c r="F42" s="458">
        <f>Taulukko9[[#This Row],[Uudistuksen mukainen osuus työmarkkinatuesta*]]-Taulukko9[[#This Row],[Nykytila, kuntien osuus työmarkkinatuesta]]</f>
        <v>401054.696</v>
      </c>
      <c r="G42" s="458">
        <v>26051.142</v>
      </c>
      <c r="H42" s="458">
        <v>114520.298679404</v>
      </c>
      <c r="I42" s="459">
        <f>Taulukko9[[#This Row],[Uudistuksen mukainen osuus työmarkkinatuesta*]]+Taulukko9[[#This Row],[Uudistuksen mukainen osuus peruspäivärahasta]]+Taulukko9[[#This Row],[Uudistuksen mukainen osuus ansiopäivärahasta]]</f>
        <v>889036.53667940397</v>
      </c>
      <c r="J42" s="467">
        <f>Taulukko9[[#This Row],[Uudistuksen mukainen rahoitusvastuu yhteensä]]-Taulukko9[[#This Row],[Nykytila, kuntien osuus työmarkkinatuesta]]</f>
        <v>541626.13667940395</v>
      </c>
      <c r="M42" s="456">
        <v>102</v>
      </c>
      <c r="N42" s="456" t="s">
        <v>42</v>
      </c>
      <c r="O42" s="458">
        <v>752285.66399999999</v>
      </c>
      <c r="P42" s="458">
        <v>744644.52800000005</v>
      </c>
      <c r="Q42" s="458">
        <f>AVERAGE(Taulukko919[[#This Row],[Uudistuksen mukainen osuus työmarkkinatuesta, kotoutujia ei poistettu]:[Uudistuksen mukainen osuus työmarkkinatuesta, kotoutujat poistettu]])</f>
        <v>748465.09600000002</v>
      </c>
      <c r="R42" s="458">
        <v>347410.4</v>
      </c>
      <c r="S42" s="467">
        <f>Taulukko919[[#This Row],[Uudistuksen mukainen osuus työmarkkinatuesta, keskiarvo]]-Taulukko919[[#This Row],[Nykytila, kuntien osuus työmarkkinatuesta]]</f>
        <v>401054.696</v>
      </c>
    </row>
    <row r="43" spans="1:19">
      <c r="A43" s="456">
        <v>103</v>
      </c>
      <c r="B43" s="456" t="s">
        <v>43</v>
      </c>
      <c r="C43" s="457">
        <v>2125</v>
      </c>
      <c r="D43" s="458">
        <v>145204.24</v>
      </c>
      <c r="E43" s="458">
        <v>226024.02600000001</v>
      </c>
      <c r="F43" s="458">
        <f>Taulukko9[[#This Row],[Uudistuksen mukainen osuus työmarkkinatuesta*]]-Taulukko9[[#This Row],[Nykytila, kuntien osuus työmarkkinatuesta]]</f>
        <v>80819.786000000022</v>
      </c>
      <c r="G43" s="458">
        <v>4419.6019999999999</v>
      </c>
      <c r="H43" s="458">
        <v>35131.863682639203</v>
      </c>
      <c r="I43" s="459">
        <f>Taulukko9[[#This Row],[Uudistuksen mukainen osuus työmarkkinatuesta*]]+Taulukko9[[#This Row],[Uudistuksen mukainen osuus peruspäivärahasta]]+Taulukko9[[#This Row],[Uudistuksen mukainen osuus ansiopäivärahasta]]</f>
        <v>265575.49168263923</v>
      </c>
      <c r="J43" s="467">
        <f>Taulukko9[[#This Row],[Uudistuksen mukainen rahoitusvastuu yhteensä]]-Taulukko9[[#This Row],[Nykytila, kuntien osuus työmarkkinatuesta]]</f>
        <v>120371.25168263924</v>
      </c>
      <c r="M43" s="456">
        <v>103</v>
      </c>
      <c r="N43" s="456" t="s">
        <v>43</v>
      </c>
      <c r="O43" s="458">
        <v>226523.82399999999</v>
      </c>
      <c r="P43" s="458">
        <v>225524.228</v>
      </c>
      <c r="Q43" s="458">
        <f>AVERAGE(Taulukko919[[#This Row],[Uudistuksen mukainen osuus työmarkkinatuesta, kotoutujia ei poistettu]:[Uudistuksen mukainen osuus työmarkkinatuesta, kotoutujat poistettu]])</f>
        <v>226024.02600000001</v>
      </c>
      <c r="R43" s="458">
        <v>145204.24</v>
      </c>
      <c r="S43" s="467">
        <f>Taulukko919[[#This Row],[Uudistuksen mukainen osuus työmarkkinatuesta, keskiarvo]]-Taulukko919[[#This Row],[Nykytila, kuntien osuus työmarkkinatuesta]]</f>
        <v>80819.786000000022</v>
      </c>
    </row>
    <row r="44" spans="1:19">
      <c r="A44" s="456">
        <v>105</v>
      </c>
      <c r="B44" s="456" t="s">
        <v>44</v>
      </c>
      <c r="C44" s="457">
        <v>2063</v>
      </c>
      <c r="D44" s="458">
        <v>131371.37</v>
      </c>
      <c r="E44" s="458">
        <v>187271.62400000001</v>
      </c>
      <c r="F44" s="458">
        <f>Taulukko9[[#This Row],[Uudistuksen mukainen osuus työmarkkinatuesta*]]-Taulukko9[[#This Row],[Nykytila, kuntien osuus työmarkkinatuesta]]</f>
        <v>55900.254000000015</v>
      </c>
      <c r="G44" s="458">
        <v>9699.4509999999991</v>
      </c>
      <c r="H44" s="458">
        <v>47131.712462810501</v>
      </c>
      <c r="I44" s="459">
        <f>Taulukko9[[#This Row],[Uudistuksen mukainen osuus työmarkkinatuesta*]]+Taulukko9[[#This Row],[Uudistuksen mukainen osuus peruspäivärahasta]]+Taulukko9[[#This Row],[Uudistuksen mukainen osuus ansiopäivärahasta]]</f>
        <v>244102.78746281052</v>
      </c>
      <c r="J44" s="467">
        <f>Taulukko9[[#This Row],[Uudistuksen mukainen rahoitusvastuu yhteensä]]-Taulukko9[[#This Row],[Nykytila, kuntien osuus työmarkkinatuesta]]</f>
        <v>112731.41746281052</v>
      </c>
      <c r="M44" s="456">
        <v>105</v>
      </c>
      <c r="N44" s="456" t="s">
        <v>44</v>
      </c>
      <c r="O44" s="458">
        <v>189905.23199999999</v>
      </c>
      <c r="P44" s="458">
        <v>184638.016</v>
      </c>
      <c r="Q44" s="458">
        <f>AVERAGE(Taulukko919[[#This Row],[Uudistuksen mukainen osuus työmarkkinatuesta, kotoutujia ei poistettu]:[Uudistuksen mukainen osuus työmarkkinatuesta, kotoutujat poistettu]])</f>
        <v>187271.62400000001</v>
      </c>
      <c r="R44" s="458">
        <v>131371.37</v>
      </c>
      <c r="S44" s="467">
        <f>Taulukko919[[#This Row],[Uudistuksen mukainen osuus työmarkkinatuesta, keskiarvo]]-Taulukko919[[#This Row],[Nykytila, kuntien osuus työmarkkinatuesta]]</f>
        <v>55900.254000000015</v>
      </c>
    </row>
    <row r="45" spans="1:19">
      <c r="A45" s="456">
        <v>106</v>
      </c>
      <c r="B45" s="456" t="s">
        <v>45</v>
      </c>
      <c r="C45" s="457">
        <v>46901</v>
      </c>
      <c r="D45" s="458">
        <v>4705739.18</v>
      </c>
      <c r="E45" s="458">
        <v>5995045.1494999994</v>
      </c>
      <c r="F45" s="458">
        <f>Taulukko9[[#This Row],[Uudistuksen mukainen osuus työmarkkinatuesta*]]-Taulukko9[[#This Row],[Nykytila, kuntien osuus työmarkkinatuesta]]</f>
        <v>1289305.9694999997</v>
      </c>
      <c r="G45" s="458">
        <v>263444.67099999997</v>
      </c>
      <c r="H45" s="458">
        <v>614843.79977557599</v>
      </c>
      <c r="I45" s="459">
        <f>Taulukko9[[#This Row],[Uudistuksen mukainen osuus työmarkkinatuesta*]]+Taulukko9[[#This Row],[Uudistuksen mukainen osuus peruspäivärahasta]]+Taulukko9[[#This Row],[Uudistuksen mukainen osuus ansiopäivärahasta]]</f>
        <v>6873333.6202755757</v>
      </c>
      <c r="J45" s="467">
        <f>Taulukko9[[#This Row],[Uudistuksen mukainen rahoitusvastuu yhteensä]]-Taulukko9[[#This Row],[Nykytila, kuntien osuus työmarkkinatuesta]]</f>
        <v>2167594.440275576</v>
      </c>
      <c r="M45" s="456">
        <v>106</v>
      </c>
      <c r="N45" s="456" t="s">
        <v>45</v>
      </c>
      <c r="O45" s="458">
        <v>6147570.574</v>
      </c>
      <c r="P45" s="458">
        <v>5842519.7249999996</v>
      </c>
      <c r="Q45" s="458">
        <f>AVERAGE(Taulukko919[[#This Row],[Uudistuksen mukainen osuus työmarkkinatuesta, kotoutujia ei poistettu]:[Uudistuksen mukainen osuus työmarkkinatuesta, kotoutujat poistettu]])</f>
        <v>5995045.1494999994</v>
      </c>
      <c r="R45" s="458">
        <v>4705739.18</v>
      </c>
      <c r="S45" s="467">
        <f>Taulukko919[[#This Row],[Uudistuksen mukainen osuus työmarkkinatuesta, keskiarvo]]-Taulukko919[[#This Row],[Nykytila, kuntien osuus työmarkkinatuesta]]</f>
        <v>1289305.9694999997</v>
      </c>
    </row>
    <row r="46" spans="1:19">
      <c r="A46" s="456">
        <v>108</v>
      </c>
      <c r="B46" s="456" t="s">
        <v>46</v>
      </c>
      <c r="C46" s="457">
        <v>10319</v>
      </c>
      <c r="D46" s="458">
        <v>518557.34</v>
      </c>
      <c r="E46" s="458">
        <v>720728.3885</v>
      </c>
      <c r="F46" s="458">
        <f>Taulukko9[[#This Row],[Uudistuksen mukainen osuus työmarkkinatuesta*]]-Taulukko9[[#This Row],[Nykytila, kuntien osuus työmarkkinatuesta]]</f>
        <v>202171.04849999998</v>
      </c>
      <c r="G46" s="458">
        <v>42802.538</v>
      </c>
      <c r="H46" s="458">
        <v>141993.579001957</v>
      </c>
      <c r="I46" s="459">
        <f>Taulukko9[[#This Row],[Uudistuksen mukainen osuus työmarkkinatuesta*]]+Taulukko9[[#This Row],[Uudistuksen mukainen osuus peruspäivärahasta]]+Taulukko9[[#This Row],[Uudistuksen mukainen osuus ansiopäivärahasta]]</f>
        <v>905524.50550195703</v>
      </c>
      <c r="J46" s="467">
        <f>Taulukko9[[#This Row],[Uudistuksen mukainen rahoitusvastuu yhteensä]]-Taulukko9[[#This Row],[Nykytila, kuntien osuus työmarkkinatuesta]]</f>
        <v>386967.165501957</v>
      </c>
      <c r="M46" s="456">
        <v>108</v>
      </c>
      <c r="N46" s="456" t="s">
        <v>46</v>
      </c>
      <c r="O46" s="458">
        <v>724740.02500000002</v>
      </c>
      <c r="P46" s="458">
        <v>716716.75199999998</v>
      </c>
      <c r="Q46" s="458">
        <f>AVERAGE(Taulukko919[[#This Row],[Uudistuksen mukainen osuus työmarkkinatuesta, kotoutujia ei poistettu]:[Uudistuksen mukainen osuus työmarkkinatuesta, kotoutujat poistettu]])</f>
        <v>720728.3885</v>
      </c>
      <c r="R46" s="458">
        <v>518557.34</v>
      </c>
      <c r="S46" s="467">
        <f>Taulukko919[[#This Row],[Uudistuksen mukainen osuus työmarkkinatuesta, keskiarvo]]-Taulukko919[[#This Row],[Nykytila, kuntien osuus työmarkkinatuesta]]</f>
        <v>202171.04849999998</v>
      </c>
    </row>
    <row r="47" spans="1:19">
      <c r="A47" s="456">
        <v>109</v>
      </c>
      <c r="B47" s="456" t="s">
        <v>47</v>
      </c>
      <c r="C47" s="457">
        <v>68319</v>
      </c>
      <c r="D47" s="458">
        <v>6705550.2300000004</v>
      </c>
      <c r="E47" s="458">
        <v>8074965.4955000002</v>
      </c>
      <c r="F47" s="458">
        <f>Taulukko9[[#This Row],[Uudistuksen mukainen osuus työmarkkinatuesta*]]-Taulukko9[[#This Row],[Nykytila, kuntien osuus työmarkkinatuesta]]</f>
        <v>1369415.2654999997</v>
      </c>
      <c r="G47" s="458">
        <v>284564.10399999999</v>
      </c>
      <c r="H47" s="458">
        <v>860001.24181852199</v>
      </c>
      <c r="I47" s="459">
        <f>Taulukko9[[#This Row],[Uudistuksen mukainen osuus työmarkkinatuesta*]]+Taulukko9[[#This Row],[Uudistuksen mukainen osuus peruspäivärahasta]]+Taulukko9[[#This Row],[Uudistuksen mukainen osuus ansiopäivärahasta]]</f>
        <v>9219530.8413185216</v>
      </c>
      <c r="J47" s="467">
        <f>Taulukko9[[#This Row],[Uudistuksen mukainen rahoitusvastuu yhteensä]]-Taulukko9[[#This Row],[Nykytila, kuntien osuus työmarkkinatuesta]]</f>
        <v>2513980.6113185212</v>
      </c>
      <c r="M47" s="456">
        <v>109</v>
      </c>
      <c r="N47" s="456" t="s">
        <v>47</v>
      </c>
      <c r="O47" s="458">
        <v>8344277.0980000002</v>
      </c>
      <c r="P47" s="458">
        <v>7805653.8930000002</v>
      </c>
      <c r="Q47" s="458">
        <f>AVERAGE(Taulukko919[[#This Row],[Uudistuksen mukainen osuus työmarkkinatuesta, kotoutujia ei poistettu]:[Uudistuksen mukainen osuus työmarkkinatuesta, kotoutujat poistettu]])</f>
        <v>8074965.4955000002</v>
      </c>
      <c r="R47" s="458">
        <v>6705550.2300000004</v>
      </c>
      <c r="S47" s="467">
        <f>Taulukko919[[#This Row],[Uudistuksen mukainen osuus työmarkkinatuesta, keskiarvo]]-Taulukko919[[#This Row],[Nykytila, kuntien osuus työmarkkinatuesta]]</f>
        <v>1369415.2654999997</v>
      </c>
    </row>
    <row r="48" spans="1:19">
      <c r="A48" s="456">
        <v>111</v>
      </c>
      <c r="B48" s="456" t="s">
        <v>48</v>
      </c>
      <c r="C48" s="457">
        <v>17953</v>
      </c>
      <c r="D48" s="458">
        <v>1816834.4</v>
      </c>
      <c r="E48" s="458">
        <v>1918429.7760000001</v>
      </c>
      <c r="F48" s="458">
        <f>Taulukko9[[#This Row],[Uudistuksen mukainen osuus työmarkkinatuesta*]]-Taulukko9[[#This Row],[Nykytila, kuntien osuus työmarkkinatuesta]]</f>
        <v>101595.37600000016</v>
      </c>
      <c r="G48" s="458">
        <v>80184.341</v>
      </c>
      <c r="H48" s="458">
        <v>398530.96338950098</v>
      </c>
      <c r="I48" s="459">
        <f>Taulukko9[[#This Row],[Uudistuksen mukainen osuus työmarkkinatuesta*]]+Taulukko9[[#This Row],[Uudistuksen mukainen osuus peruspäivärahasta]]+Taulukko9[[#This Row],[Uudistuksen mukainen osuus ansiopäivärahasta]]</f>
        <v>2397145.0803895011</v>
      </c>
      <c r="J48" s="467">
        <f>Taulukko9[[#This Row],[Uudistuksen mukainen rahoitusvastuu yhteensä]]-Taulukko9[[#This Row],[Nykytila, kuntien osuus työmarkkinatuesta]]</f>
        <v>580310.68038950115</v>
      </c>
      <c r="M48" s="456">
        <v>111</v>
      </c>
      <c r="N48" s="456" t="s">
        <v>48</v>
      </c>
      <c r="O48" s="458">
        <v>1934303.4269999999</v>
      </c>
      <c r="P48" s="458">
        <v>1902556.125</v>
      </c>
      <c r="Q48" s="458">
        <f>AVERAGE(Taulukko919[[#This Row],[Uudistuksen mukainen osuus työmarkkinatuesta, kotoutujia ei poistettu]:[Uudistuksen mukainen osuus työmarkkinatuesta, kotoutujat poistettu]])</f>
        <v>1918429.7760000001</v>
      </c>
      <c r="R48" s="458">
        <v>1816834.4</v>
      </c>
      <c r="S48" s="467">
        <f>Taulukko919[[#This Row],[Uudistuksen mukainen osuus työmarkkinatuesta, keskiarvo]]-Taulukko919[[#This Row],[Nykytila, kuntien osuus työmarkkinatuesta]]</f>
        <v>101595.37600000016</v>
      </c>
    </row>
    <row r="49" spans="1:19">
      <c r="A49" s="456">
        <v>139</v>
      </c>
      <c r="B49" s="456" t="s">
        <v>49</v>
      </c>
      <c r="C49" s="457">
        <v>9766</v>
      </c>
      <c r="D49" s="458">
        <v>477132.59</v>
      </c>
      <c r="E49" s="458">
        <v>746900.31450000009</v>
      </c>
      <c r="F49" s="458">
        <f>Taulukko9[[#This Row],[Uudistuksen mukainen osuus työmarkkinatuesta*]]-Taulukko9[[#This Row],[Nykytila, kuntien osuus työmarkkinatuesta]]</f>
        <v>269767.72450000007</v>
      </c>
      <c r="G49" s="458">
        <v>30805.420999999998</v>
      </c>
      <c r="H49" s="458">
        <v>251033.052168041</v>
      </c>
      <c r="I49" s="459">
        <f>Taulukko9[[#This Row],[Uudistuksen mukainen osuus työmarkkinatuesta*]]+Taulukko9[[#This Row],[Uudistuksen mukainen osuus peruspäivärahasta]]+Taulukko9[[#This Row],[Uudistuksen mukainen osuus ansiopäivärahasta]]</f>
        <v>1028738.7876680411</v>
      </c>
      <c r="J49" s="467">
        <f>Taulukko9[[#This Row],[Uudistuksen mukainen rahoitusvastuu yhteensä]]-Taulukko9[[#This Row],[Nykytila, kuntien osuus työmarkkinatuesta]]</f>
        <v>551606.1976680411</v>
      </c>
      <c r="M49" s="456">
        <v>139</v>
      </c>
      <c r="N49" s="456" t="s">
        <v>49</v>
      </c>
      <c r="O49" s="458">
        <v>751854.58200000005</v>
      </c>
      <c r="P49" s="458">
        <v>741946.04700000002</v>
      </c>
      <c r="Q49" s="458">
        <f>AVERAGE(Taulukko919[[#This Row],[Uudistuksen mukainen osuus työmarkkinatuesta, kotoutujia ei poistettu]:[Uudistuksen mukainen osuus työmarkkinatuesta, kotoutujat poistettu]])</f>
        <v>746900.31450000009</v>
      </c>
      <c r="R49" s="458">
        <v>477132.59</v>
      </c>
      <c r="S49" s="467">
        <f>Taulukko919[[#This Row],[Uudistuksen mukainen osuus työmarkkinatuesta, keskiarvo]]-Taulukko919[[#This Row],[Nykytila, kuntien osuus työmarkkinatuesta]]</f>
        <v>269767.72450000007</v>
      </c>
    </row>
    <row r="50" spans="1:19">
      <c r="A50" s="456">
        <v>140</v>
      </c>
      <c r="B50" s="456" t="s">
        <v>50</v>
      </c>
      <c r="C50" s="457">
        <v>20618</v>
      </c>
      <c r="D50" s="458">
        <v>1737750.92</v>
      </c>
      <c r="E50" s="458">
        <v>2062082.537</v>
      </c>
      <c r="F50" s="458">
        <f>Taulukko9[[#This Row],[Uudistuksen mukainen osuus työmarkkinatuesta*]]-Taulukko9[[#This Row],[Nykytila, kuntien osuus työmarkkinatuesta]]</f>
        <v>324331.61700000009</v>
      </c>
      <c r="G50" s="458">
        <v>84989.994999999995</v>
      </c>
      <c r="H50" s="458">
        <v>368863.82267979399</v>
      </c>
      <c r="I50" s="459">
        <f>Taulukko9[[#This Row],[Uudistuksen mukainen osuus työmarkkinatuesta*]]+Taulukko9[[#This Row],[Uudistuksen mukainen osuus peruspäivärahasta]]+Taulukko9[[#This Row],[Uudistuksen mukainen osuus ansiopäivärahasta]]</f>
        <v>2515936.3546797941</v>
      </c>
      <c r="J50" s="467">
        <f>Taulukko9[[#This Row],[Uudistuksen mukainen rahoitusvastuu yhteensä]]-Taulukko9[[#This Row],[Nykytila, kuntien osuus työmarkkinatuesta]]</f>
        <v>778185.43467979413</v>
      </c>
      <c r="M50" s="456">
        <v>140</v>
      </c>
      <c r="N50" s="456" t="s">
        <v>50</v>
      </c>
      <c r="O50" s="458">
        <v>2117181.858</v>
      </c>
      <c r="P50" s="458">
        <v>2006983.216</v>
      </c>
      <c r="Q50" s="458">
        <f>AVERAGE(Taulukko919[[#This Row],[Uudistuksen mukainen osuus työmarkkinatuesta, kotoutujia ei poistettu]:[Uudistuksen mukainen osuus työmarkkinatuesta, kotoutujat poistettu]])</f>
        <v>2062082.537</v>
      </c>
      <c r="R50" s="458">
        <v>1737750.92</v>
      </c>
      <c r="S50" s="467">
        <f>Taulukko919[[#This Row],[Uudistuksen mukainen osuus työmarkkinatuesta, keskiarvo]]-Taulukko919[[#This Row],[Nykytila, kuntien osuus työmarkkinatuesta]]</f>
        <v>324331.61700000009</v>
      </c>
    </row>
    <row r="51" spans="1:19">
      <c r="A51" s="456">
        <v>142</v>
      </c>
      <c r="B51" s="456" t="s">
        <v>51</v>
      </c>
      <c r="C51" s="457">
        <v>6444</v>
      </c>
      <c r="D51" s="458">
        <v>360678.12</v>
      </c>
      <c r="E51" s="458">
        <v>429913.45799999998</v>
      </c>
      <c r="F51" s="458">
        <f>Taulukko9[[#This Row],[Uudistuksen mukainen osuus työmarkkinatuesta*]]-Taulukko9[[#This Row],[Nykytila, kuntien osuus työmarkkinatuesta]]</f>
        <v>69235.337999999989</v>
      </c>
      <c r="G51" s="458">
        <v>24654.154999999999</v>
      </c>
      <c r="H51" s="458">
        <v>88887.379915914702</v>
      </c>
      <c r="I51" s="459">
        <f>Taulukko9[[#This Row],[Uudistuksen mukainen osuus työmarkkinatuesta*]]+Taulukko9[[#This Row],[Uudistuksen mukainen osuus peruspäivärahasta]]+Taulukko9[[#This Row],[Uudistuksen mukainen osuus ansiopäivärahasta]]</f>
        <v>543454.99291591474</v>
      </c>
      <c r="J51" s="467">
        <f>Taulukko9[[#This Row],[Uudistuksen mukainen rahoitusvastuu yhteensä]]-Taulukko9[[#This Row],[Nykytila, kuntien osuus työmarkkinatuesta]]</f>
        <v>182776.87291591475</v>
      </c>
      <c r="M51" s="456">
        <v>142</v>
      </c>
      <c r="N51" s="456" t="s">
        <v>51</v>
      </c>
      <c r="O51" s="458">
        <v>436255.071</v>
      </c>
      <c r="P51" s="458">
        <v>423571.84499999997</v>
      </c>
      <c r="Q51" s="458">
        <f>AVERAGE(Taulukko919[[#This Row],[Uudistuksen mukainen osuus työmarkkinatuesta, kotoutujia ei poistettu]:[Uudistuksen mukainen osuus työmarkkinatuesta, kotoutujat poistettu]])</f>
        <v>429913.45799999998</v>
      </c>
      <c r="R51" s="458">
        <v>360678.12</v>
      </c>
      <c r="S51" s="467">
        <f>Taulukko919[[#This Row],[Uudistuksen mukainen osuus työmarkkinatuesta, keskiarvo]]-Taulukko919[[#This Row],[Nykytila, kuntien osuus työmarkkinatuesta]]</f>
        <v>69235.337999999989</v>
      </c>
    </row>
    <row r="52" spans="1:19">
      <c r="A52" s="456">
        <v>143</v>
      </c>
      <c r="B52" s="456" t="s">
        <v>52</v>
      </c>
      <c r="C52" s="457">
        <v>6850</v>
      </c>
      <c r="D52" s="458">
        <v>272777.73</v>
      </c>
      <c r="E52" s="458">
        <v>476320.94649999996</v>
      </c>
      <c r="F52" s="458">
        <f>Taulukko9[[#This Row],[Uudistuksen mukainen osuus työmarkkinatuesta*]]-Taulukko9[[#This Row],[Nykytila, kuntien osuus työmarkkinatuesta]]</f>
        <v>203543.21649999998</v>
      </c>
      <c r="G52" s="458">
        <v>31924.499</v>
      </c>
      <c r="H52" s="458">
        <v>98809.932363377098</v>
      </c>
      <c r="I52" s="459">
        <f>Taulukko9[[#This Row],[Uudistuksen mukainen osuus työmarkkinatuesta*]]+Taulukko9[[#This Row],[Uudistuksen mukainen osuus peruspäivärahasta]]+Taulukko9[[#This Row],[Uudistuksen mukainen osuus ansiopäivärahasta]]</f>
        <v>607055.3778633771</v>
      </c>
      <c r="J52" s="467">
        <f>Taulukko9[[#This Row],[Uudistuksen mukainen rahoitusvastuu yhteensä]]-Taulukko9[[#This Row],[Nykytila, kuntien osuus työmarkkinatuesta]]</f>
        <v>334277.64786337712</v>
      </c>
      <c r="M52" s="456">
        <v>143</v>
      </c>
      <c r="N52" s="456" t="s">
        <v>52</v>
      </c>
      <c r="O52" s="458">
        <v>479777.74099999998</v>
      </c>
      <c r="P52" s="458">
        <v>472864.152</v>
      </c>
      <c r="Q52" s="458">
        <f>AVERAGE(Taulukko919[[#This Row],[Uudistuksen mukainen osuus työmarkkinatuesta, kotoutujia ei poistettu]:[Uudistuksen mukainen osuus työmarkkinatuesta, kotoutujat poistettu]])</f>
        <v>476320.94649999996</v>
      </c>
      <c r="R52" s="458">
        <v>272777.73</v>
      </c>
      <c r="S52" s="467">
        <f>Taulukko919[[#This Row],[Uudistuksen mukainen osuus työmarkkinatuesta, keskiarvo]]-Taulukko919[[#This Row],[Nykytila, kuntien osuus työmarkkinatuesta]]</f>
        <v>203543.21649999998</v>
      </c>
    </row>
    <row r="53" spans="1:19">
      <c r="A53" s="456">
        <v>145</v>
      </c>
      <c r="B53" s="456" t="s">
        <v>53</v>
      </c>
      <c r="C53" s="457">
        <v>12343</v>
      </c>
      <c r="D53" s="458">
        <v>380883.54</v>
      </c>
      <c r="E53" s="458">
        <v>590327.43599999999</v>
      </c>
      <c r="F53" s="458">
        <f>Taulukko9[[#This Row],[Uudistuksen mukainen osuus työmarkkinatuesta*]]-Taulukko9[[#This Row],[Nykytila, kuntien osuus työmarkkinatuesta]]</f>
        <v>209443.89600000001</v>
      </c>
      <c r="G53" s="458">
        <v>35778.196000000004</v>
      </c>
      <c r="H53" s="458">
        <v>121351.05591111101</v>
      </c>
      <c r="I53" s="459">
        <f>Taulukko9[[#This Row],[Uudistuksen mukainen osuus työmarkkinatuesta*]]+Taulukko9[[#This Row],[Uudistuksen mukainen osuus peruspäivärahasta]]+Taulukko9[[#This Row],[Uudistuksen mukainen osuus ansiopäivärahasta]]</f>
        <v>747456.68791111093</v>
      </c>
      <c r="J53" s="467">
        <f>Taulukko9[[#This Row],[Uudistuksen mukainen rahoitusvastuu yhteensä]]-Taulukko9[[#This Row],[Nykytila, kuntien osuus työmarkkinatuesta]]</f>
        <v>366573.14791111095</v>
      </c>
      <c r="M53" s="456">
        <v>145</v>
      </c>
      <c r="N53" s="456" t="s">
        <v>53</v>
      </c>
      <c r="O53" s="458">
        <v>601402.00800000003</v>
      </c>
      <c r="P53" s="458">
        <v>579252.86399999994</v>
      </c>
      <c r="Q53" s="458">
        <f>AVERAGE(Taulukko919[[#This Row],[Uudistuksen mukainen osuus työmarkkinatuesta, kotoutujia ei poistettu]:[Uudistuksen mukainen osuus työmarkkinatuesta, kotoutujat poistettu]])</f>
        <v>590327.43599999999</v>
      </c>
      <c r="R53" s="458">
        <v>380883.54</v>
      </c>
      <c r="S53" s="467">
        <f>Taulukko919[[#This Row],[Uudistuksen mukainen osuus työmarkkinatuesta, keskiarvo]]-Taulukko919[[#This Row],[Nykytila, kuntien osuus työmarkkinatuesta]]</f>
        <v>209443.89600000001</v>
      </c>
    </row>
    <row r="54" spans="1:19">
      <c r="A54" s="456">
        <v>146</v>
      </c>
      <c r="B54" s="456" t="s">
        <v>54</v>
      </c>
      <c r="C54" s="457">
        <v>4406</v>
      </c>
      <c r="D54" s="458">
        <v>442221.72</v>
      </c>
      <c r="E54" s="458">
        <v>447394.56200000003</v>
      </c>
      <c r="F54" s="458">
        <f>Taulukko9[[#This Row],[Uudistuksen mukainen osuus työmarkkinatuesta*]]-Taulukko9[[#This Row],[Nykytila, kuntien osuus työmarkkinatuesta]]</f>
        <v>5172.8420000000624</v>
      </c>
      <c r="G54" s="458">
        <v>22898.552</v>
      </c>
      <c r="H54" s="458">
        <v>122942.437845536</v>
      </c>
      <c r="I54" s="459">
        <f>Taulukko9[[#This Row],[Uudistuksen mukainen osuus työmarkkinatuesta*]]+Taulukko9[[#This Row],[Uudistuksen mukainen osuus peruspäivärahasta]]+Taulukko9[[#This Row],[Uudistuksen mukainen osuus ansiopäivärahasta]]</f>
        <v>593235.5518455361</v>
      </c>
      <c r="J54" s="467">
        <f>Taulukko9[[#This Row],[Uudistuksen mukainen rahoitusvastuu yhteensä]]-Taulukko9[[#This Row],[Nykytila, kuntien osuus työmarkkinatuesta]]</f>
        <v>151013.83184553613</v>
      </c>
      <c r="M54" s="456">
        <v>146</v>
      </c>
      <c r="N54" s="456" t="s">
        <v>54</v>
      </c>
      <c r="O54" s="458">
        <v>452937.45600000001</v>
      </c>
      <c r="P54" s="458">
        <v>441851.66800000001</v>
      </c>
      <c r="Q54" s="458">
        <f>AVERAGE(Taulukko919[[#This Row],[Uudistuksen mukainen osuus työmarkkinatuesta, kotoutujia ei poistettu]:[Uudistuksen mukainen osuus työmarkkinatuesta, kotoutujat poistettu]])</f>
        <v>447394.56200000003</v>
      </c>
      <c r="R54" s="458">
        <v>442221.72</v>
      </c>
      <c r="S54" s="467">
        <f>Taulukko919[[#This Row],[Uudistuksen mukainen osuus työmarkkinatuesta, keskiarvo]]-Taulukko919[[#This Row],[Nykytila, kuntien osuus työmarkkinatuesta]]</f>
        <v>5172.8420000000624</v>
      </c>
    </row>
    <row r="55" spans="1:19">
      <c r="A55" s="456">
        <v>148</v>
      </c>
      <c r="B55" s="456" t="s">
        <v>55</v>
      </c>
      <c r="C55" s="457">
        <v>7127</v>
      </c>
      <c r="D55" s="458">
        <v>433850.73</v>
      </c>
      <c r="E55" s="458">
        <v>527133.15299999993</v>
      </c>
      <c r="F55" s="458">
        <f>Taulukko9[[#This Row],[Uudistuksen mukainen osuus työmarkkinatuesta*]]-Taulukko9[[#This Row],[Nykytila, kuntien osuus työmarkkinatuesta]]</f>
        <v>93282.422999999952</v>
      </c>
      <c r="G55" s="458">
        <v>20936.262999999999</v>
      </c>
      <c r="H55" s="458">
        <v>144392.09084593301</v>
      </c>
      <c r="I55" s="459">
        <f>Taulukko9[[#This Row],[Uudistuksen mukainen osuus työmarkkinatuesta*]]+Taulukko9[[#This Row],[Uudistuksen mukainen osuus peruspäivärahasta]]+Taulukko9[[#This Row],[Uudistuksen mukainen osuus ansiopäivärahasta]]</f>
        <v>692461.50684593292</v>
      </c>
      <c r="J55" s="467">
        <f>Taulukko9[[#This Row],[Uudistuksen mukainen rahoitusvastuu yhteensä]]-Taulukko9[[#This Row],[Nykytila, kuntien osuus työmarkkinatuesta]]</f>
        <v>258610.77684593294</v>
      </c>
      <c r="M55" s="456">
        <v>148</v>
      </c>
      <c r="N55" s="456" t="s">
        <v>55</v>
      </c>
      <c r="O55" s="458">
        <v>535022.72499999998</v>
      </c>
      <c r="P55" s="458">
        <v>519243.58100000001</v>
      </c>
      <c r="Q55" s="458">
        <f>AVERAGE(Taulukko919[[#This Row],[Uudistuksen mukainen osuus työmarkkinatuesta, kotoutujia ei poistettu]:[Uudistuksen mukainen osuus työmarkkinatuesta, kotoutujat poistettu]])</f>
        <v>527133.15299999993</v>
      </c>
      <c r="R55" s="458">
        <v>433850.73</v>
      </c>
      <c r="S55" s="467">
        <f>Taulukko919[[#This Row],[Uudistuksen mukainen osuus työmarkkinatuesta, keskiarvo]]-Taulukko919[[#This Row],[Nykytila, kuntien osuus työmarkkinatuesta]]</f>
        <v>93282.422999999952</v>
      </c>
    </row>
    <row r="56" spans="1:19">
      <c r="A56" s="456">
        <v>149</v>
      </c>
      <c r="B56" s="456" t="s">
        <v>56</v>
      </c>
      <c r="C56" s="457">
        <v>5379</v>
      </c>
      <c r="D56" s="458">
        <v>356337.29</v>
      </c>
      <c r="E56" s="458">
        <v>329333.23100000003</v>
      </c>
      <c r="F56" s="458">
        <f>Taulukko9[[#This Row],[Uudistuksen mukainen osuus työmarkkinatuesta*]]-Taulukko9[[#This Row],[Nykytila, kuntien osuus työmarkkinatuesta]]</f>
        <v>-27004.05899999995</v>
      </c>
      <c r="G56" s="458">
        <v>9938.98</v>
      </c>
      <c r="H56" s="458">
        <v>55252.927451073097</v>
      </c>
      <c r="I56" s="459">
        <f>Taulukko9[[#This Row],[Uudistuksen mukainen osuus työmarkkinatuesta*]]+Taulukko9[[#This Row],[Uudistuksen mukainen osuus peruspäivärahasta]]+Taulukko9[[#This Row],[Uudistuksen mukainen osuus ansiopäivärahasta]]</f>
        <v>394525.13845107309</v>
      </c>
      <c r="J56" s="467">
        <f>Taulukko9[[#This Row],[Uudistuksen mukainen rahoitusvastuu yhteensä]]-Taulukko9[[#This Row],[Nykytila, kuntien osuus työmarkkinatuesta]]</f>
        <v>38187.848451073107</v>
      </c>
      <c r="M56" s="456">
        <v>149</v>
      </c>
      <c r="N56" s="456" t="s">
        <v>56</v>
      </c>
      <c r="O56" s="458">
        <v>336314.50300000003</v>
      </c>
      <c r="P56" s="458">
        <v>322351.95899999997</v>
      </c>
      <c r="Q56" s="458">
        <f>AVERAGE(Taulukko919[[#This Row],[Uudistuksen mukainen osuus työmarkkinatuesta, kotoutujia ei poistettu]:[Uudistuksen mukainen osuus työmarkkinatuesta, kotoutujat poistettu]])</f>
        <v>329333.23100000003</v>
      </c>
      <c r="R56" s="458">
        <v>356337.29</v>
      </c>
      <c r="S56" s="467">
        <f>Taulukko919[[#This Row],[Uudistuksen mukainen osuus työmarkkinatuesta, keskiarvo]]-Taulukko919[[#This Row],[Nykytila, kuntien osuus työmarkkinatuesta]]</f>
        <v>-27004.05899999995</v>
      </c>
    </row>
    <row r="57" spans="1:19">
      <c r="A57" s="456">
        <v>151</v>
      </c>
      <c r="B57" s="456" t="s">
        <v>57</v>
      </c>
      <c r="C57" s="457">
        <v>1814</v>
      </c>
      <c r="D57" s="458">
        <v>60224.29</v>
      </c>
      <c r="E57" s="458">
        <v>99438.34599999999</v>
      </c>
      <c r="F57" s="458">
        <f>Taulukko9[[#This Row],[Uudistuksen mukainen osuus työmarkkinatuesta*]]-Taulukko9[[#This Row],[Nykytila, kuntien osuus työmarkkinatuesta]]</f>
        <v>39214.05599999999</v>
      </c>
      <c r="G57" s="458">
        <v>8359.9069999999992</v>
      </c>
      <c r="H57" s="458">
        <v>12527.986634589701</v>
      </c>
      <c r="I57" s="459">
        <f>Taulukko9[[#This Row],[Uudistuksen mukainen osuus työmarkkinatuesta*]]+Taulukko9[[#This Row],[Uudistuksen mukainen osuus peruspäivärahasta]]+Taulukko9[[#This Row],[Uudistuksen mukainen osuus ansiopäivärahasta]]</f>
        <v>120326.2396345897</v>
      </c>
      <c r="J57" s="467">
        <f>Taulukko9[[#This Row],[Uudistuksen mukainen rahoitusvastuu yhteensä]]-Taulukko9[[#This Row],[Nykytila, kuntien osuus työmarkkinatuesta]]</f>
        <v>60101.949634589699</v>
      </c>
      <c r="M57" s="456">
        <v>151</v>
      </c>
      <c r="N57" s="456" t="s">
        <v>57</v>
      </c>
      <c r="O57" s="458">
        <v>99680.210999999996</v>
      </c>
      <c r="P57" s="458">
        <v>99196.481</v>
      </c>
      <c r="Q57" s="458">
        <f>AVERAGE(Taulukko919[[#This Row],[Uudistuksen mukainen osuus työmarkkinatuesta, kotoutujia ei poistettu]:[Uudistuksen mukainen osuus työmarkkinatuesta, kotoutujat poistettu]])</f>
        <v>99438.34599999999</v>
      </c>
      <c r="R57" s="458">
        <v>60224.29</v>
      </c>
      <c r="S57" s="467">
        <f>Taulukko919[[#This Row],[Uudistuksen mukainen osuus työmarkkinatuesta, keskiarvo]]-Taulukko919[[#This Row],[Nykytila, kuntien osuus työmarkkinatuesta]]</f>
        <v>39214.05599999999</v>
      </c>
    </row>
    <row r="58" spans="1:19">
      <c r="A58" s="456">
        <v>152</v>
      </c>
      <c r="B58" s="456" t="s">
        <v>58</v>
      </c>
      <c r="C58" s="457">
        <v>4357</v>
      </c>
      <c r="D58" s="458">
        <v>159006.46</v>
      </c>
      <c r="E58" s="458">
        <v>248752.476</v>
      </c>
      <c r="F58" s="458">
        <f>Taulukko9[[#This Row],[Uudistuksen mukainen osuus työmarkkinatuesta*]]-Taulukko9[[#This Row],[Nykytila, kuntien osuus työmarkkinatuesta]]</f>
        <v>89746.016000000003</v>
      </c>
      <c r="G58" s="458">
        <v>16856.962</v>
      </c>
      <c r="H58" s="458">
        <v>45978.654593461601</v>
      </c>
      <c r="I58" s="459">
        <f>Taulukko9[[#This Row],[Uudistuksen mukainen osuus työmarkkinatuesta*]]+Taulukko9[[#This Row],[Uudistuksen mukainen osuus peruspäivärahasta]]+Taulukko9[[#This Row],[Uudistuksen mukainen osuus ansiopäivärahasta]]</f>
        <v>311588.09259346157</v>
      </c>
      <c r="J58" s="467">
        <f>Taulukko9[[#This Row],[Uudistuksen mukainen rahoitusvastuu yhteensä]]-Taulukko9[[#This Row],[Nykytila, kuntien osuus työmarkkinatuesta]]</f>
        <v>152581.63259346157</v>
      </c>
      <c r="M58" s="456">
        <v>152</v>
      </c>
      <c r="N58" s="456" t="s">
        <v>58</v>
      </c>
      <c r="O58" s="458">
        <v>249722.16699999999</v>
      </c>
      <c r="P58" s="458">
        <v>247782.785</v>
      </c>
      <c r="Q58" s="458">
        <f>AVERAGE(Taulukko919[[#This Row],[Uudistuksen mukainen osuus työmarkkinatuesta, kotoutujia ei poistettu]:[Uudistuksen mukainen osuus työmarkkinatuesta, kotoutujat poistettu]])</f>
        <v>248752.476</v>
      </c>
      <c r="R58" s="458">
        <v>159006.46</v>
      </c>
      <c r="S58" s="467">
        <f>Taulukko919[[#This Row],[Uudistuksen mukainen osuus työmarkkinatuesta, keskiarvo]]-Taulukko919[[#This Row],[Nykytila, kuntien osuus työmarkkinatuesta]]</f>
        <v>89746.016000000003</v>
      </c>
    </row>
    <row r="59" spans="1:19">
      <c r="A59" s="456">
        <v>153</v>
      </c>
      <c r="B59" s="456" t="s">
        <v>59</v>
      </c>
      <c r="C59" s="457">
        <v>24919</v>
      </c>
      <c r="D59" s="458">
        <v>2296678.37</v>
      </c>
      <c r="E59" s="458">
        <v>3464178.6655000001</v>
      </c>
      <c r="F59" s="458">
        <f>Taulukko9[[#This Row],[Uudistuksen mukainen osuus työmarkkinatuesta*]]-Taulukko9[[#This Row],[Nykytila, kuntien osuus työmarkkinatuesta]]</f>
        <v>1167500.2955</v>
      </c>
      <c r="G59" s="458">
        <v>163320.78099999999</v>
      </c>
      <c r="H59" s="458">
        <v>639998.41871606198</v>
      </c>
      <c r="I59" s="459">
        <f>Taulukko9[[#This Row],[Uudistuksen mukainen osuus työmarkkinatuesta*]]+Taulukko9[[#This Row],[Uudistuksen mukainen osuus peruspäivärahasta]]+Taulukko9[[#This Row],[Uudistuksen mukainen osuus ansiopäivärahasta]]</f>
        <v>4267497.8652160624</v>
      </c>
      <c r="J59" s="467">
        <f>Taulukko9[[#This Row],[Uudistuksen mukainen rahoitusvastuu yhteensä]]-Taulukko9[[#This Row],[Nykytila, kuntien osuus työmarkkinatuesta]]</f>
        <v>1970819.4952160623</v>
      </c>
      <c r="M59" s="456">
        <v>153</v>
      </c>
      <c r="N59" s="456" t="s">
        <v>59</v>
      </c>
      <c r="O59" s="458">
        <v>3562984.23</v>
      </c>
      <c r="P59" s="458">
        <v>3365373.1009999998</v>
      </c>
      <c r="Q59" s="458">
        <f>AVERAGE(Taulukko919[[#This Row],[Uudistuksen mukainen osuus työmarkkinatuesta, kotoutujia ei poistettu]:[Uudistuksen mukainen osuus työmarkkinatuesta, kotoutujat poistettu]])</f>
        <v>3464178.6655000001</v>
      </c>
      <c r="R59" s="458">
        <v>2296678.37</v>
      </c>
      <c r="S59" s="467">
        <f>Taulukko919[[#This Row],[Uudistuksen mukainen osuus työmarkkinatuesta, keskiarvo]]-Taulukko919[[#This Row],[Nykytila, kuntien osuus työmarkkinatuesta]]</f>
        <v>1167500.2955</v>
      </c>
    </row>
    <row r="60" spans="1:19">
      <c r="A60" s="456">
        <v>165</v>
      </c>
      <c r="B60" s="456" t="s">
        <v>60</v>
      </c>
      <c r="C60" s="457">
        <v>16123</v>
      </c>
      <c r="D60" s="458">
        <v>953281.53</v>
      </c>
      <c r="E60" s="458">
        <v>1283210.8785000001</v>
      </c>
      <c r="F60" s="458">
        <f>Taulukko9[[#This Row],[Uudistuksen mukainen osuus työmarkkinatuesta*]]-Taulukko9[[#This Row],[Nykytila, kuntien osuus työmarkkinatuesta]]</f>
        <v>329929.34850000008</v>
      </c>
      <c r="G60" s="458">
        <v>64993.792999999998</v>
      </c>
      <c r="H60" s="458">
        <v>242979.28772596599</v>
      </c>
      <c r="I60" s="459">
        <f>Taulukko9[[#This Row],[Uudistuksen mukainen osuus työmarkkinatuesta*]]+Taulukko9[[#This Row],[Uudistuksen mukainen osuus peruspäivärahasta]]+Taulukko9[[#This Row],[Uudistuksen mukainen osuus ansiopäivärahasta]]</f>
        <v>1591183.9592259661</v>
      </c>
      <c r="J60" s="467">
        <f>Taulukko9[[#This Row],[Uudistuksen mukainen rahoitusvastuu yhteensä]]-Taulukko9[[#This Row],[Nykytila, kuntien osuus työmarkkinatuesta]]</f>
        <v>637902.4292259661</v>
      </c>
      <c r="M60" s="456">
        <v>165</v>
      </c>
      <c r="N60" s="456" t="s">
        <v>60</v>
      </c>
      <c r="O60" s="458">
        <v>1318594.9779999999</v>
      </c>
      <c r="P60" s="458">
        <v>1247826.7790000001</v>
      </c>
      <c r="Q60" s="458">
        <f>AVERAGE(Taulukko919[[#This Row],[Uudistuksen mukainen osuus työmarkkinatuesta, kotoutujia ei poistettu]:[Uudistuksen mukainen osuus työmarkkinatuesta, kotoutujat poistettu]])</f>
        <v>1283210.8785000001</v>
      </c>
      <c r="R60" s="458">
        <v>953281.53</v>
      </c>
      <c r="S60" s="467">
        <f>Taulukko919[[#This Row],[Uudistuksen mukainen osuus työmarkkinatuesta, keskiarvo]]-Taulukko919[[#This Row],[Nykytila, kuntien osuus työmarkkinatuesta]]</f>
        <v>329929.34850000008</v>
      </c>
    </row>
    <row r="61" spans="1:19">
      <c r="A61" s="456">
        <v>167</v>
      </c>
      <c r="B61" s="456" t="s">
        <v>61</v>
      </c>
      <c r="C61" s="457">
        <v>78062</v>
      </c>
      <c r="D61" s="458">
        <v>10654352.09</v>
      </c>
      <c r="E61" s="458">
        <v>11829002.801999999</v>
      </c>
      <c r="F61" s="458">
        <f>Taulukko9[[#This Row],[Uudistuksen mukainen osuus työmarkkinatuesta*]]-Taulukko9[[#This Row],[Nykytila, kuntien osuus työmarkkinatuesta]]</f>
        <v>1174650.7119999994</v>
      </c>
      <c r="G61" s="458">
        <v>457580.533</v>
      </c>
      <c r="H61" s="458">
        <v>1507621.8373817101</v>
      </c>
      <c r="I61" s="459">
        <f>Taulukko9[[#This Row],[Uudistuksen mukainen osuus työmarkkinatuesta*]]+Taulukko9[[#This Row],[Uudistuksen mukainen osuus peruspäivärahasta]]+Taulukko9[[#This Row],[Uudistuksen mukainen osuus ansiopäivärahasta]]</f>
        <v>13794205.172381708</v>
      </c>
      <c r="J61" s="467">
        <f>Taulukko9[[#This Row],[Uudistuksen mukainen rahoitusvastuu yhteensä]]-Taulukko9[[#This Row],[Nykytila, kuntien osuus työmarkkinatuesta]]</f>
        <v>3139853.0823817085</v>
      </c>
      <c r="M61" s="456">
        <v>167</v>
      </c>
      <c r="N61" s="456" t="s">
        <v>61</v>
      </c>
      <c r="O61" s="458">
        <v>12084169.573999999</v>
      </c>
      <c r="P61" s="458">
        <v>11573836.029999999</v>
      </c>
      <c r="Q61" s="458">
        <f>AVERAGE(Taulukko919[[#This Row],[Uudistuksen mukainen osuus työmarkkinatuesta, kotoutujia ei poistettu]:[Uudistuksen mukainen osuus työmarkkinatuesta, kotoutujat poistettu]])</f>
        <v>11829002.801999999</v>
      </c>
      <c r="R61" s="458">
        <v>10654352.09</v>
      </c>
      <c r="S61" s="467">
        <f>Taulukko919[[#This Row],[Uudistuksen mukainen osuus työmarkkinatuesta, keskiarvo]]-Taulukko919[[#This Row],[Nykytila, kuntien osuus työmarkkinatuesta]]</f>
        <v>1174650.7119999994</v>
      </c>
    </row>
    <row r="62" spans="1:19">
      <c r="A62" s="456">
        <v>169</v>
      </c>
      <c r="B62" s="456" t="s">
        <v>62</v>
      </c>
      <c r="C62" s="457">
        <v>4916</v>
      </c>
      <c r="D62" s="458">
        <v>203402.34</v>
      </c>
      <c r="E62" s="458">
        <v>352639.97450000001</v>
      </c>
      <c r="F62" s="458">
        <f>Taulukko9[[#This Row],[Uudistuksen mukainen osuus työmarkkinatuesta*]]-Taulukko9[[#This Row],[Nykytila, kuntien osuus työmarkkinatuesta]]</f>
        <v>149237.63450000001</v>
      </c>
      <c r="G62" s="458">
        <v>18128.955000000002</v>
      </c>
      <c r="H62" s="458">
        <v>69028.917556081797</v>
      </c>
      <c r="I62" s="459">
        <f>Taulukko9[[#This Row],[Uudistuksen mukainen osuus työmarkkinatuesta*]]+Taulukko9[[#This Row],[Uudistuksen mukainen osuus peruspäivärahasta]]+Taulukko9[[#This Row],[Uudistuksen mukainen osuus ansiopäivärahasta]]</f>
        <v>439797.84705608181</v>
      </c>
      <c r="J62" s="467">
        <f>Taulukko9[[#This Row],[Uudistuksen mukainen rahoitusvastuu yhteensä]]-Taulukko9[[#This Row],[Nykytila, kuntien osuus työmarkkinatuesta]]</f>
        <v>236395.50705608181</v>
      </c>
      <c r="M62" s="456">
        <v>169</v>
      </c>
      <c r="N62" s="456" t="s">
        <v>62</v>
      </c>
      <c r="O62" s="458">
        <v>354862.52500000002</v>
      </c>
      <c r="P62" s="458">
        <v>350417.424</v>
      </c>
      <c r="Q62" s="458">
        <f>AVERAGE(Taulukko919[[#This Row],[Uudistuksen mukainen osuus työmarkkinatuesta, kotoutujia ei poistettu]:[Uudistuksen mukainen osuus työmarkkinatuesta, kotoutujat poistettu]])</f>
        <v>352639.97450000001</v>
      </c>
      <c r="R62" s="458">
        <v>203402.34</v>
      </c>
      <c r="S62" s="467">
        <f>Taulukko919[[#This Row],[Uudistuksen mukainen osuus työmarkkinatuesta, keskiarvo]]-Taulukko919[[#This Row],[Nykytila, kuntien osuus työmarkkinatuesta]]</f>
        <v>149237.63450000001</v>
      </c>
    </row>
    <row r="63" spans="1:19">
      <c r="A63" s="456">
        <v>171</v>
      </c>
      <c r="B63" s="456" t="s">
        <v>63</v>
      </c>
      <c r="C63" s="457">
        <v>4590</v>
      </c>
      <c r="D63" s="458">
        <v>143763.25</v>
      </c>
      <c r="E63" s="458">
        <v>252774.33899999998</v>
      </c>
      <c r="F63" s="458">
        <f>Taulukko9[[#This Row],[Uudistuksen mukainen osuus työmarkkinatuesta*]]-Taulukko9[[#This Row],[Nykytila, kuntien osuus työmarkkinatuesta]]</f>
        <v>109011.08899999998</v>
      </c>
      <c r="G63" s="458">
        <v>23168.768</v>
      </c>
      <c r="H63" s="458">
        <v>120527.947409523</v>
      </c>
      <c r="I63" s="459">
        <f>Taulukko9[[#This Row],[Uudistuksen mukainen osuus työmarkkinatuesta*]]+Taulukko9[[#This Row],[Uudistuksen mukainen osuus peruspäivärahasta]]+Taulukko9[[#This Row],[Uudistuksen mukainen osuus ansiopäivärahasta]]</f>
        <v>396471.05440952297</v>
      </c>
      <c r="J63" s="467">
        <f>Taulukko9[[#This Row],[Uudistuksen mukainen rahoitusvastuu yhteensä]]-Taulukko9[[#This Row],[Nykytila, kuntien osuus työmarkkinatuesta]]</f>
        <v>252707.80440952297</v>
      </c>
      <c r="M63" s="456">
        <v>171</v>
      </c>
      <c r="N63" s="456" t="s">
        <v>63</v>
      </c>
      <c r="O63" s="458">
        <v>252982.715</v>
      </c>
      <c r="P63" s="458">
        <v>252565.96299999999</v>
      </c>
      <c r="Q63" s="458">
        <f>AVERAGE(Taulukko919[[#This Row],[Uudistuksen mukainen osuus työmarkkinatuesta, kotoutujia ei poistettu]:[Uudistuksen mukainen osuus työmarkkinatuesta, kotoutujat poistettu]])</f>
        <v>252774.33899999998</v>
      </c>
      <c r="R63" s="458">
        <v>143763.25</v>
      </c>
      <c r="S63" s="467">
        <f>Taulukko919[[#This Row],[Uudistuksen mukainen osuus työmarkkinatuesta, keskiarvo]]-Taulukko919[[#This Row],[Nykytila, kuntien osuus työmarkkinatuesta]]</f>
        <v>109011.08899999998</v>
      </c>
    </row>
    <row r="64" spans="1:19">
      <c r="A64" s="456">
        <v>172</v>
      </c>
      <c r="B64" s="456" t="s">
        <v>64</v>
      </c>
      <c r="C64" s="457">
        <v>4079</v>
      </c>
      <c r="D64" s="458">
        <v>333115.78999999998</v>
      </c>
      <c r="E64" s="458">
        <v>387907.03500000003</v>
      </c>
      <c r="F64" s="458">
        <f>Taulukko9[[#This Row],[Uudistuksen mukainen osuus työmarkkinatuesta*]]-Taulukko9[[#This Row],[Nykytila, kuntien osuus työmarkkinatuesta]]</f>
        <v>54791.245000000054</v>
      </c>
      <c r="G64" s="458">
        <v>15784.221</v>
      </c>
      <c r="H64" s="458">
        <v>84991.657331359704</v>
      </c>
      <c r="I64" s="459">
        <f>Taulukko9[[#This Row],[Uudistuksen mukainen osuus työmarkkinatuesta*]]+Taulukko9[[#This Row],[Uudistuksen mukainen osuus peruspäivärahasta]]+Taulukko9[[#This Row],[Uudistuksen mukainen osuus ansiopäivärahasta]]</f>
        <v>488682.91333135974</v>
      </c>
      <c r="J64" s="467">
        <f>Taulukko9[[#This Row],[Uudistuksen mukainen rahoitusvastuu yhteensä]]-Taulukko9[[#This Row],[Nykytila, kuntien osuus työmarkkinatuesta]]</f>
        <v>155567.12333135976</v>
      </c>
      <c r="M64" s="456">
        <v>172</v>
      </c>
      <c r="N64" s="456" t="s">
        <v>64</v>
      </c>
      <c r="O64" s="458">
        <v>388623.54499999998</v>
      </c>
      <c r="P64" s="458">
        <v>387190.52500000002</v>
      </c>
      <c r="Q64" s="458">
        <f>AVERAGE(Taulukko919[[#This Row],[Uudistuksen mukainen osuus työmarkkinatuesta, kotoutujia ei poistettu]:[Uudistuksen mukainen osuus työmarkkinatuesta, kotoutujat poistettu]])</f>
        <v>387907.03500000003</v>
      </c>
      <c r="R64" s="458">
        <v>333115.78999999998</v>
      </c>
      <c r="S64" s="467">
        <f>Taulukko919[[#This Row],[Uudistuksen mukainen osuus työmarkkinatuesta, keskiarvo]]-Taulukko919[[#This Row],[Nykytila, kuntien osuus työmarkkinatuesta]]</f>
        <v>54791.245000000054</v>
      </c>
    </row>
    <row r="65" spans="1:19">
      <c r="A65" s="456">
        <v>176</v>
      </c>
      <c r="B65" s="456" t="s">
        <v>65</v>
      </c>
      <c r="C65" s="457">
        <v>4259</v>
      </c>
      <c r="D65" s="458">
        <v>399832.56</v>
      </c>
      <c r="E65" s="458">
        <v>496430.8885</v>
      </c>
      <c r="F65" s="458">
        <f>Taulukko9[[#This Row],[Uudistuksen mukainen osuus työmarkkinatuesta*]]-Taulukko9[[#This Row],[Nykytila, kuntien osuus työmarkkinatuesta]]</f>
        <v>96598.328500000003</v>
      </c>
      <c r="G65" s="458">
        <v>28401.79</v>
      </c>
      <c r="H65" s="458">
        <v>98820.928672980197</v>
      </c>
      <c r="I65" s="459">
        <f>Taulukko9[[#This Row],[Uudistuksen mukainen osuus työmarkkinatuesta*]]+Taulukko9[[#This Row],[Uudistuksen mukainen osuus peruspäivärahasta]]+Taulukko9[[#This Row],[Uudistuksen mukainen osuus ansiopäivärahasta]]</f>
        <v>623653.60717298021</v>
      </c>
      <c r="J65" s="467">
        <f>Taulukko9[[#This Row],[Uudistuksen mukainen rahoitusvastuu yhteensä]]-Taulukko9[[#This Row],[Nykytila, kuntien osuus työmarkkinatuesta]]</f>
        <v>223821.04717298021</v>
      </c>
      <c r="M65" s="456">
        <v>176</v>
      </c>
      <c r="N65" s="456" t="s">
        <v>65</v>
      </c>
      <c r="O65" s="458">
        <v>506745.66899999999</v>
      </c>
      <c r="P65" s="458">
        <v>486116.10800000001</v>
      </c>
      <c r="Q65" s="458">
        <f>AVERAGE(Taulukko919[[#This Row],[Uudistuksen mukainen osuus työmarkkinatuesta, kotoutujia ei poistettu]:[Uudistuksen mukainen osuus työmarkkinatuesta, kotoutujat poistettu]])</f>
        <v>496430.8885</v>
      </c>
      <c r="R65" s="458">
        <v>399832.56</v>
      </c>
      <c r="S65" s="467">
        <f>Taulukko919[[#This Row],[Uudistuksen mukainen osuus työmarkkinatuesta, keskiarvo]]-Taulukko919[[#This Row],[Nykytila, kuntien osuus työmarkkinatuesta]]</f>
        <v>96598.328500000003</v>
      </c>
    </row>
    <row r="66" spans="1:19">
      <c r="A66" s="456">
        <v>177</v>
      </c>
      <c r="B66" s="456" t="s">
        <v>66</v>
      </c>
      <c r="C66" s="457">
        <v>1708</v>
      </c>
      <c r="D66" s="458">
        <v>54737.73</v>
      </c>
      <c r="E66" s="458">
        <v>106862.83199999999</v>
      </c>
      <c r="F66" s="458">
        <f>Taulukko9[[#This Row],[Uudistuksen mukainen osuus työmarkkinatuesta*]]-Taulukko9[[#This Row],[Nykytila, kuntien osuus työmarkkinatuesta]]</f>
        <v>52125.101999999992</v>
      </c>
      <c r="G66" s="458">
        <v>5259.6030000000001</v>
      </c>
      <c r="H66" s="458">
        <v>25043.549891309802</v>
      </c>
      <c r="I66" s="459">
        <f>Taulukko9[[#This Row],[Uudistuksen mukainen osuus työmarkkinatuesta*]]+Taulukko9[[#This Row],[Uudistuksen mukainen osuus peruspäivärahasta]]+Taulukko9[[#This Row],[Uudistuksen mukainen osuus ansiopäivärahasta]]</f>
        <v>137165.98489130981</v>
      </c>
      <c r="J66" s="467">
        <f>Taulukko9[[#This Row],[Uudistuksen mukainen rahoitusvastuu yhteensä]]-Taulukko9[[#This Row],[Nykytila, kuntien osuus työmarkkinatuesta]]</f>
        <v>82428.2548913098</v>
      </c>
      <c r="M66" s="456">
        <v>177</v>
      </c>
      <c r="N66" s="456" t="s">
        <v>66</v>
      </c>
      <c r="O66" s="458">
        <v>106862.83199999999</v>
      </c>
      <c r="P66" s="458">
        <v>106862.83199999999</v>
      </c>
      <c r="Q66" s="458">
        <f>AVERAGE(Taulukko919[[#This Row],[Uudistuksen mukainen osuus työmarkkinatuesta, kotoutujia ei poistettu]:[Uudistuksen mukainen osuus työmarkkinatuesta, kotoutujat poistettu]])</f>
        <v>106862.83199999999</v>
      </c>
      <c r="R66" s="458">
        <v>54737.73</v>
      </c>
      <c r="S66" s="467">
        <f>Taulukko919[[#This Row],[Uudistuksen mukainen osuus työmarkkinatuesta, keskiarvo]]-Taulukko919[[#This Row],[Nykytila, kuntien osuus työmarkkinatuesta]]</f>
        <v>52125.101999999992</v>
      </c>
    </row>
    <row r="67" spans="1:19">
      <c r="A67" s="456">
        <v>178</v>
      </c>
      <c r="B67" s="456" t="s">
        <v>67</v>
      </c>
      <c r="C67" s="457">
        <v>5734</v>
      </c>
      <c r="D67" s="458">
        <v>162078.39999999999</v>
      </c>
      <c r="E67" s="458">
        <v>258058.76400000002</v>
      </c>
      <c r="F67" s="458">
        <f>Taulukko9[[#This Row],[Uudistuksen mukainen osuus työmarkkinatuesta*]]-Taulukko9[[#This Row],[Nykytila, kuntien osuus työmarkkinatuesta]]</f>
        <v>95980.364000000031</v>
      </c>
      <c r="G67" s="458">
        <v>26185.951000000001</v>
      </c>
      <c r="H67" s="458">
        <v>81793.316215013401</v>
      </c>
      <c r="I67" s="459">
        <f>Taulukko9[[#This Row],[Uudistuksen mukainen osuus työmarkkinatuesta*]]+Taulukko9[[#This Row],[Uudistuksen mukainen osuus peruspäivärahasta]]+Taulukko9[[#This Row],[Uudistuksen mukainen osuus ansiopäivärahasta]]</f>
        <v>366038.03121501341</v>
      </c>
      <c r="J67" s="467">
        <f>Taulukko9[[#This Row],[Uudistuksen mukainen rahoitusvastuu yhteensä]]-Taulukko9[[#This Row],[Nykytila, kuntien osuus työmarkkinatuesta]]</f>
        <v>203959.63121501342</v>
      </c>
      <c r="M67" s="456">
        <v>178</v>
      </c>
      <c r="N67" s="456" t="s">
        <v>67</v>
      </c>
      <c r="O67" s="458">
        <v>258790.74600000001</v>
      </c>
      <c r="P67" s="458">
        <v>257326.78200000001</v>
      </c>
      <c r="Q67" s="458">
        <f>AVERAGE(Taulukko919[[#This Row],[Uudistuksen mukainen osuus työmarkkinatuesta, kotoutujia ei poistettu]:[Uudistuksen mukainen osuus työmarkkinatuesta, kotoutujat poistettu]])</f>
        <v>258058.76400000002</v>
      </c>
      <c r="R67" s="458">
        <v>162078.39999999999</v>
      </c>
      <c r="S67" s="467">
        <f>Taulukko919[[#This Row],[Uudistuksen mukainen osuus työmarkkinatuesta, keskiarvo]]-Taulukko919[[#This Row],[Nykytila, kuntien osuus työmarkkinatuesta]]</f>
        <v>95980.364000000031</v>
      </c>
    </row>
    <row r="68" spans="1:19">
      <c r="A68" s="456">
        <v>179</v>
      </c>
      <c r="B68" s="456" t="s">
        <v>68</v>
      </c>
      <c r="C68" s="457">
        <v>147746</v>
      </c>
      <c r="D68" s="458">
        <v>19735495.039999999</v>
      </c>
      <c r="E68" s="458">
        <v>23923242.886500001</v>
      </c>
      <c r="F68" s="458">
        <f>Taulukko9[[#This Row],[Uudistuksen mukainen osuus työmarkkinatuesta*]]-Taulukko9[[#This Row],[Nykytila, kuntien osuus työmarkkinatuesta]]</f>
        <v>4187747.8465000018</v>
      </c>
      <c r="G68" s="458">
        <v>711381.26500000001</v>
      </c>
      <c r="H68" s="458">
        <v>2347108.73745859</v>
      </c>
      <c r="I68" s="459">
        <f>Taulukko9[[#This Row],[Uudistuksen mukainen osuus työmarkkinatuesta*]]+Taulukko9[[#This Row],[Uudistuksen mukainen osuus peruspäivärahasta]]+Taulukko9[[#This Row],[Uudistuksen mukainen osuus ansiopäivärahasta]]</f>
        <v>26981732.888958592</v>
      </c>
      <c r="J68" s="467">
        <f>Taulukko9[[#This Row],[Uudistuksen mukainen rahoitusvastuu yhteensä]]-Taulukko9[[#This Row],[Nykytila, kuntien osuus työmarkkinatuesta]]</f>
        <v>7246237.8489585929</v>
      </c>
      <c r="M68" s="456">
        <v>179</v>
      </c>
      <c r="N68" s="456" t="s">
        <v>68</v>
      </c>
      <c r="O68" s="458">
        <v>24532195.829</v>
      </c>
      <c r="P68" s="458">
        <v>23314289.943999998</v>
      </c>
      <c r="Q68" s="458">
        <f>AVERAGE(Taulukko919[[#This Row],[Uudistuksen mukainen osuus työmarkkinatuesta, kotoutujia ei poistettu]:[Uudistuksen mukainen osuus työmarkkinatuesta, kotoutujat poistettu]])</f>
        <v>23923242.886500001</v>
      </c>
      <c r="R68" s="458">
        <v>19735495.039999999</v>
      </c>
      <c r="S68" s="467">
        <f>Taulukko919[[#This Row],[Uudistuksen mukainen osuus työmarkkinatuesta, keskiarvo]]-Taulukko919[[#This Row],[Nykytila, kuntien osuus työmarkkinatuesta]]</f>
        <v>4187747.8465000018</v>
      </c>
    </row>
    <row r="69" spans="1:19">
      <c r="A69" s="456">
        <v>181</v>
      </c>
      <c r="B69" s="456" t="s">
        <v>69</v>
      </c>
      <c r="C69" s="457">
        <v>1682</v>
      </c>
      <c r="D69" s="458">
        <v>100412.87</v>
      </c>
      <c r="E69" s="458">
        <v>143082.84</v>
      </c>
      <c r="F69" s="458">
        <f>Taulukko9[[#This Row],[Uudistuksen mukainen osuus työmarkkinatuesta*]]-Taulukko9[[#This Row],[Nykytila, kuntien osuus työmarkkinatuesta]]</f>
        <v>42669.97</v>
      </c>
      <c r="G69" s="458">
        <v>4553.0450000000001</v>
      </c>
      <c r="H69" s="458">
        <v>19843.4827136817</v>
      </c>
      <c r="I69" s="459">
        <f>Taulukko9[[#This Row],[Uudistuksen mukainen osuus työmarkkinatuesta*]]+Taulukko9[[#This Row],[Uudistuksen mukainen osuus peruspäivärahasta]]+Taulukko9[[#This Row],[Uudistuksen mukainen osuus ansiopäivärahasta]]</f>
        <v>167479.36771368171</v>
      </c>
      <c r="J69" s="467">
        <f>Taulukko9[[#This Row],[Uudistuksen mukainen rahoitusvastuu yhteensä]]-Taulukko9[[#This Row],[Nykytila, kuntien osuus työmarkkinatuesta]]</f>
        <v>67066.497713681718</v>
      </c>
      <c r="M69" s="456">
        <v>181</v>
      </c>
      <c r="N69" s="456" t="s">
        <v>69</v>
      </c>
      <c r="O69" s="458">
        <v>143823.315</v>
      </c>
      <c r="P69" s="458">
        <v>142342.36499999999</v>
      </c>
      <c r="Q69" s="458">
        <f>AVERAGE(Taulukko919[[#This Row],[Uudistuksen mukainen osuus työmarkkinatuesta, kotoutujia ei poistettu]:[Uudistuksen mukainen osuus työmarkkinatuesta, kotoutujat poistettu]])</f>
        <v>143082.84</v>
      </c>
      <c r="R69" s="458">
        <v>100412.87</v>
      </c>
      <c r="S69" s="467">
        <f>Taulukko919[[#This Row],[Uudistuksen mukainen osuus työmarkkinatuesta, keskiarvo]]-Taulukko919[[#This Row],[Nykytila, kuntien osuus työmarkkinatuesta]]</f>
        <v>42669.97</v>
      </c>
    </row>
    <row r="70" spans="1:19">
      <c r="A70" s="456">
        <v>182</v>
      </c>
      <c r="B70" s="456" t="s">
        <v>70</v>
      </c>
      <c r="C70" s="457">
        <v>19182</v>
      </c>
      <c r="D70" s="458">
        <v>1777728.61</v>
      </c>
      <c r="E70" s="458">
        <v>2556474.9124999996</v>
      </c>
      <c r="F70" s="458">
        <f>Taulukko9[[#This Row],[Uudistuksen mukainen osuus työmarkkinatuesta*]]-Taulukko9[[#This Row],[Nykytila, kuntien osuus työmarkkinatuesta]]</f>
        <v>778746.30249999953</v>
      </c>
      <c r="G70" s="458">
        <v>73340.998000000007</v>
      </c>
      <c r="H70" s="458">
        <v>443989.49140703201</v>
      </c>
      <c r="I70" s="459">
        <f>Taulukko9[[#This Row],[Uudistuksen mukainen osuus työmarkkinatuesta*]]+Taulukko9[[#This Row],[Uudistuksen mukainen osuus peruspäivärahasta]]+Taulukko9[[#This Row],[Uudistuksen mukainen osuus ansiopäivärahasta]]</f>
        <v>3073805.4019070319</v>
      </c>
      <c r="J70" s="467">
        <f>Taulukko9[[#This Row],[Uudistuksen mukainen rahoitusvastuu yhteensä]]-Taulukko9[[#This Row],[Nykytila, kuntien osuus työmarkkinatuesta]]</f>
        <v>1296076.7919070318</v>
      </c>
      <c r="M70" s="456">
        <v>182</v>
      </c>
      <c r="N70" s="456" t="s">
        <v>70</v>
      </c>
      <c r="O70" s="458">
        <v>2576904.0269999998</v>
      </c>
      <c r="P70" s="458">
        <v>2536045.798</v>
      </c>
      <c r="Q70" s="458">
        <f>AVERAGE(Taulukko919[[#This Row],[Uudistuksen mukainen osuus työmarkkinatuesta, kotoutujia ei poistettu]:[Uudistuksen mukainen osuus työmarkkinatuesta, kotoutujat poistettu]])</f>
        <v>2556474.9124999996</v>
      </c>
      <c r="R70" s="458">
        <v>1777728.61</v>
      </c>
      <c r="S70" s="467">
        <f>Taulukko919[[#This Row],[Uudistuksen mukainen osuus työmarkkinatuesta, keskiarvo]]-Taulukko919[[#This Row],[Nykytila, kuntien osuus työmarkkinatuesta]]</f>
        <v>778746.30249999953</v>
      </c>
    </row>
    <row r="71" spans="1:19">
      <c r="A71" s="456">
        <v>186</v>
      </c>
      <c r="B71" s="456" t="s">
        <v>71</v>
      </c>
      <c r="C71" s="457">
        <v>46490</v>
      </c>
      <c r="D71" s="458">
        <v>4280459.08</v>
      </c>
      <c r="E71" s="458">
        <v>4782712.7719999999</v>
      </c>
      <c r="F71" s="458">
        <f>Taulukko9[[#This Row],[Uudistuksen mukainen osuus työmarkkinatuesta*]]-Taulukko9[[#This Row],[Nykytila, kuntien osuus työmarkkinatuesta]]</f>
        <v>502253.69199999981</v>
      </c>
      <c r="G71" s="458">
        <v>225697.736</v>
      </c>
      <c r="H71" s="458">
        <v>503033.14663193998</v>
      </c>
      <c r="I71" s="459">
        <f>Taulukko9[[#This Row],[Uudistuksen mukainen osuus työmarkkinatuesta*]]+Taulukko9[[#This Row],[Uudistuksen mukainen osuus peruspäivärahasta]]+Taulukko9[[#This Row],[Uudistuksen mukainen osuus ansiopäivärahasta]]</f>
        <v>5511443.6546319397</v>
      </c>
      <c r="J71" s="467">
        <f>Taulukko9[[#This Row],[Uudistuksen mukainen rahoitusvastuu yhteensä]]-Taulukko9[[#This Row],[Nykytila, kuntien osuus työmarkkinatuesta]]</f>
        <v>1230984.5746319396</v>
      </c>
      <c r="M71" s="456">
        <v>186</v>
      </c>
      <c r="N71" s="456" t="s">
        <v>71</v>
      </c>
      <c r="O71" s="458">
        <v>4902230.892</v>
      </c>
      <c r="P71" s="458">
        <v>4663194.6519999998</v>
      </c>
      <c r="Q71" s="458">
        <f>AVERAGE(Taulukko919[[#This Row],[Uudistuksen mukainen osuus työmarkkinatuesta, kotoutujia ei poistettu]:[Uudistuksen mukainen osuus työmarkkinatuesta, kotoutujat poistettu]])</f>
        <v>4782712.7719999999</v>
      </c>
      <c r="R71" s="458">
        <v>4280459.08</v>
      </c>
      <c r="S71" s="467">
        <f>Taulukko919[[#This Row],[Uudistuksen mukainen osuus työmarkkinatuesta, keskiarvo]]-Taulukko919[[#This Row],[Nykytila, kuntien osuus työmarkkinatuesta]]</f>
        <v>502253.69199999981</v>
      </c>
    </row>
    <row r="72" spans="1:19">
      <c r="A72" s="456">
        <v>202</v>
      </c>
      <c r="B72" s="456" t="s">
        <v>72</v>
      </c>
      <c r="C72" s="457">
        <v>36339</v>
      </c>
      <c r="D72" s="458">
        <v>1016534.01</v>
      </c>
      <c r="E72" s="458">
        <v>1713355.7655</v>
      </c>
      <c r="F72" s="458">
        <f>Taulukko9[[#This Row],[Uudistuksen mukainen osuus työmarkkinatuesta*]]-Taulukko9[[#This Row],[Nykytila, kuntien osuus työmarkkinatuesta]]</f>
        <v>696821.75549999997</v>
      </c>
      <c r="G72" s="458">
        <v>99422.243000000002</v>
      </c>
      <c r="H72" s="458">
        <v>431745.88358343602</v>
      </c>
      <c r="I72" s="459">
        <f>Taulukko9[[#This Row],[Uudistuksen mukainen osuus työmarkkinatuesta*]]+Taulukko9[[#This Row],[Uudistuksen mukainen osuus peruspäivärahasta]]+Taulukko9[[#This Row],[Uudistuksen mukainen osuus ansiopäivärahasta]]</f>
        <v>2244523.8920834363</v>
      </c>
      <c r="J72" s="467">
        <f>Taulukko9[[#This Row],[Uudistuksen mukainen rahoitusvastuu yhteensä]]-Taulukko9[[#This Row],[Nykytila, kuntien osuus työmarkkinatuesta]]</f>
        <v>1227989.8820834362</v>
      </c>
      <c r="M72" s="456">
        <v>202</v>
      </c>
      <c r="N72" s="456" t="s">
        <v>72</v>
      </c>
      <c r="O72" s="458">
        <v>1774040.9939999999</v>
      </c>
      <c r="P72" s="458">
        <v>1652670.537</v>
      </c>
      <c r="Q72" s="458">
        <f>AVERAGE(Taulukko919[[#This Row],[Uudistuksen mukainen osuus työmarkkinatuesta, kotoutujia ei poistettu]:[Uudistuksen mukainen osuus työmarkkinatuesta, kotoutujat poistettu]])</f>
        <v>1713355.7655</v>
      </c>
      <c r="R72" s="458">
        <v>1016534.01</v>
      </c>
      <c r="S72" s="467">
        <f>Taulukko919[[#This Row],[Uudistuksen mukainen osuus työmarkkinatuesta, keskiarvo]]-Taulukko919[[#This Row],[Nykytila, kuntien osuus työmarkkinatuesta]]</f>
        <v>696821.75549999997</v>
      </c>
    </row>
    <row r="73" spans="1:19">
      <c r="A73" s="456">
        <v>204</v>
      </c>
      <c r="B73" s="456" t="s">
        <v>73</v>
      </c>
      <c r="C73" s="457">
        <v>2628</v>
      </c>
      <c r="D73" s="458">
        <v>281143.53999999998</v>
      </c>
      <c r="E73" s="458">
        <v>322603.212</v>
      </c>
      <c r="F73" s="458">
        <f>Taulukko9[[#This Row],[Uudistuksen mukainen osuus työmarkkinatuesta*]]-Taulukko9[[#This Row],[Nykytila, kuntien osuus työmarkkinatuesta]]</f>
        <v>41459.67200000002</v>
      </c>
      <c r="G73" s="458">
        <v>11396.201999999999</v>
      </c>
      <c r="H73" s="458">
        <v>27999.044970106799</v>
      </c>
      <c r="I73" s="459">
        <f>Taulukko9[[#This Row],[Uudistuksen mukainen osuus työmarkkinatuesta*]]+Taulukko9[[#This Row],[Uudistuksen mukainen osuus peruspäivärahasta]]+Taulukko9[[#This Row],[Uudistuksen mukainen osuus ansiopäivärahasta]]</f>
        <v>361998.45897010679</v>
      </c>
      <c r="J73" s="467">
        <f>Taulukko9[[#This Row],[Uudistuksen mukainen rahoitusvastuu yhteensä]]-Taulukko9[[#This Row],[Nykytila, kuntien osuus työmarkkinatuesta]]</f>
        <v>80854.91897010681</v>
      </c>
      <c r="M73" s="456">
        <v>204</v>
      </c>
      <c r="N73" s="456" t="s">
        <v>73</v>
      </c>
      <c r="O73" s="458">
        <v>322728.348</v>
      </c>
      <c r="P73" s="458">
        <v>322478.076</v>
      </c>
      <c r="Q73" s="458">
        <f>AVERAGE(Taulukko919[[#This Row],[Uudistuksen mukainen osuus työmarkkinatuesta, kotoutujia ei poistettu]:[Uudistuksen mukainen osuus työmarkkinatuesta, kotoutujat poistettu]])</f>
        <v>322603.212</v>
      </c>
      <c r="R73" s="458">
        <v>281143.53999999998</v>
      </c>
      <c r="S73" s="467">
        <f>Taulukko919[[#This Row],[Uudistuksen mukainen osuus työmarkkinatuesta, keskiarvo]]-Taulukko919[[#This Row],[Nykytila, kuntien osuus työmarkkinatuesta]]</f>
        <v>41459.67200000002</v>
      </c>
    </row>
    <row r="74" spans="1:19">
      <c r="A74" s="456">
        <v>205</v>
      </c>
      <c r="B74" s="456" t="s">
        <v>74</v>
      </c>
      <c r="C74" s="457">
        <v>36513</v>
      </c>
      <c r="D74" s="458">
        <v>2235326.9</v>
      </c>
      <c r="E74" s="458">
        <v>3249506.8870000001</v>
      </c>
      <c r="F74" s="458">
        <f>Taulukko9[[#This Row],[Uudistuksen mukainen osuus työmarkkinatuesta*]]-Taulukko9[[#This Row],[Nykytila, kuntien osuus työmarkkinatuesta]]</f>
        <v>1014179.9870000002</v>
      </c>
      <c r="G74" s="458">
        <v>208624.098</v>
      </c>
      <c r="H74" s="458">
        <v>608935.02054387599</v>
      </c>
      <c r="I74" s="459">
        <f>Taulukko9[[#This Row],[Uudistuksen mukainen osuus työmarkkinatuesta*]]+Taulukko9[[#This Row],[Uudistuksen mukainen osuus peruspäivärahasta]]+Taulukko9[[#This Row],[Uudistuksen mukainen osuus ansiopäivärahasta]]</f>
        <v>4067066.0055438764</v>
      </c>
      <c r="J74" s="467">
        <f>Taulukko9[[#This Row],[Uudistuksen mukainen rahoitusvastuu yhteensä]]-Taulukko9[[#This Row],[Nykytila, kuntien osuus työmarkkinatuesta]]</f>
        <v>1831739.1055438765</v>
      </c>
      <c r="M74" s="456">
        <v>205</v>
      </c>
      <c r="N74" s="456" t="s">
        <v>74</v>
      </c>
      <c r="O74" s="458">
        <v>3424714.591</v>
      </c>
      <c r="P74" s="458">
        <v>3074299.1830000002</v>
      </c>
      <c r="Q74" s="458">
        <f>AVERAGE(Taulukko919[[#This Row],[Uudistuksen mukainen osuus työmarkkinatuesta, kotoutujia ei poistettu]:[Uudistuksen mukainen osuus työmarkkinatuesta, kotoutujat poistettu]])</f>
        <v>3249506.8870000001</v>
      </c>
      <c r="R74" s="458">
        <v>2235326.9</v>
      </c>
      <c r="S74" s="467">
        <f>Taulukko919[[#This Row],[Uudistuksen mukainen osuus työmarkkinatuesta, keskiarvo]]-Taulukko919[[#This Row],[Nykytila, kuntien osuus työmarkkinatuesta]]</f>
        <v>1014179.9870000002</v>
      </c>
    </row>
    <row r="75" spans="1:19">
      <c r="A75" s="456">
        <v>208</v>
      </c>
      <c r="B75" s="456" t="s">
        <v>75</v>
      </c>
      <c r="C75" s="457">
        <v>12372</v>
      </c>
      <c r="D75" s="458">
        <v>339640.81</v>
      </c>
      <c r="E75" s="458">
        <v>590628.25300000003</v>
      </c>
      <c r="F75" s="458">
        <f>Taulukko9[[#This Row],[Uudistuksen mukainen osuus työmarkkinatuesta*]]-Taulukko9[[#This Row],[Nykytila, kuntien osuus työmarkkinatuesta]]</f>
        <v>250987.44300000003</v>
      </c>
      <c r="G75" s="458">
        <v>27685.409</v>
      </c>
      <c r="H75" s="458">
        <v>141723.18803848801</v>
      </c>
      <c r="I75" s="459">
        <f>Taulukko9[[#This Row],[Uudistuksen mukainen osuus työmarkkinatuesta*]]+Taulukko9[[#This Row],[Uudistuksen mukainen osuus peruspäivärahasta]]+Taulukko9[[#This Row],[Uudistuksen mukainen osuus ansiopäivärahasta]]</f>
        <v>760036.85003848805</v>
      </c>
      <c r="J75" s="467">
        <f>Taulukko9[[#This Row],[Uudistuksen mukainen rahoitusvastuu yhteensä]]-Taulukko9[[#This Row],[Nykytila, kuntien osuus työmarkkinatuesta]]</f>
        <v>420396.04003848805</v>
      </c>
      <c r="M75" s="456">
        <v>208</v>
      </c>
      <c r="N75" s="456" t="s">
        <v>75</v>
      </c>
      <c r="O75" s="458">
        <v>607900.44999999995</v>
      </c>
      <c r="P75" s="458">
        <v>573356.05599999998</v>
      </c>
      <c r="Q75" s="458">
        <f>AVERAGE(Taulukko919[[#This Row],[Uudistuksen mukainen osuus työmarkkinatuesta, kotoutujia ei poistettu]:[Uudistuksen mukainen osuus työmarkkinatuesta, kotoutujat poistettu]])</f>
        <v>590628.25300000003</v>
      </c>
      <c r="R75" s="458">
        <v>339640.81</v>
      </c>
      <c r="S75" s="467">
        <f>Taulukko919[[#This Row],[Uudistuksen mukainen osuus työmarkkinatuesta, keskiarvo]]-Taulukko919[[#This Row],[Nykytila, kuntien osuus työmarkkinatuesta]]</f>
        <v>250987.44300000003</v>
      </c>
    </row>
    <row r="76" spans="1:19">
      <c r="A76" s="456">
        <v>211</v>
      </c>
      <c r="B76" s="456" t="s">
        <v>76</v>
      </c>
      <c r="C76" s="457">
        <v>33473</v>
      </c>
      <c r="D76" s="458">
        <v>1665542.78</v>
      </c>
      <c r="E76" s="458">
        <v>1833099.5660000001</v>
      </c>
      <c r="F76" s="458">
        <f>Taulukko9[[#This Row],[Uudistuksen mukainen osuus työmarkkinatuesta*]]-Taulukko9[[#This Row],[Nykytila, kuntien osuus työmarkkinatuesta]]</f>
        <v>167556.78600000008</v>
      </c>
      <c r="G76" s="458">
        <v>110397.44500000001</v>
      </c>
      <c r="H76" s="458">
        <v>425237.19489983498</v>
      </c>
      <c r="I76" s="459">
        <f>Taulukko9[[#This Row],[Uudistuksen mukainen osuus työmarkkinatuesta*]]+Taulukko9[[#This Row],[Uudistuksen mukainen osuus peruspäivärahasta]]+Taulukko9[[#This Row],[Uudistuksen mukainen osuus ansiopäivärahasta]]</f>
        <v>2368734.2058998351</v>
      </c>
      <c r="J76" s="467">
        <f>Taulukko9[[#This Row],[Uudistuksen mukainen rahoitusvastuu yhteensä]]-Taulukko9[[#This Row],[Nykytila, kuntien osuus työmarkkinatuesta]]</f>
        <v>703191.42589983507</v>
      </c>
      <c r="M76" s="456">
        <v>211</v>
      </c>
      <c r="N76" s="456" t="s">
        <v>76</v>
      </c>
      <c r="O76" s="458">
        <v>1849313.1159999999</v>
      </c>
      <c r="P76" s="458">
        <v>1816886.0160000001</v>
      </c>
      <c r="Q76" s="458">
        <f>AVERAGE(Taulukko919[[#This Row],[Uudistuksen mukainen osuus työmarkkinatuesta, kotoutujia ei poistettu]:[Uudistuksen mukainen osuus työmarkkinatuesta, kotoutujat poistettu]])</f>
        <v>1833099.5660000001</v>
      </c>
      <c r="R76" s="458">
        <v>1665542.78</v>
      </c>
      <c r="S76" s="467">
        <f>Taulukko919[[#This Row],[Uudistuksen mukainen osuus työmarkkinatuesta, keskiarvo]]-Taulukko919[[#This Row],[Nykytila, kuntien osuus työmarkkinatuesta]]</f>
        <v>167556.78600000008</v>
      </c>
    </row>
    <row r="77" spans="1:19">
      <c r="A77" s="456">
        <v>213</v>
      </c>
      <c r="B77" s="456" t="s">
        <v>77</v>
      </c>
      <c r="C77" s="457">
        <v>5114</v>
      </c>
      <c r="D77" s="458">
        <v>212558.95</v>
      </c>
      <c r="E77" s="458">
        <v>389449.92700000003</v>
      </c>
      <c r="F77" s="458">
        <f>Taulukko9[[#This Row],[Uudistuksen mukainen osuus työmarkkinatuesta*]]-Taulukko9[[#This Row],[Nykytila, kuntien osuus työmarkkinatuesta]]</f>
        <v>176890.97700000001</v>
      </c>
      <c r="G77" s="458">
        <v>23347.161</v>
      </c>
      <c r="H77" s="458">
        <v>94714.684183508594</v>
      </c>
      <c r="I77" s="459">
        <f>Taulukko9[[#This Row],[Uudistuksen mukainen osuus työmarkkinatuesta*]]+Taulukko9[[#This Row],[Uudistuksen mukainen osuus peruspäivärahasta]]+Taulukko9[[#This Row],[Uudistuksen mukainen osuus ansiopäivärahasta]]</f>
        <v>507511.77218350861</v>
      </c>
      <c r="J77" s="467">
        <f>Taulukko9[[#This Row],[Uudistuksen mukainen rahoitusvastuu yhteensä]]-Taulukko9[[#This Row],[Nykytila, kuntien osuus työmarkkinatuesta]]</f>
        <v>294952.8221835086</v>
      </c>
      <c r="M77" s="456">
        <v>213</v>
      </c>
      <c r="N77" s="456" t="s">
        <v>77</v>
      </c>
      <c r="O77" s="458">
        <v>389449.92700000003</v>
      </c>
      <c r="P77" s="458">
        <v>389449.92700000003</v>
      </c>
      <c r="Q77" s="458">
        <f>AVERAGE(Taulukko919[[#This Row],[Uudistuksen mukainen osuus työmarkkinatuesta, kotoutujia ei poistettu]:[Uudistuksen mukainen osuus työmarkkinatuesta, kotoutujat poistettu]])</f>
        <v>389449.92700000003</v>
      </c>
      <c r="R77" s="458">
        <v>212558.95</v>
      </c>
      <c r="S77" s="467">
        <f>Taulukko919[[#This Row],[Uudistuksen mukainen osuus työmarkkinatuesta, keskiarvo]]-Taulukko919[[#This Row],[Nykytila, kuntien osuus työmarkkinatuesta]]</f>
        <v>176890.97700000001</v>
      </c>
    </row>
    <row r="78" spans="1:19">
      <c r="A78" s="456">
        <v>214</v>
      </c>
      <c r="B78" s="456" t="s">
        <v>78</v>
      </c>
      <c r="C78" s="457">
        <v>12394</v>
      </c>
      <c r="D78" s="458">
        <v>660102.26</v>
      </c>
      <c r="E78" s="458">
        <v>1304545.966</v>
      </c>
      <c r="F78" s="458">
        <f>Taulukko9[[#This Row],[Uudistuksen mukainen osuus työmarkkinatuesta*]]-Taulukko9[[#This Row],[Nykytila, kuntien osuus työmarkkinatuesta]]</f>
        <v>644443.70600000001</v>
      </c>
      <c r="G78" s="458">
        <v>48268.277000000002</v>
      </c>
      <c r="H78" s="458">
        <v>206523.08830062201</v>
      </c>
      <c r="I78" s="459">
        <f>Taulukko9[[#This Row],[Uudistuksen mukainen osuus työmarkkinatuesta*]]+Taulukko9[[#This Row],[Uudistuksen mukainen osuus peruspäivärahasta]]+Taulukko9[[#This Row],[Uudistuksen mukainen osuus ansiopäivärahasta]]</f>
        <v>1559337.3313006221</v>
      </c>
      <c r="J78" s="467">
        <f>Taulukko9[[#This Row],[Uudistuksen mukainen rahoitusvastuu yhteensä]]-Taulukko9[[#This Row],[Nykytila, kuntien osuus työmarkkinatuesta]]</f>
        <v>899235.07130062208</v>
      </c>
      <c r="M78" s="456">
        <v>214</v>
      </c>
      <c r="N78" s="456" t="s">
        <v>78</v>
      </c>
      <c r="O78" s="458">
        <v>1315661.7150000001</v>
      </c>
      <c r="P78" s="458">
        <v>1293430.2169999999</v>
      </c>
      <c r="Q78" s="458">
        <f>AVERAGE(Taulukko919[[#This Row],[Uudistuksen mukainen osuus työmarkkinatuesta, kotoutujia ei poistettu]:[Uudistuksen mukainen osuus työmarkkinatuesta, kotoutujat poistettu]])</f>
        <v>1304545.966</v>
      </c>
      <c r="R78" s="458">
        <v>660102.26</v>
      </c>
      <c r="S78" s="467">
        <f>Taulukko919[[#This Row],[Uudistuksen mukainen osuus työmarkkinatuesta, keskiarvo]]-Taulukko919[[#This Row],[Nykytila, kuntien osuus työmarkkinatuesta]]</f>
        <v>644443.70600000001</v>
      </c>
    </row>
    <row r="79" spans="1:19">
      <c r="A79" s="456">
        <v>216</v>
      </c>
      <c r="B79" s="456" t="s">
        <v>79</v>
      </c>
      <c r="C79" s="457">
        <v>1217</v>
      </c>
      <c r="D79" s="458">
        <v>77091.77</v>
      </c>
      <c r="E79" s="458">
        <v>113500.393</v>
      </c>
      <c r="F79" s="458">
        <f>Taulukko9[[#This Row],[Uudistuksen mukainen osuus työmarkkinatuesta*]]-Taulukko9[[#This Row],[Nykytila, kuntien osuus työmarkkinatuesta]]</f>
        <v>36408.622999999992</v>
      </c>
      <c r="G79" s="458">
        <v>3750.1370000000002</v>
      </c>
      <c r="H79" s="458">
        <v>32111.7405944641</v>
      </c>
      <c r="I79" s="459">
        <f>Taulukko9[[#This Row],[Uudistuksen mukainen osuus työmarkkinatuesta*]]+Taulukko9[[#This Row],[Uudistuksen mukainen osuus peruspäivärahasta]]+Taulukko9[[#This Row],[Uudistuksen mukainen osuus ansiopäivärahasta]]</f>
        <v>149362.27059446409</v>
      </c>
      <c r="J79" s="467">
        <f>Taulukko9[[#This Row],[Uudistuksen mukainen rahoitusvastuu yhteensä]]-Taulukko9[[#This Row],[Nykytila, kuntien osuus työmarkkinatuesta]]</f>
        <v>72270.500594464087</v>
      </c>
      <c r="M79" s="456">
        <v>216</v>
      </c>
      <c r="N79" s="456" t="s">
        <v>79</v>
      </c>
      <c r="O79" s="458">
        <v>113500.393</v>
      </c>
      <c r="P79" s="458">
        <v>113500.393</v>
      </c>
      <c r="Q79" s="458">
        <f>AVERAGE(Taulukko919[[#This Row],[Uudistuksen mukainen osuus työmarkkinatuesta, kotoutujia ei poistettu]:[Uudistuksen mukainen osuus työmarkkinatuesta, kotoutujat poistettu]])</f>
        <v>113500.393</v>
      </c>
      <c r="R79" s="458">
        <v>77091.77</v>
      </c>
      <c r="S79" s="467">
        <f>Taulukko919[[#This Row],[Uudistuksen mukainen osuus työmarkkinatuesta, keskiarvo]]-Taulukko919[[#This Row],[Nykytila, kuntien osuus työmarkkinatuesta]]</f>
        <v>36408.622999999992</v>
      </c>
    </row>
    <row r="80" spans="1:19">
      <c r="A80" s="456">
        <v>217</v>
      </c>
      <c r="B80" s="456" t="s">
        <v>80</v>
      </c>
      <c r="C80" s="457">
        <v>5246</v>
      </c>
      <c r="D80" s="458">
        <v>235700.81</v>
      </c>
      <c r="E80" s="458">
        <v>316142.00300000003</v>
      </c>
      <c r="F80" s="458">
        <f>Taulukko9[[#This Row],[Uudistuksen mukainen osuus työmarkkinatuesta*]]-Taulukko9[[#This Row],[Nykytila, kuntien osuus työmarkkinatuesta]]</f>
        <v>80441.193000000028</v>
      </c>
      <c r="G80" s="458">
        <v>23954.016</v>
      </c>
      <c r="H80" s="458">
        <v>52063.3372641428</v>
      </c>
      <c r="I80" s="459">
        <f>Taulukko9[[#This Row],[Uudistuksen mukainen osuus työmarkkinatuesta*]]+Taulukko9[[#This Row],[Uudistuksen mukainen osuus peruspäivärahasta]]+Taulukko9[[#This Row],[Uudistuksen mukainen osuus ansiopäivärahasta]]</f>
        <v>392159.35626414284</v>
      </c>
      <c r="J80" s="467">
        <f>Taulukko9[[#This Row],[Uudistuksen mukainen rahoitusvastuu yhteensä]]-Taulukko9[[#This Row],[Nykytila, kuntien osuus työmarkkinatuesta]]</f>
        <v>156458.54626414285</v>
      </c>
      <c r="M80" s="456">
        <v>217</v>
      </c>
      <c r="N80" s="456" t="s">
        <v>80</v>
      </c>
      <c r="O80" s="458">
        <v>317400.17700000003</v>
      </c>
      <c r="P80" s="458">
        <v>314883.82900000003</v>
      </c>
      <c r="Q80" s="458">
        <f>AVERAGE(Taulukko919[[#This Row],[Uudistuksen mukainen osuus työmarkkinatuesta, kotoutujia ei poistettu]:[Uudistuksen mukainen osuus työmarkkinatuesta, kotoutujat poistettu]])</f>
        <v>316142.00300000003</v>
      </c>
      <c r="R80" s="458">
        <v>235700.81</v>
      </c>
      <c r="S80" s="467">
        <f>Taulukko919[[#This Row],[Uudistuksen mukainen osuus työmarkkinatuesta, keskiarvo]]-Taulukko919[[#This Row],[Nykytila, kuntien osuus työmarkkinatuesta]]</f>
        <v>80441.193000000028</v>
      </c>
    </row>
    <row r="81" spans="1:19">
      <c r="A81" s="456">
        <v>218</v>
      </c>
      <c r="B81" s="456" t="s">
        <v>81</v>
      </c>
      <c r="C81" s="457">
        <v>1188</v>
      </c>
      <c r="D81" s="458">
        <v>39298.699999999997</v>
      </c>
      <c r="E81" s="458">
        <v>67649.733500000002</v>
      </c>
      <c r="F81" s="458">
        <f>Taulukko9[[#This Row],[Uudistuksen mukainen osuus työmarkkinatuesta*]]-Taulukko9[[#This Row],[Nykytila, kuntien osuus työmarkkinatuesta]]</f>
        <v>28351.033500000005</v>
      </c>
      <c r="G81" s="458">
        <v>1136.3969999999999</v>
      </c>
      <c r="H81" s="458">
        <v>13544.976521864601</v>
      </c>
      <c r="I81" s="459">
        <f>Taulukko9[[#This Row],[Uudistuksen mukainen osuus työmarkkinatuesta*]]+Taulukko9[[#This Row],[Uudistuksen mukainen osuus peruspäivärahasta]]+Taulukko9[[#This Row],[Uudistuksen mukainen osuus ansiopäivärahasta]]</f>
        <v>82331.107021864605</v>
      </c>
      <c r="J81" s="467">
        <f>Taulukko9[[#This Row],[Uudistuksen mukainen rahoitusvastuu yhteensä]]-Taulukko9[[#This Row],[Nykytila, kuntien osuus työmarkkinatuesta]]</f>
        <v>43032.407021864608</v>
      </c>
      <c r="M81" s="456">
        <v>218</v>
      </c>
      <c r="N81" s="456" t="s">
        <v>81</v>
      </c>
      <c r="O81" s="458">
        <v>68830.907000000007</v>
      </c>
      <c r="P81" s="458">
        <v>66468.56</v>
      </c>
      <c r="Q81" s="458">
        <f>AVERAGE(Taulukko919[[#This Row],[Uudistuksen mukainen osuus työmarkkinatuesta, kotoutujia ei poistettu]:[Uudistuksen mukainen osuus työmarkkinatuesta, kotoutujat poistettu]])</f>
        <v>67649.733500000002</v>
      </c>
      <c r="R81" s="458">
        <v>39298.699999999997</v>
      </c>
      <c r="S81" s="467">
        <f>Taulukko919[[#This Row],[Uudistuksen mukainen osuus työmarkkinatuesta, keskiarvo]]-Taulukko919[[#This Row],[Nykytila, kuntien osuus työmarkkinatuesta]]</f>
        <v>28351.033500000005</v>
      </c>
    </row>
    <row r="82" spans="1:19">
      <c r="A82" s="456">
        <v>224</v>
      </c>
      <c r="B82" s="456" t="s">
        <v>82</v>
      </c>
      <c r="C82" s="457">
        <v>8581</v>
      </c>
      <c r="D82" s="458">
        <v>502281.73</v>
      </c>
      <c r="E82" s="458">
        <v>830334.34049999993</v>
      </c>
      <c r="F82" s="458">
        <f>Taulukko9[[#This Row],[Uudistuksen mukainen osuus työmarkkinatuesta*]]-Taulukko9[[#This Row],[Nykytila, kuntien osuus työmarkkinatuesta]]</f>
        <v>328052.61049999995</v>
      </c>
      <c r="G82" s="458">
        <v>59406.98</v>
      </c>
      <c r="H82" s="458">
        <v>148955.42249321399</v>
      </c>
      <c r="I82" s="459">
        <f>Taulukko9[[#This Row],[Uudistuksen mukainen osuus työmarkkinatuesta*]]+Taulukko9[[#This Row],[Uudistuksen mukainen osuus peruspäivärahasta]]+Taulukko9[[#This Row],[Uudistuksen mukainen osuus ansiopäivärahasta]]</f>
        <v>1038696.7429932139</v>
      </c>
      <c r="J82" s="467">
        <f>Taulukko9[[#This Row],[Uudistuksen mukainen rahoitusvastuu yhteensä]]-Taulukko9[[#This Row],[Nykytila, kuntien osuus työmarkkinatuesta]]</f>
        <v>536415.01299321395</v>
      </c>
      <c r="M82" s="456">
        <v>224</v>
      </c>
      <c r="N82" s="456" t="s">
        <v>82</v>
      </c>
      <c r="O82" s="458">
        <v>857461.51500000001</v>
      </c>
      <c r="P82" s="458">
        <v>803207.16599999997</v>
      </c>
      <c r="Q82" s="458">
        <f>AVERAGE(Taulukko919[[#This Row],[Uudistuksen mukainen osuus työmarkkinatuesta, kotoutujia ei poistettu]:[Uudistuksen mukainen osuus työmarkkinatuesta, kotoutujat poistettu]])</f>
        <v>830334.34049999993</v>
      </c>
      <c r="R82" s="458">
        <v>502281.73</v>
      </c>
      <c r="S82" s="467">
        <f>Taulukko919[[#This Row],[Uudistuksen mukainen osuus työmarkkinatuesta, keskiarvo]]-Taulukko919[[#This Row],[Nykytila, kuntien osuus työmarkkinatuesta]]</f>
        <v>328052.61049999995</v>
      </c>
    </row>
    <row r="83" spans="1:19">
      <c r="A83" s="456">
        <v>226</v>
      </c>
      <c r="B83" s="456" t="s">
        <v>83</v>
      </c>
      <c r="C83" s="457">
        <v>3625</v>
      </c>
      <c r="D83" s="458">
        <v>163718.38</v>
      </c>
      <c r="E83" s="458">
        <v>285563.48600000003</v>
      </c>
      <c r="F83" s="458">
        <f>Taulukko9[[#This Row],[Uudistuksen mukainen osuus työmarkkinatuesta*]]-Taulukko9[[#This Row],[Nykytila, kuntien osuus työmarkkinatuesta]]</f>
        <v>121845.10600000003</v>
      </c>
      <c r="G83" s="458">
        <v>9308.2340000000004</v>
      </c>
      <c r="H83" s="458">
        <v>89580.465848341701</v>
      </c>
      <c r="I83" s="459">
        <f>Taulukko9[[#This Row],[Uudistuksen mukainen osuus työmarkkinatuesta*]]+Taulukko9[[#This Row],[Uudistuksen mukainen osuus peruspäivärahasta]]+Taulukko9[[#This Row],[Uudistuksen mukainen osuus ansiopäivärahasta]]</f>
        <v>384452.18584834173</v>
      </c>
      <c r="J83" s="467">
        <f>Taulukko9[[#This Row],[Uudistuksen mukainen rahoitusvastuu yhteensä]]-Taulukko9[[#This Row],[Nykytila, kuntien osuus työmarkkinatuesta]]</f>
        <v>220733.80584834173</v>
      </c>
      <c r="M83" s="456">
        <v>226</v>
      </c>
      <c r="N83" s="456" t="s">
        <v>83</v>
      </c>
      <c r="O83" s="458">
        <v>287897.766</v>
      </c>
      <c r="P83" s="458">
        <v>283229.20600000001</v>
      </c>
      <c r="Q83" s="458">
        <f>AVERAGE(Taulukko919[[#This Row],[Uudistuksen mukainen osuus työmarkkinatuesta, kotoutujia ei poistettu]:[Uudistuksen mukainen osuus työmarkkinatuesta, kotoutujat poistettu]])</f>
        <v>285563.48600000003</v>
      </c>
      <c r="R83" s="458">
        <v>163718.38</v>
      </c>
      <c r="S83" s="467">
        <f>Taulukko919[[#This Row],[Uudistuksen mukainen osuus työmarkkinatuesta, keskiarvo]]-Taulukko919[[#This Row],[Nykytila, kuntien osuus työmarkkinatuesta]]</f>
        <v>121845.10600000003</v>
      </c>
    </row>
    <row r="84" spans="1:19">
      <c r="A84" s="456">
        <v>230</v>
      </c>
      <c r="B84" s="456" t="s">
        <v>84</v>
      </c>
      <c r="C84" s="457">
        <v>2216</v>
      </c>
      <c r="D84" s="458">
        <v>75324.62</v>
      </c>
      <c r="E84" s="458">
        <v>194349.85800000001</v>
      </c>
      <c r="F84" s="458">
        <f>Taulukko9[[#This Row],[Uudistuksen mukainen osuus työmarkkinatuesta*]]-Taulukko9[[#This Row],[Nykytila, kuntien osuus työmarkkinatuesta]]</f>
        <v>119025.23800000001</v>
      </c>
      <c r="G84" s="458">
        <v>8149.9719999999998</v>
      </c>
      <c r="H84" s="458">
        <v>28145.372923991301</v>
      </c>
      <c r="I84" s="459">
        <f>Taulukko9[[#This Row],[Uudistuksen mukainen osuus työmarkkinatuesta*]]+Taulukko9[[#This Row],[Uudistuksen mukainen osuus peruspäivärahasta]]+Taulukko9[[#This Row],[Uudistuksen mukainen osuus ansiopäivärahasta]]</f>
        <v>230645.20292399131</v>
      </c>
      <c r="J84" s="467">
        <f>Taulukko9[[#This Row],[Uudistuksen mukainen rahoitusvastuu yhteensä]]-Taulukko9[[#This Row],[Nykytila, kuntien osuus työmarkkinatuesta]]</f>
        <v>155320.58292399131</v>
      </c>
      <c r="M84" s="456">
        <v>230</v>
      </c>
      <c r="N84" s="456" t="s">
        <v>84</v>
      </c>
      <c r="O84" s="458">
        <v>196708.508</v>
      </c>
      <c r="P84" s="458">
        <v>191991.20800000001</v>
      </c>
      <c r="Q84" s="458">
        <f>AVERAGE(Taulukko919[[#This Row],[Uudistuksen mukainen osuus työmarkkinatuesta, kotoutujia ei poistettu]:[Uudistuksen mukainen osuus työmarkkinatuesta, kotoutujat poistettu]])</f>
        <v>194349.85800000001</v>
      </c>
      <c r="R84" s="458">
        <v>75324.62</v>
      </c>
      <c r="S84" s="467">
        <f>Taulukko919[[#This Row],[Uudistuksen mukainen osuus työmarkkinatuesta, keskiarvo]]-Taulukko919[[#This Row],[Nykytila, kuntien osuus työmarkkinatuesta]]</f>
        <v>119025.23800000001</v>
      </c>
    </row>
    <row r="85" spans="1:19">
      <c r="A85" s="456">
        <v>231</v>
      </c>
      <c r="B85" s="456" t="s">
        <v>85</v>
      </c>
      <c r="C85" s="457">
        <v>1208</v>
      </c>
      <c r="D85" s="458">
        <v>31726.54</v>
      </c>
      <c r="E85" s="458">
        <v>45117.183499999999</v>
      </c>
      <c r="F85" s="458">
        <f>Taulukko9[[#This Row],[Uudistuksen mukainen osuus työmarkkinatuesta*]]-Taulukko9[[#This Row],[Nykytila, kuntien osuus työmarkkinatuesta]]</f>
        <v>13390.643499999998</v>
      </c>
      <c r="G85" s="458">
        <v>3569.14</v>
      </c>
      <c r="H85" s="458">
        <v>29819.754154959301</v>
      </c>
      <c r="I85" s="459">
        <f>Taulukko9[[#This Row],[Uudistuksen mukainen osuus työmarkkinatuesta*]]+Taulukko9[[#This Row],[Uudistuksen mukainen osuus peruspäivärahasta]]+Taulukko9[[#This Row],[Uudistuksen mukainen osuus ansiopäivärahasta]]</f>
        <v>78506.077654959299</v>
      </c>
      <c r="J85" s="467">
        <f>Taulukko9[[#This Row],[Uudistuksen mukainen rahoitusvastuu yhteensä]]-Taulukko9[[#This Row],[Nykytila, kuntien osuus työmarkkinatuesta]]</f>
        <v>46779.537654959298</v>
      </c>
      <c r="M85" s="456">
        <v>231</v>
      </c>
      <c r="N85" s="456" t="s">
        <v>85</v>
      </c>
      <c r="O85" s="458">
        <v>46302.762999999999</v>
      </c>
      <c r="P85" s="458">
        <v>43931.603999999999</v>
      </c>
      <c r="Q85" s="458">
        <f>AVERAGE(Taulukko919[[#This Row],[Uudistuksen mukainen osuus työmarkkinatuesta, kotoutujia ei poistettu]:[Uudistuksen mukainen osuus työmarkkinatuesta, kotoutujat poistettu]])</f>
        <v>45117.183499999999</v>
      </c>
      <c r="R85" s="458">
        <v>31726.54</v>
      </c>
      <c r="S85" s="467">
        <f>Taulukko919[[#This Row],[Uudistuksen mukainen osuus työmarkkinatuesta, keskiarvo]]-Taulukko919[[#This Row],[Nykytila, kuntien osuus työmarkkinatuesta]]</f>
        <v>13390.643499999998</v>
      </c>
    </row>
    <row r="86" spans="1:19">
      <c r="A86" s="456">
        <v>232</v>
      </c>
      <c r="B86" s="456" t="s">
        <v>86</v>
      </c>
      <c r="C86" s="457">
        <v>12618</v>
      </c>
      <c r="D86" s="458">
        <v>630170.19999999995</v>
      </c>
      <c r="E86" s="458">
        <v>1107514.183</v>
      </c>
      <c r="F86" s="458">
        <f>Taulukko9[[#This Row],[Uudistuksen mukainen osuus työmarkkinatuesta*]]-Taulukko9[[#This Row],[Nykytila, kuntien osuus työmarkkinatuesta]]</f>
        <v>477343.98300000001</v>
      </c>
      <c r="G86" s="458">
        <v>48982.036</v>
      </c>
      <c r="H86" s="458">
        <v>135305.72299529699</v>
      </c>
      <c r="I86" s="459">
        <f>Taulukko9[[#This Row],[Uudistuksen mukainen osuus työmarkkinatuesta*]]+Taulukko9[[#This Row],[Uudistuksen mukainen osuus peruspäivärahasta]]+Taulukko9[[#This Row],[Uudistuksen mukainen osuus ansiopäivärahasta]]</f>
        <v>1291801.9419952971</v>
      </c>
      <c r="J86" s="467">
        <f>Taulukko9[[#This Row],[Uudistuksen mukainen rahoitusvastuu yhteensä]]-Taulukko9[[#This Row],[Nykytila, kuntien osuus työmarkkinatuesta]]</f>
        <v>661631.74199529714</v>
      </c>
      <c r="M86" s="456">
        <v>232</v>
      </c>
      <c r="N86" s="456" t="s">
        <v>86</v>
      </c>
      <c r="O86" s="458">
        <v>1118250.2339999999</v>
      </c>
      <c r="P86" s="458">
        <v>1096778.132</v>
      </c>
      <c r="Q86" s="458">
        <f>AVERAGE(Taulukko919[[#This Row],[Uudistuksen mukainen osuus työmarkkinatuesta, kotoutujia ei poistettu]:[Uudistuksen mukainen osuus työmarkkinatuesta, kotoutujat poistettu]])</f>
        <v>1107514.183</v>
      </c>
      <c r="R86" s="458">
        <v>630170.19999999995</v>
      </c>
      <c r="S86" s="467">
        <f>Taulukko919[[#This Row],[Uudistuksen mukainen osuus työmarkkinatuesta, keskiarvo]]-Taulukko919[[#This Row],[Nykytila, kuntien osuus työmarkkinatuesta]]</f>
        <v>477343.98300000001</v>
      </c>
    </row>
    <row r="87" spans="1:19">
      <c r="A87" s="456">
        <v>233</v>
      </c>
      <c r="B87" s="456" t="s">
        <v>87</v>
      </c>
      <c r="C87" s="457">
        <v>15165</v>
      </c>
      <c r="D87" s="458">
        <v>437248.07</v>
      </c>
      <c r="E87" s="458">
        <v>703717.53450000007</v>
      </c>
      <c r="F87" s="458">
        <f>Taulukko9[[#This Row],[Uudistuksen mukainen osuus työmarkkinatuesta*]]-Taulukko9[[#This Row],[Nykytila, kuntien osuus työmarkkinatuesta]]</f>
        <v>266469.46450000006</v>
      </c>
      <c r="G87" s="458">
        <v>65011.803999999996</v>
      </c>
      <c r="H87" s="458">
        <v>116485.904534259</v>
      </c>
      <c r="I87" s="459">
        <f>Taulukko9[[#This Row],[Uudistuksen mukainen osuus työmarkkinatuesta*]]+Taulukko9[[#This Row],[Uudistuksen mukainen osuus peruspäivärahasta]]+Taulukko9[[#This Row],[Uudistuksen mukainen osuus ansiopäivärahasta]]</f>
        <v>885215.24303425907</v>
      </c>
      <c r="J87" s="467">
        <f>Taulukko9[[#This Row],[Uudistuksen mukainen rahoitusvastuu yhteensä]]-Taulukko9[[#This Row],[Nykytila, kuntien osuus työmarkkinatuesta]]</f>
        <v>447967.17303425906</v>
      </c>
      <c r="M87" s="456">
        <v>233</v>
      </c>
      <c r="N87" s="456" t="s">
        <v>87</v>
      </c>
      <c r="O87" s="458">
        <v>714291.26</v>
      </c>
      <c r="P87" s="458">
        <v>693143.80900000001</v>
      </c>
      <c r="Q87" s="458">
        <f>AVERAGE(Taulukko919[[#This Row],[Uudistuksen mukainen osuus työmarkkinatuesta, kotoutujia ei poistettu]:[Uudistuksen mukainen osuus työmarkkinatuesta, kotoutujat poistettu]])</f>
        <v>703717.53450000007</v>
      </c>
      <c r="R87" s="458">
        <v>437248.07</v>
      </c>
      <c r="S87" s="467">
        <f>Taulukko919[[#This Row],[Uudistuksen mukainen osuus työmarkkinatuesta, keskiarvo]]-Taulukko919[[#This Row],[Nykytila, kuntien osuus työmarkkinatuesta]]</f>
        <v>266469.46450000006</v>
      </c>
    </row>
    <row r="88" spans="1:19">
      <c r="A88" s="456">
        <v>235</v>
      </c>
      <c r="B88" s="456" t="s">
        <v>88</v>
      </c>
      <c r="C88" s="457">
        <v>10270</v>
      </c>
      <c r="D88" s="458">
        <v>553911.76</v>
      </c>
      <c r="E88" s="458">
        <v>553460.50300000003</v>
      </c>
      <c r="F88" s="458">
        <f>Taulukko9[[#This Row],[Uudistuksen mukainen osuus työmarkkinatuesta*]]-Taulukko9[[#This Row],[Nykytila, kuntien osuus työmarkkinatuesta]]</f>
        <v>-451.25699999998324</v>
      </c>
      <c r="G88" s="458">
        <v>17564.544999999998</v>
      </c>
      <c r="H88" s="458">
        <v>90742.524234668905</v>
      </c>
      <c r="I88" s="459">
        <f>Taulukko9[[#This Row],[Uudistuksen mukainen osuus työmarkkinatuesta*]]+Taulukko9[[#This Row],[Uudistuksen mukainen osuus peruspäivärahasta]]+Taulukko9[[#This Row],[Uudistuksen mukainen osuus ansiopäivärahasta]]</f>
        <v>661767.572234669</v>
      </c>
      <c r="J88" s="467">
        <f>Taulukko9[[#This Row],[Uudistuksen mukainen rahoitusvastuu yhteensä]]-Taulukko9[[#This Row],[Nykytila, kuntien osuus työmarkkinatuesta]]</f>
        <v>107855.81223466899</v>
      </c>
      <c r="M88" s="456">
        <v>235</v>
      </c>
      <c r="N88" s="456" t="s">
        <v>88</v>
      </c>
      <c r="O88" s="458">
        <v>590608.24199999997</v>
      </c>
      <c r="P88" s="458">
        <v>516312.76400000002</v>
      </c>
      <c r="Q88" s="458">
        <f>AVERAGE(Taulukko919[[#This Row],[Uudistuksen mukainen osuus työmarkkinatuesta, kotoutujia ei poistettu]:[Uudistuksen mukainen osuus työmarkkinatuesta, kotoutujat poistettu]])</f>
        <v>553460.50300000003</v>
      </c>
      <c r="R88" s="458">
        <v>553911.76</v>
      </c>
      <c r="S88" s="467">
        <f>Taulukko919[[#This Row],[Uudistuksen mukainen osuus työmarkkinatuesta, keskiarvo]]-Taulukko919[[#This Row],[Nykytila, kuntien osuus työmarkkinatuesta]]</f>
        <v>-451.25699999998324</v>
      </c>
    </row>
    <row r="89" spans="1:19">
      <c r="A89" s="456">
        <v>236</v>
      </c>
      <c r="B89" s="456" t="s">
        <v>89</v>
      </c>
      <c r="C89" s="457">
        <v>4137</v>
      </c>
      <c r="D89" s="458">
        <v>177703.8</v>
      </c>
      <c r="E89" s="458">
        <v>251097.32799999998</v>
      </c>
      <c r="F89" s="458">
        <f>Taulukko9[[#This Row],[Uudistuksen mukainen osuus työmarkkinatuesta*]]-Taulukko9[[#This Row],[Nykytila, kuntien osuus työmarkkinatuesta]]</f>
        <v>73393.527999999991</v>
      </c>
      <c r="G89" s="458">
        <v>7108.125</v>
      </c>
      <c r="H89" s="458">
        <v>39580.777176423697</v>
      </c>
      <c r="I89" s="459">
        <f>Taulukko9[[#This Row],[Uudistuksen mukainen osuus työmarkkinatuesta*]]+Taulukko9[[#This Row],[Uudistuksen mukainen osuus peruspäivärahasta]]+Taulukko9[[#This Row],[Uudistuksen mukainen osuus ansiopäivärahasta]]</f>
        <v>297786.23017642368</v>
      </c>
      <c r="J89" s="467">
        <f>Taulukko9[[#This Row],[Uudistuksen mukainen rahoitusvastuu yhteensä]]-Taulukko9[[#This Row],[Nykytila, kuntien osuus työmarkkinatuesta]]</f>
        <v>120082.43017642369</v>
      </c>
      <c r="M89" s="456">
        <v>236</v>
      </c>
      <c r="N89" s="456" t="s">
        <v>89</v>
      </c>
      <c r="O89" s="458">
        <v>251171.74799999999</v>
      </c>
      <c r="P89" s="458">
        <v>251022.908</v>
      </c>
      <c r="Q89" s="458">
        <f>AVERAGE(Taulukko919[[#This Row],[Uudistuksen mukainen osuus työmarkkinatuesta, kotoutujia ei poistettu]:[Uudistuksen mukainen osuus työmarkkinatuesta, kotoutujat poistettu]])</f>
        <v>251097.32799999998</v>
      </c>
      <c r="R89" s="458">
        <v>177703.8</v>
      </c>
      <c r="S89" s="467">
        <f>Taulukko919[[#This Row],[Uudistuksen mukainen osuus työmarkkinatuesta, keskiarvo]]-Taulukko919[[#This Row],[Nykytila, kuntien osuus työmarkkinatuesta]]</f>
        <v>73393.527999999991</v>
      </c>
    </row>
    <row r="90" spans="1:19">
      <c r="A90" s="456">
        <v>239</v>
      </c>
      <c r="B90" s="456" t="s">
        <v>90</v>
      </c>
      <c r="C90" s="457">
        <v>2035</v>
      </c>
      <c r="D90" s="458">
        <v>118709.15</v>
      </c>
      <c r="E90" s="458">
        <v>135656.22200000001</v>
      </c>
      <c r="F90" s="458">
        <f>Taulukko9[[#This Row],[Uudistuksen mukainen osuus työmarkkinatuesta*]]-Taulukko9[[#This Row],[Nykytila, kuntien osuus työmarkkinatuesta]]</f>
        <v>16947.072000000015</v>
      </c>
      <c r="G90" s="458">
        <v>4022.5569999999998</v>
      </c>
      <c r="H90" s="458">
        <v>32013.7351866559</v>
      </c>
      <c r="I90" s="459">
        <f>Taulukko9[[#This Row],[Uudistuksen mukainen osuus työmarkkinatuesta*]]+Taulukko9[[#This Row],[Uudistuksen mukainen osuus peruspäivärahasta]]+Taulukko9[[#This Row],[Uudistuksen mukainen osuus ansiopäivärahasta]]</f>
        <v>171692.5141866559</v>
      </c>
      <c r="J90" s="467">
        <f>Taulukko9[[#This Row],[Uudistuksen mukainen rahoitusvastuu yhteensä]]-Taulukko9[[#This Row],[Nykytila, kuntien osuus työmarkkinatuesta]]</f>
        <v>52983.364186655905</v>
      </c>
      <c r="M90" s="456">
        <v>239</v>
      </c>
      <c r="N90" s="456" t="s">
        <v>90</v>
      </c>
      <c r="O90" s="458">
        <v>135656.22200000001</v>
      </c>
      <c r="P90" s="458">
        <v>135656.22200000001</v>
      </c>
      <c r="Q90" s="458">
        <f>AVERAGE(Taulukko919[[#This Row],[Uudistuksen mukainen osuus työmarkkinatuesta, kotoutujia ei poistettu]:[Uudistuksen mukainen osuus työmarkkinatuesta, kotoutujat poistettu]])</f>
        <v>135656.22200000001</v>
      </c>
      <c r="R90" s="458">
        <v>118709.15</v>
      </c>
      <c r="S90" s="467">
        <f>Taulukko919[[#This Row],[Uudistuksen mukainen osuus työmarkkinatuesta, keskiarvo]]-Taulukko919[[#This Row],[Nykytila, kuntien osuus työmarkkinatuesta]]</f>
        <v>16947.072000000015</v>
      </c>
    </row>
    <row r="91" spans="1:19">
      <c r="A91" s="456">
        <v>240</v>
      </c>
      <c r="B91" s="456" t="s">
        <v>91</v>
      </c>
      <c r="C91" s="457">
        <v>19371</v>
      </c>
      <c r="D91" s="458">
        <v>1934381.91</v>
      </c>
      <c r="E91" s="458">
        <v>2415544.1809999999</v>
      </c>
      <c r="F91" s="458">
        <f>Taulukko9[[#This Row],[Uudistuksen mukainen osuus työmarkkinatuesta*]]-Taulukko9[[#This Row],[Nykytila, kuntien osuus työmarkkinatuesta]]</f>
        <v>481162.27099999995</v>
      </c>
      <c r="G91" s="458">
        <v>81552.501999999993</v>
      </c>
      <c r="H91" s="458">
        <v>513727.52654337097</v>
      </c>
      <c r="I91" s="459">
        <f>Taulukko9[[#This Row],[Uudistuksen mukainen osuus työmarkkinatuesta*]]+Taulukko9[[#This Row],[Uudistuksen mukainen osuus peruspäivärahasta]]+Taulukko9[[#This Row],[Uudistuksen mukainen osuus ansiopäivärahasta]]</f>
        <v>3010824.2095433706</v>
      </c>
      <c r="J91" s="467">
        <f>Taulukko9[[#This Row],[Uudistuksen mukainen rahoitusvastuu yhteensä]]-Taulukko9[[#This Row],[Nykytila, kuntien osuus työmarkkinatuesta]]</f>
        <v>1076442.2995433707</v>
      </c>
      <c r="M91" s="456">
        <v>240</v>
      </c>
      <c r="N91" s="456" t="s">
        <v>91</v>
      </c>
      <c r="O91" s="458">
        <v>2519743.6850000001</v>
      </c>
      <c r="P91" s="458">
        <v>2311344.6770000001</v>
      </c>
      <c r="Q91" s="458">
        <f>AVERAGE(Taulukko919[[#This Row],[Uudistuksen mukainen osuus työmarkkinatuesta, kotoutujia ei poistettu]:[Uudistuksen mukainen osuus työmarkkinatuesta, kotoutujat poistettu]])</f>
        <v>2415544.1809999999</v>
      </c>
      <c r="R91" s="458">
        <v>1934381.91</v>
      </c>
      <c r="S91" s="467">
        <f>Taulukko919[[#This Row],[Uudistuksen mukainen osuus työmarkkinatuesta, keskiarvo]]-Taulukko919[[#This Row],[Nykytila, kuntien osuus työmarkkinatuesta]]</f>
        <v>481162.27099999995</v>
      </c>
    </row>
    <row r="92" spans="1:19">
      <c r="A92" s="456">
        <v>241</v>
      </c>
      <c r="B92" s="456" t="s">
        <v>92</v>
      </c>
      <c r="C92" s="457">
        <v>7691</v>
      </c>
      <c r="D92" s="458">
        <v>276311.19</v>
      </c>
      <c r="E92" s="458">
        <v>399437.15950000001</v>
      </c>
      <c r="F92" s="458">
        <f>Taulukko9[[#This Row],[Uudistuksen mukainen osuus työmarkkinatuesta*]]-Taulukko9[[#This Row],[Nykytila, kuntien osuus työmarkkinatuesta]]</f>
        <v>123125.96950000001</v>
      </c>
      <c r="G92" s="458">
        <v>15908.432000000001</v>
      </c>
      <c r="H92" s="458">
        <v>160018.36358255</v>
      </c>
      <c r="I92" s="459">
        <f>Taulukko9[[#This Row],[Uudistuksen mukainen osuus työmarkkinatuesta*]]+Taulukko9[[#This Row],[Uudistuksen mukainen osuus peruspäivärahasta]]+Taulukko9[[#This Row],[Uudistuksen mukainen osuus ansiopäivärahasta]]</f>
        <v>575363.95508254995</v>
      </c>
      <c r="J92" s="467">
        <f>Taulukko9[[#This Row],[Uudistuksen mukainen rahoitusvastuu yhteensä]]-Taulukko9[[#This Row],[Nykytila, kuntien osuus työmarkkinatuesta]]</f>
        <v>299052.76508254994</v>
      </c>
      <c r="M92" s="456">
        <v>241</v>
      </c>
      <c r="N92" s="456" t="s">
        <v>92</v>
      </c>
      <c r="O92" s="458">
        <v>402615.163</v>
      </c>
      <c r="P92" s="458">
        <v>396259.15600000002</v>
      </c>
      <c r="Q92" s="458">
        <f>AVERAGE(Taulukko919[[#This Row],[Uudistuksen mukainen osuus työmarkkinatuesta, kotoutujia ei poistettu]:[Uudistuksen mukainen osuus työmarkkinatuesta, kotoutujat poistettu]])</f>
        <v>399437.15950000001</v>
      </c>
      <c r="R92" s="458">
        <v>276311.19</v>
      </c>
      <c r="S92" s="467">
        <f>Taulukko919[[#This Row],[Uudistuksen mukainen osuus työmarkkinatuesta, keskiarvo]]-Taulukko919[[#This Row],[Nykytila, kuntien osuus työmarkkinatuesta]]</f>
        <v>123125.96950000001</v>
      </c>
    </row>
    <row r="93" spans="1:19">
      <c r="A93" s="456">
        <v>244</v>
      </c>
      <c r="B93" s="456" t="s">
        <v>93</v>
      </c>
      <c r="C93" s="457">
        <v>19514</v>
      </c>
      <c r="D93" s="458">
        <v>632632.92000000004</v>
      </c>
      <c r="E93" s="458">
        <v>914425.67449999996</v>
      </c>
      <c r="F93" s="458">
        <f>Taulukko9[[#This Row],[Uudistuksen mukainen osuus työmarkkinatuesta*]]-Taulukko9[[#This Row],[Nykytila, kuntien osuus työmarkkinatuesta]]</f>
        <v>281792.75449999992</v>
      </c>
      <c r="G93" s="458">
        <v>56899.56</v>
      </c>
      <c r="H93" s="458">
        <v>322421.96896313498</v>
      </c>
      <c r="I93" s="459">
        <f>Taulukko9[[#This Row],[Uudistuksen mukainen osuus työmarkkinatuesta*]]+Taulukko9[[#This Row],[Uudistuksen mukainen osuus peruspäivärahasta]]+Taulukko9[[#This Row],[Uudistuksen mukainen osuus ansiopäivärahasta]]</f>
        <v>1293747.2034631351</v>
      </c>
      <c r="J93" s="467">
        <f>Taulukko9[[#This Row],[Uudistuksen mukainen rahoitusvastuu yhteensä]]-Taulukko9[[#This Row],[Nykytila, kuntien osuus työmarkkinatuesta]]</f>
        <v>661114.28346313501</v>
      </c>
      <c r="M93" s="456">
        <v>244</v>
      </c>
      <c r="N93" s="456" t="s">
        <v>93</v>
      </c>
      <c r="O93" s="458">
        <v>920414.23899999994</v>
      </c>
      <c r="P93" s="458">
        <v>908437.11</v>
      </c>
      <c r="Q93" s="458">
        <f>AVERAGE(Taulukko919[[#This Row],[Uudistuksen mukainen osuus työmarkkinatuesta, kotoutujia ei poistettu]:[Uudistuksen mukainen osuus työmarkkinatuesta, kotoutujat poistettu]])</f>
        <v>914425.67449999996</v>
      </c>
      <c r="R93" s="458">
        <v>632632.92000000004</v>
      </c>
      <c r="S93" s="467">
        <f>Taulukko919[[#This Row],[Uudistuksen mukainen osuus työmarkkinatuesta, keskiarvo]]-Taulukko919[[#This Row],[Nykytila, kuntien osuus työmarkkinatuesta]]</f>
        <v>281792.75449999992</v>
      </c>
    </row>
    <row r="94" spans="1:19">
      <c r="A94" s="456">
        <v>245</v>
      </c>
      <c r="B94" s="456" t="s">
        <v>94</v>
      </c>
      <c r="C94" s="457">
        <v>38211</v>
      </c>
      <c r="D94" s="458">
        <v>3907342.43</v>
      </c>
      <c r="E94" s="458">
        <v>4918372.977</v>
      </c>
      <c r="F94" s="458">
        <f>Taulukko9[[#This Row],[Uudistuksen mukainen osuus työmarkkinatuesta*]]-Taulukko9[[#This Row],[Nykytila, kuntien osuus työmarkkinatuesta]]</f>
        <v>1011030.5469999998</v>
      </c>
      <c r="G94" s="458">
        <v>212843.09299999999</v>
      </c>
      <c r="H94" s="458">
        <v>506688.25990866398</v>
      </c>
      <c r="I94" s="459">
        <f>Taulukko9[[#This Row],[Uudistuksen mukainen osuus työmarkkinatuesta*]]+Taulukko9[[#This Row],[Uudistuksen mukainen osuus peruspäivärahasta]]+Taulukko9[[#This Row],[Uudistuksen mukainen osuus ansiopäivärahasta]]</f>
        <v>5637904.3299086643</v>
      </c>
      <c r="J94" s="467">
        <f>Taulukko9[[#This Row],[Uudistuksen mukainen rahoitusvastuu yhteensä]]-Taulukko9[[#This Row],[Nykytila, kuntien osuus työmarkkinatuesta]]</f>
        <v>1730561.8999086642</v>
      </c>
      <c r="M94" s="456">
        <v>245</v>
      </c>
      <c r="N94" s="456" t="s">
        <v>94</v>
      </c>
      <c r="O94" s="458">
        <v>5152668.0930000003</v>
      </c>
      <c r="P94" s="458">
        <v>4684077.8609999996</v>
      </c>
      <c r="Q94" s="458">
        <f>AVERAGE(Taulukko919[[#This Row],[Uudistuksen mukainen osuus työmarkkinatuesta, kotoutujia ei poistettu]:[Uudistuksen mukainen osuus työmarkkinatuesta, kotoutujat poistettu]])</f>
        <v>4918372.977</v>
      </c>
      <c r="R94" s="458">
        <v>3907342.43</v>
      </c>
      <c r="S94" s="467">
        <f>Taulukko919[[#This Row],[Uudistuksen mukainen osuus työmarkkinatuesta, keskiarvo]]-Taulukko919[[#This Row],[Nykytila, kuntien osuus työmarkkinatuesta]]</f>
        <v>1011030.5469999998</v>
      </c>
    </row>
    <row r="95" spans="1:19">
      <c r="A95" s="456">
        <v>249</v>
      </c>
      <c r="B95" s="456" t="s">
        <v>95</v>
      </c>
      <c r="C95" s="457">
        <v>9184</v>
      </c>
      <c r="D95" s="458">
        <v>431663.63</v>
      </c>
      <c r="E95" s="458">
        <v>1048670.189</v>
      </c>
      <c r="F95" s="458">
        <f>Taulukko9[[#This Row],[Uudistuksen mukainen osuus työmarkkinatuesta*]]-Taulukko9[[#This Row],[Nykytila, kuntien osuus työmarkkinatuesta]]</f>
        <v>617006.55900000001</v>
      </c>
      <c r="G95" s="458">
        <v>41388.355000000003</v>
      </c>
      <c r="H95" s="458">
        <v>152852.35435366601</v>
      </c>
      <c r="I95" s="459">
        <f>Taulukko9[[#This Row],[Uudistuksen mukainen osuus työmarkkinatuesta*]]+Taulukko9[[#This Row],[Uudistuksen mukainen osuus peruspäivärahasta]]+Taulukko9[[#This Row],[Uudistuksen mukainen osuus ansiopäivärahasta]]</f>
        <v>1242910.8983536661</v>
      </c>
      <c r="J95" s="467">
        <f>Taulukko9[[#This Row],[Uudistuksen mukainen rahoitusvastuu yhteensä]]-Taulukko9[[#This Row],[Nykytila, kuntien osuus työmarkkinatuesta]]</f>
        <v>811247.26835366606</v>
      </c>
      <c r="M95" s="456">
        <v>249</v>
      </c>
      <c r="N95" s="456" t="s">
        <v>95</v>
      </c>
      <c r="O95" s="458">
        <v>1060829.571</v>
      </c>
      <c r="P95" s="458">
        <v>1036510.807</v>
      </c>
      <c r="Q95" s="458">
        <f>AVERAGE(Taulukko919[[#This Row],[Uudistuksen mukainen osuus työmarkkinatuesta, kotoutujia ei poistettu]:[Uudistuksen mukainen osuus työmarkkinatuesta, kotoutujat poistettu]])</f>
        <v>1048670.189</v>
      </c>
      <c r="R95" s="458">
        <v>431663.63</v>
      </c>
      <c r="S95" s="467">
        <f>Taulukko919[[#This Row],[Uudistuksen mukainen osuus työmarkkinatuesta, keskiarvo]]-Taulukko919[[#This Row],[Nykytila, kuntien osuus työmarkkinatuesta]]</f>
        <v>617006.55900000001</v>
      </c>
    </row>
    <row r="96" spans="1:19">
      <c r="A96" s="456">
        <v>250</v>
      </c>
      <c r="B96" s="456" t="s">
        <v>96</v>
      </c>
      <c r="C96" s="457">
        <v>1749</v>
      </c>
      <c r="D96" s="458">
        <v>71814.47</v>
      </c>
      <c r="E96" s="458">
        <v>133552.71900000001</v>
      </c>
      <c r="F96" s="458">
        <f>Taulukko9[[#This Row],[Uudistuksen mukainen osuus työmarkkinatuesta*]]-Taulukko9[[#This Row],[Nykytila, kuntien osuus työmarkkinatuesta]]</f>
        <v>61738.249000000011</v>
      </c>
      <c r="G96" s="458">
        <v>7340.9840000000004</v>
      </c>
      <c r="H96" s="458">
        <v>26967.4011964653</v>
      </c>
      <c r="I96" s="459">
        <f>Taulukko9[[#This Row],[Uudistuksen mukainen osuus työmarkkinatuesta*]]+Taulukko9[[#This Row],[Uudistuksen mukainen osuus peruspäivärahasta]]+Taulukko9[[#This Row],[Uudistuksen mukainen osuus ansiopäivärahasta]]</f>
        <v>167861.10419646531</v>
      </c>
      <c r="J96" s="467">
        <f>Taulukko9[[#This Row],[Uudistuksen mukainen rahoitusvastuu yhteensä]]-Taulukko9[[#This Row],[Nykytila, kuntien osuus työmarkkinatuesta]]</f>
        <v>96046.634196465311</v>
      </c>
      <c r="M96" s="456">
        <v>250</v>
      </c>
      <c r="N96" s="456" t="s">
        <v>96</v>
      </c>
      <c r="O96" s="458">
        <v>133552.71900000001</v>
      </c>
      <c r="P96" s="458">
        <v>133552.71900000001</v>
      </c>
      <c r="Q96" s="458">
        <f>AVERAGE(Taulukko919[[#This Row],[Uudistuksen mukainen osuus työmarkkinatuesta, kotoutujia ei poistettu]:[Uudistuksen mukainen osuus työmarkkinatuesta, kotoutujat poistettu]])</f>
        <v>133552.71900000001</v>
      </c>
      <c r="R96" s="458">
        <v>71814.47</v>
      </c>
      <c r="S96" s="467">
        <f>Taulukko919[[#This Row],[Uudistuksen mukainen osuus työmarkkinatuesta, keskiarvo]]-Taulukko919[[#This Row],[Nykytila, kuntien osuus työmarkkinatuesta]]</f>
        <v>61738.249000000011</v>
      </c>
    </row>
    <row r="97" spans="1:19">
      <c r="A97" s="456">
        <v>256</v>
      </c>
      <c r="B97" s="456" t="s">
        <v>97</v>
      </c>
      <c r="C97" s="457">
        <v>1523</v>
      </c>
      <c r="D97" s="458">
        <v>69115.22</v>
      </c>
      <c r="E97" s="458">
        <v>83688.561000000002</v>
      </c>
      <c r="F97" s="458">
        <f>Taulukko9[[#This Row],[Uudistuksen mukainen osuus työmarkkinatuesta*]]-Taulukko9[[#This Row],[Nykytila, kuntien osuus työmarkkinatuesta]]</f>
        <v>14573.341</v>
      </c>
      <c r="G97" s="458">
        <v>3910.453</v>
      </c>
      <c r="H97" s="458">
        <v>38135.926282913097</v>
      </c>
      <c r="I97" s="459">
        <f>Taulukko9[[#This Row],[Uudistuksen mukainen osuus työmarkkinatuesta*]]+Taulukko9[[#This Row],[Uudistuksen mukainen osuus peruspäivärahasta]]+Taulukko9[[#This Row],[Uudistuksen mukainen osuus ansiopäivärahasta]]</f>
        <v>125734.9402829131</v>
      </c>
      <c r="J97" s="467">
        <f>Taulukko9[[#This Row],[Uudistuksen mukainen rahoitusvastuu yhteensä]]-Taulukko9[[#This Row],[Nykytila, kuntien osuus työmarkkinatuesta]]</f>
        <v>56619.720282913098</v>
      </c>
      <c r="M97" s="456">
        <v>256</v>
      </c>
      <c r="N97" s="456" t="s">
        <v>97</v>
      </c>
      <c r="O97" s="458">
        <v>83688.561000000002</v>
      </c>
      <c r="P97" s="458">
        <v>83688.561000000002</v>
      </c>
      <c r="Q97" s="458">
        <f>AVERAGE(Taulukko919[[#This Row],[Uudistuksen mukainen osuus työmarkkinatuesta, kotoutujia ei poistettu]:[Uudistuksen mukainen osuus työmarkkinatuesta, kotoutujat poistettu]])</f>
        <v>83688.561000000002</v>
      </c>
      <c r="R97" s="458">
        <v>69115.22</v>
      </c>
      <c r="S97" s="467">
        <f>Taulukko919[[#This Row],[Uudistuksen mukainen osuus työmarkkinatuesta, keskiarvo]]-Taulukko919[[#This Row],[Nykytila, kuntien osuus työmarkkinatuesta]]</f>
        <v>14573.341</v>
      </c>
    </row>
    <row r="98" spans="1:19">
      <c r="A98" s="456">
        <v>257</v>
      </c>
      <c r="B98" s="456" t="s">
        <v>98</v>
      </c>
      <c r="C98" s="457">
        <v>41154</v>
      </c>
      <c r="D98" s="458">
        <v>2654177.5699999998</v>
      </c>
      <c r="E98" s="458">
        <v>3266121.8614999996</v>
      </c>
      <c r="F98" s="458">
        <f>Taulukko9[[#This Row],[Uudistuksen mukainen osuus työmarkkinatuesta*]]-Taulukko9[[#This Row],[Nykytila, kuntien osuus työmarkkinatuesta]]</f>
        <v>611944.29149999982</v>
      </c>
      <c r="G98" s="458">
        <v>134816.92800000001</v>
      </c>
      <c r="H98" s="458">
        <v>457138.98123434401</v>
      </c>
      <c r="I98" s="459">
        <f>Taulukko9[[#This Row],[Uudistuksen mukainen osuus työmarkkinatuesta*]]+Taulukko9[[#This Row],[Uudistuksen mukainen osuus peruspäivärahasta]]+Taulukko9[[#This Row],[Uudistuksen mukainen osuus ansiopäivärahasta]]</f>
        <v>3858077.7707343437</v>
      </c>
      <c r="J98" s="467">
        <f>Taulukko9[[#This Row],[Uudistuksen mukainen rahoitusvastuu yhteensä]]-Taulukko9[[#This Row],[Nykytila, kuntien osuus työmarkkinatuesta]]</f>
        <v>1203900.2007343438</v>
      </c>
      <c r="M98" s="456">
        <v>257</v>
      </c>
      <c r="N98" s="456" t="s">
        <v>98</v>
      </c>
      <c r="O98" s="458">
        <v>3402673.6039999998</v>
      </c>
      <c r="P98" s="458">
        <v>3129570.1189999999</v>
      </c>
      <c r="Q98" s="458">
        <f>AVERAGE(Taulukko919[[#This Row],[Uudistuksen mukainen osuus työmarkkinatuesta, kotoutujia ei poistettu]:[Uudistuksen mukainen osuus työmarkkinatuesta, kotoutujat poistettu]])</f>
        <v>3266121.8614999996</v>
      </c>
      <c r="R98" s="458">
        <v>2654177.5699999998</v>
      </c>
      <c r="S98" s="467">
        <f>Taulukko919[[#This Row],[Uudistuksen mukainen osuus työmarkkinatuesta, keskiarvo]]-Taulukko919[[#This Row],[Nykytila, kuntien osuus työmarkkinatuesta]]</f>
        <v>611944.29149999982</v>
      </c>
    </row>
    <row r="99" spans="1:19">
      <c r="A99" s="456">
        <v>260</v>
      </c>
      <c r="B99" s="456" t="s">
        <v>99</v>
      </c>
      <c r="C99" s="457">
        <v>9689</v>
      </c>
      <c r="D99" s="458">
        <v>863451.18</v>
      </c>
      <c r="E99" s="458">
        <v>1016762.799</v>
      </c>
      <c r="F99" s="458">
        <f>Taulukko9[[#This Row],[Uudistuksen mukainen osuus työmarkkinatuesta*]]-Taulukko9[[#This Row],[Nykytila, kuntien osuus työmarkkinatuesta]]</f>
        <v>153311.61899999995</v>
      </c>
      <c r="G99" s="458">
        <v>35120.612999999998</v>
      </c>
      <c r="H99" s="458">
        <v>264504.469762369</v>
      </c>
      <c r="I99" s="459">
        <f>Taulukko9[[#This Row],[Uudistuksen mukainen osuus työmarkkinatuesta*]]+Taulukko9[[#This Row],[Uudistuksen mukainen osuus peruspäivärahasta]]+Taulukko9[[#This Row],[Uudistuksen mukainen osuus ansiopäivärahasta]]</f>
        <v>1316387.8817623691</v>
      </c>
      <c r="J99" s="467">
        <f>Taulukko9[[#This Row],[Uudistuksen mukainen rahoitusvastuu yhteensä]]-Taulukko9[[#This Row],[Nykytila, kuntien osuus työmarkkinatuesta]]</f>
        <v>452936.70176236902</v>
      </c>
      <c r="M99" s="456">
        <v>260</v>
      </c>
      <c r="N99" s="456" t="s">
        <v>99</v>
      </c>
      <c r="O99" s="458">
        <v>1032715.482</v>
      </c>
      <c r="P99" s="458">
        <v>1000810.116</v>
      </c>
      <c r="Q99" s="458">
        <f>AVERAGE(Taulukko919[[#This Row],[Uudistuksen mukainen osuus työmarkkinatuesta, kotoutujia ei poistettu]:[Uudistuksen mukainen osuus työmarkkinatuesta, kotoutujat poistettu]])</f>
        <v>1016762.799</v>
      </c>
      <c r="R99" s="458">
        <v>863451.18</v>
      </c>
      <c r="S99" s="467">
        <f>Taulukko919[[#This Row],[Uudistuksen mukainen osuus työmarkkinatuesta, keskiarvo]]-Taulukko919[[#This Row],[Nykytila, kuntien osuus työmarkkinatuesta]]</f>
        <v>153311.61899999995</v>
      </c>
    </row>
    <row r="100" spans="1:19">
      <c r="A100" s="456">
        <v>261</v>
      </c>
      <c r="B100" s="456" t="s">
        <v>100</v>
      </c>
      <c r="C100" s="457">
        <v>6822</v>
      </c>
      <c r="D100" s="458">
        <v>220131.91</v>
      </c>
      <c r="E100" s="458">
        <v>279190.70199999999</v>
      </c>
      <c r="F100" s="458">
        <f>Taulukko9[[#This Row],[Uudistuksen mukainen osuus työmarkkinatuesta*]]-Taulukko9[[#This Row],[Nykytila, kuntien osuus työmarkkinatuesta]]</f>
        <v>59058.791999999987</v>
      </c>
      <c r="G100" s="458">
        <v>18600.561000000002</v>
      </c>
      <c r="H100" s="458">
        <v>139648.763560472</v>
      </c>
      <c r="I100" s="459">
        <f>Taulukko9[[#This Row],[Uudistuksen mukainen osuus työmarkkinatuesta*]]+Taulukko9[[#This Row],[Uudistuksen mukainen osuus peruspäivärahasta]]+Taulukko9[[#This Row],[Uudistuksen mukainen osuus ansiopäivärahasta]]</f>
        <v>437440.02656047198</v>
      </c>
      <c r="J100" s="467">
        <f>Taulukko9[[#This Row],[Uudistuksen mukainen rahoitusvastuu yhteensä]]-Taulukko9[[#This Row],[Nykytila, kuntien osuus työmarkkinatuesta]]</f>
        <v>217308.11656047197</v>
      </c>
      <c r="M100" s="456">
        <v>261</v>
      </c>
      <c r="N100" s="456" t="s">
        <v>100</v>
      </c>
      <c r="O100" s="458">
        <v>279404.09700000001</v>
      </c>
      <c r="P100" s="458">
        <v>278977.30699999997</v>
      </c>
      <c r="Q100" s="458">
        <f>AVERAGE(Taulukko919[[#This Row],[Uudistuksen mukainen osuus työmarkkinatuesta, kotoutujia ei poistettu]:[Uudistuksen mukainen osuus työmarkkinatuesta, kotoutujat poistettu]])</f>
        <v>279190.70199999999</v>
      </c>
      <c r="R100" s="458">
        <v>220131.91</v>
      </c>
      <c r="S100" s="467">
        <f>Taulukko919[[#This Row],[Uudistuksen mukainen osuus työmarkkinatuesta, keskiarvo]]-Taulukko919[[#This Row],[Nykytila, kuntien osuus työmarkkinatuesta]]</f>
        <v>59058.791999999987</v>
      </c>
    </row>
    <row r="101" spans="1:19">
      <c r="A101" s="456">
        <v>263</v>
      </c>
      <c r="B101" s="456" t="s">
        <v>101</v>
      </c>
      <c r="C101" s="457">
        <v>7475</v>
      </c>
      <c r="D101" s="458">
        <v>493623.37</v>
      </c>
      <c r="E101" s="458">
        <v>645051.44699999993</v>
      </c>
      <c r="F101" s="458">
        <f>Taulukko9[[#This Row],[Uudistuksen mukainen osuus työmarkkinatuesta*]]-Taulukko9[[#This Row],[Nykytila, kuntien osuus työmarkkinatuesta]]</f>
        <v>151428.07699999993</v>
      </c>
      <c r="G101" s="458">
        <v>38743.275999999998</v>
      </c>
      <c r="H101" s="458">
        <v>131296.33371890199</v>
      </c>
      <c r="I101" s="459">
        <f>Taulukko9[[#This Row],[Uudistuksen mukainen osuus työmarkkinatuesta*]]+Taulukko9[[#This Row],[Uudistuksen mukainen osuus peruspäivärahasta]]+Taulukko9[[#This Row],[Uudistuksen mukainen osuus ansiopäivärahasta]]</f>
        <v>815091.05671890185</v>
      </c>
      <c r="J101" s="467">
        <f>Taulukko9[[#This Row],[Uudistuksen mukainen rahoitusvastuu yhteensä]]-Taulukko9[[#This Row],[Nykytila, kuntien osuus työmarkkinatuesta]]</f>
        <v>321467.68671890185</v>
      </c>
      <c r="M101" s="456">
        <v>263</v>
      </c>
      <c r="N101" s="456" t="s">
        <v>101</v>
      </c>
      <c r="O101" s="458">
        <v>649623.05799999996</v>
      </c>
      <c r="P101" s="458">
        <v>640479.83600000001</v>
      </c>
      <c r="Q101" s="458">
        <f>AVERAGE(Taulukko919[[#This Row],[Uudistuksen mukainen osuus työmarkkinatuesta, kotoutujia ei poistettu]:[Uudistuksen mukainen osuus työmarkkinatuesta, kotoutujat poistettu]])</f>
        <v>645051.44699999993</v>
      </c>
      <c r="R101" s="458">
        <v>493623.37</v>
      </c>
      <c r="S101" s="467">
        <f>Taulukko919[[#This Row],[Uudistuksen mukainen osuus työmarkkinatuesta, keskiarvo]]-Taulukko919[[#This Row],[Nykytila, kuntien osuus työmarkkinatuesta]]</f>
        <v>151428.07699999993</v>
      </c>
    </row>
    <row r="102" spans="1:19">
      <c r="A102" s="456">
        <v>265</v>
      </c>
      <c r="B102" s="456" t="s">
        <v>102</v>
      </c>
      <c r="C102" s="457">
        <v>1035</v>
      </c>
      <c r="D102" s="458">
        <v>104675.26</v>
      </c>
      <c r="E102" s="458">
        <v>122742.584</v>
      </c>
      <c r="F102" s="458">
        <f>Taulukko9[[#This Row],[Uudistuksen mukainen osuus työmarkkinatuesta*]]-Taulukko9[[#This Row],[Nykytila, kuntien osuus työmarkkinatuesta]]</f>
        <v>18067.324000000008</v>
      </c>
      <c r="G102" s="458">
        <v>3646.683</v>
      </c>
      <c r="H102" s="458">
        <v>20124.369239138399</v>
      </c>
      <c r="I102" s="459">
        <f>Taulukko9[[#This Row],[Uudistuksen mukainen osuus työmarkkinatuesta*]]+Taulukko9[[#This Row],[Uudistuksen mukainen osuus peruspäivärahasta]]+Taulukko9[[#This Row],[Uudistuksen mukainen osuus ansiopäivärahasta]]</f>
        <v>146513.6362391384</v>
      </c>
      <c r="J102" s="467">
        <f>Taulukko9[[#This Row],[Uudistuksen mukainen rahoitusvastuu yhteensä]]-Taulukko9[[#This Row],[Nykytila, kuntien osuus työmarkkinatuesta]]</f>
        <v>41838.376239138408</v>
      </c>
      <c r="M102" s="456">
        <v>265</v>
      </c>
      <c r="N102" s="456" t="s">
        <v>102</v>
      </c>
      <c r="O102" s="458">
        <v>122742.584</v>
      </c>
      <c r="P102" s="458">
        <v>122742.584</v>
      </c>
      <c r="Q102" s="458">
        <f>AVERAGE(Taulukko919[[#This Row],[Uudistuksen mukainen osuus työmarkkinatuesta, kotoutujia ei poistettu]:[Uudistuksen mukainen osuus työmarkkinatuesta, kotoutujat poistettu]])</f>
        <v>122742.584</v>
      </c>
      <c r="R102" s="458">
        <v>104675.26</v>
      </c>
      <c r="S102" s="467">
        <f>Taulukko919[[#This Row],[Uudistuksen mukainen osuus työmarkkinatuesta, keskiarvo]]-Taulukko919[[#This Row],[Nykytila, kuntien osuus työmarkkinatuesta]]</f>
        <v>18067.324000000008</v>
      </c>
    </row>
    <row r="103" spans="1:19">
      <c r="A103" s="456">
        <v>271</v>
      </c>
      <c r="B103" s="456" t="s">
        <v>103</v>
      </c>
      <c r="C103" s="457">
        <v>6766</v>
      </c>
      <c r="D103" s="458">
        <v>408862.65</v>
      </c>
      <c r="E103" s="458">
        <v>797172.03799999994</v>
      </c>
      <c r="F103" s="458">
        <f>Taulukko9[[#This Row],[Uudistuksen mukainen osuus työmarkkinatuesta*]]-Taulukko9[[#This Row],[Nykytila, kuntien osuus työmarkkinatuesta]]</f>
        <v>388309.38799999992</v>
      </c>
      <c r="G103" s="458">
        <v>17334.865000000002</v>
      </c>
      <c r="H103" s="458">
        <v>86222.9247064019</v>
      </c>
      <c r="I103" s="459">
        <f>Taulukko9[[#This Row],[Uudistuksen mukainen osuus työmarkkinatuesta*]]+Taulukko9[[#This Row],[Uudistuksen mukainen osuus peruspäivärahasta]]+Taulukko9[[#This Row],[Uudistuksen mukainen osuus ansiopäivärahasta]]</f>
        <v>900729.82770640182</v>
      </c>
      <c r="J103" s="467">
        <f>Taulukko9[[#This Row],[Uudistuksen mukainen rahoitusvastuu yhteensä]]-Taulukko9[[#This Row],[Nykytila, kuntien osuus työmarkkinatuesta]]</f>
        <v>491867.1777064018</v>
      </c>
      <c r="M103" s="456">
        <v>271</v>
      </c>
      <c r="N103" s="456" t="s">
        <v>103</v>
      </c>
      <c r="O103" s="458">
        <v>804767.20200000005</v>
      </c>
      <c r="P103" s="458">
        <v>789576.87399999995</v>
      </c>
      <c r="Q103" s="458">
        <f>AVERAGE(Taulukko919[[#This Row],[Uudistuksen mukainen osuus työmarkkinatuesta, kotoutujia ei poistettu]:[Uudistuksen mukainen osuus työmarkkinatuesta, kotoutujat poistettu]])</f>
        <v>797172.03799999994</v>
      </c>
      <c r="R103" s="458">
        <v>408862.65</v>
      </c>
      <c r="S103" s="467">
        <f>Taulukko919[[#This Row],[Uudistuksen mukainen osuus työmarkkinatuesta, keskiarvo]]-Taulukko919[[#This Row],[Nykytila, kuntien osuus työmarkkinatuesta]]</f>
        <v>388309.38799999992</v>
      </c>
    </row>
    <row r="104" spans="1:19">
      <c r="A104" s="456">
        <v>272</v>
      </c>
      <c r="B104" s="456" t="s">
        <v>104</v>
      </c>
      <c r="C104" s="457">
        <v>48295</v>
      </c>
      <c r="D104" s="458">
        <v>3265394.07</v>
      </c>
      <c r="E104" s="458">
        <v>4236736.2215</v>
      </c>
      <c r="F104" s="458">
        <f>Taulukko9[[#This Row],[Uudistuksen mukainen osuus työmarkkinatuesta*]]-Taulukko9[[#This Row],[Nykytila, kuntien osuus työmarkkinatuesta]]</f>
        <v>971342.15150000015</v>
      </c>
      <c r="G104" s="458">
        <v>174971.47200000001</v>
      </c>
      <c r="H104" s="458">
        <v>577558.20428311895</v>
      </c>
      <c r="I104" s="459">
        <f>Taulukko9[[#This Row],[Uudistuksen mukainen osuus työmarkkinatuesta*]]+Taulukko9[[#This Row],[Uudistuksen mukainen osuus peruspäivärahasta]]+Taulukko9[[#This Row],[Uudistuksen mukainen osuus ansiopäivärahasta]]</f>
        <v>4989265.8977831192</v>
      </c>
      <c r="J104" s="467">
        <f>Taulukko9[[#This Row],[Uudistuksen mukainen rahoitusvastuu yhteensä]]-Taulukko9[[#This Row],[Nykytila, kuntien osuus työmarkkinatuesta]]</f>
        <v>1723871.8277831194</v>
      </c>
      <c r="M104" s="456">
        <v>272</v>
      </c>
      <c r="N104" s="456" t="s">
        <v>104</v>
      </c>
      <c r="O104" s="458">
        <v>4310725.16</v>
      </c>
      <c r="P104" s="458">
        <v>4162747.2829999998</v>
      </c>
      <c r="Q104" s="458">
        <f>AVERAGE(Taulukko919[[#This Row],[Uudistuksen mukainen osuus työmarkkinatuesta, kotoutujia ei poistettu]:[Uudistuksen mukainen osuus työmarkkinatuesta, kotoutujat poistettu]])</f>
        <v>4236736.2215</v>
      </c>
      <c r="R104" s="458">
        <v>3265394.07</v>
      </c>
      <c r="S104" s="467">
        <f>Taulukko919[[#This Row],[Uudistuksen mukainen osuus työmarkkinatuesta, keskiarvo]]-Taulukko919[[#This Row],[Nykytila, kuntien osuus työmarkkinatuesta]]</f>
        <v>971342.15150000015</v>
      </c>
    </row>
    <row r="105" spans="1:19">
      <c r="A105" s="456">
        <v>273</v>
      </c>
      <c r="B105" s="456" t="s">
        <v>105</v>
      </c>
      <c r="C105" s="457">
        <v>4011</v>
      </c>
      <c r="D105" s="458">
        <v>139201.12</v>
      </c>
      <c r="E105" s="458">
        <v>171874.1005</v>
      </c>
      <c r="F105" s="458">
        <f>Taulukko9[[#This Row],[Uudistuksen mukainen osuus työmarkkinatuesta*]]-Taulukko9[[#This Row],[Nykytila, kuntien osuus työmarkkinatuesta]]</f>
        <v>32672.980500000005</v>
      </c>
      <c r="G105" s="458">
        <v>8819.7839999999997</v>
      </c>
      <c r="H105" s="458">
        <v>68530.881562363706</v>
      </c>
      <c r="I105" s="459">
        <f>Taulukko9[[#This Row],[Uudistuksen mukainen osuus työmarkkinatuesta*]]+Taulukko9[[#This Row],[Uudistuksen mukainen osuus peruspäivärahasta]]+Taulukko9[[#This Row],[Uudistuksen mukainen osuus ansiopäivärahasta]]</f>
        <v>249224.76606236369</v>
      </c>
      <c r="J105" s="467">
        <f>Taulukko9[[#This Row],[Uudistuksen mukainen rahoitusvastuu yhteensä]]-Taulukko9[[#This Row],[Nykytila, kuntien osuus työmarkkinatuesta]]</f>
        <v>110023.6460623637</v>
      </c>
      <c r="M105" s="456">
        <v>273</v>
      </c>
      <c r="N105" s="456" t="s">
        <v>105</v>
      </c>
      <c r="O105" s="458">
        <v>172556.82199999999</v>
      </c>
      <c r="P105" s="458">
        <v>171191.37899999999</v>
      </c>
      <c r="Q105" s="458">
        <f>AVERAGE(Taulukko919[[#This Row],[Uudistuksen mukainen osuus työmarkkinatuesta, kotoutujia ei poistettu]:[Uudistuksen mukainen osuus työmarkkinatuesta, kotoutujat poistettu]])</f>
        <v>171874.1005</v>
      </c>
      <c r="R105" s="458">
        <v>139201.12</v>
      </c>
      <c r="S105" s="467">
        <f>Taulukko919[[#This Row],[Uudistuksen mukainen osuus työmarkkinatuesta, keskiarvo]]-Taulukko919[[#This Row],[Nykytila, kuntien osuus työmarkkinatuesta]]</f>
        <v>32672.980500000005</v>
      </c>
    </row>
    <row r="106" spans="1:19">
      <c r="A106" s="456">
        <v>275</v>
      </c>
      <c r="B106" s="456" t="s">
        <v>106</v>
      </c>
      <c r="C106" s="457">
        <v>2499</v>
      </c>
      <c r="D106" s="458">
        <v>105826.18</v>
      </c>
      <c r="E106" s="458">
        <v>185387.11300000001</v>
      </c>
      <c r="F106" s="458">
        <f>Taulukko9[[#This Row],[Uudistuksen mukainen osuus työmarkkinatuesta*]]-Taulukko9[[#This Row],[Nykytila, kuntien osuus työmarkkinatuesta]]</f>
        <v>79560.933000000019</v>
      </c>
      <c r="G106" s="458">
        <v>12867.866</v>
      </c>
      <c r="H106" s="458">
        <v>51569.1243868776</v>
      </c>
      <c r="I106" s="459">
        <f>Taulukko9[[#This Row],[Uudistuksen mukainen osuus työmarkkinatuesta*]]+Taulukko9[[#This Row],[Uudistuksen mukainen osuus peruspäivärahasta]]+Taulukko9[[#This Row],[Uudistuksen mukainen osuus ansiopäivärahasta]]</f>
        <v>249824.10338687763</v>
      </c>
      <c r="J106" s="467">
        <f>Taulukko9[[#This Row],[Uudistuksen mukainen rahoitusvastuu yhteensä]]-Taulukko9[[#This Row],[Nykytila, kuntien osuus työmarkkinatuesta]]</f>
        <v>143997.92338687764</v>
      </c>
      <c r="M106" s="456">
        <v>275</v>
      </c>
      <c r="N106" s="456" t="s">
        <v>106</v>
      </c>
      <c r="O106" s="458">
        <v>185681.51500000001</v>
      </c>
      <c r="P106" s="458">
        <v>185092.71100000001</v>
      </c>
      <c r="Q106" s="458">
        <f>AVERAGE(Taulukko919[[#This Row],[Uudistuksen mukainen osuus työmarkkinatuesta, kotoutujia ei poistettu]:[Uudistuksen mukainen osuus työmarkkinatuesta, kotoutujat poistettu]])</f>
        <v>185387.11300000001</v>
      </c>
      <c r="R106" s="458">
        <v>105826.18</v>
      </c>
      <c r="S106" s="467">
        <f>Taulukko919[[#This Row],[Uudistuksen mukainen osuus työmarkkinatuesta, keskiarvo]]-Taulukko919[[#This Row],[Nykytila, kuntien osuus työmarkkinatuesta]]</f>
        <v>79560.933000000019</v>
      </c>
    </row>
    <row r="107" spans="1:19">
      <c r="A107" s="456">
        <v>276</v>
      </c>
      <c r="B107" s="456" t="s">
        <v>107</v>
      </c>
      <c r="C107" s="457">
        <v>15136</v>
      </c>
      <c r="D107" s="458">
        <v>1102017.43</v>
      </c>
      <c r="E107" s="458">
        <v>1312130.1740000001</v>
      </c>
      <c r="F107" s="458">
        <f>Taulukko9[[#This Row],[Uudistuksen mukainen osuus työmarkkinatuesta*]]-Taulukko9[[#This Row],[Nykytila, kuntien osuus työmarkkinatuesta]]</f>
        <v>210112.74400000018</v>
      </c>
      <c r="G107" s="458">
        <v>35070.398000000001</v>
      </c>
      <c r="H107" s="458">
        <v>261461.24912731201</v>
      </c>
      <c r="I107" s="459">
        <f>Taulukko9[[#This Row],[Uudistuksen mukainen osuus työmarkkinatuesta*]]+Taulukko9[[#This Row],[Uudistuksen mukainen osuus peruspäivärahasta]]+Taulukko9[[#This Row],[Uudistuksen mukainen osuus ansiopäivärahasta]]</f>
        <v>1608661.8211273123</v>
      </c>
      <c r="J107" s="467">
        <f>Taulukko9[[#This Row],[Uudistuksen mukainen rahoitusvastuu yhteensä]]-Taulukko9[[#This Row],[Nykytila, kuntien osuus työmarkkinatuesta]]</f>
        <v>506644.39112731232</v>
      </c>
      <c r="M107" s="456">
        <v>276</v>
      </c>
      <c r="N107" s="456" t="s">
        <v>107</v>
      </c>
      <c r="O107" s="458">
        <v>1320823.3870000001</v>
      </c>
      <c r="P107" s="458">
        <v>1303436.9609999999</v>
      </c>
      <c r="Q107" s="458">
        <f>AVERAGE(Taulukko919[[#This Row],[Uudistuksen mukainen osuus työmarkkinatuesta, kotoutujia ei poistettu]:[Uudistuksen mukainen osuus työmarkkinatuesta, kotoutujat poistettu]])</f>
        <v>1312130.1740000001</v>
      </c>
      <c r="R107" s="458">
        <v>1102017.43</v>
      </c>
      <c r="S107" s="467">
        <f>Taulukko919[[#This Row],[Uudistuksen mukainen osuus työmarkkinatuesta, keskiarvo]]-Taulukko919[[#This Row],[Nykytila, kuntien osuus työmarkkinatuesta]]</f>
        <v>210112.74400000018</v>
      </c>
    </row>
    <row r="108" spans="1:19">
      <c r="A108" s="456">
        <v>280</v>
      </c>
      <c r="B108" s="456" t="s">
        <v>108</v>
      </c>
      <c r="C108" s="457">
        <v>2015</v>
      </c>
      <c r="D108" s="458">
        <v>51504.95</v>
      </c>
      <c r="E108" s="458">
        <v>107787.5445</v>
      </c>
      <c r="F108" s="458">
        <f>Taulukko9[[#This Row],[Uudistuksen mukainen osuus työmarkkinatuesta*]]-Taulukko9[[#This Row],[Nykytila, kuntien osuus työmarkkinatuesta]]</f>
        <v>56282.594500000007</v>
      </c>
      <c r="G108" s="458">
        <v>10988.6</v>
      </c>
      <c r="H108" s="458">
        <v>19574.283661897902</v>
      </c>
      <c r="I108" s="459">
        <f>Taulukko9[[#This Row],[Uudistuksen mukainen osuus työmarkkinatuesta*]]+Taulukko9[[#This Row],[Uudistuksen mukainen osuus peruspäivärahasta]]+Taulukko9[[#This Row],[Uudistuksen mukainen osuus ansiopäivärahasta]]</f>
        <v>138350.4281618979</v>
      </c>
      <c r="J108" s="467">
        <f>Taulukko9[[#This Row],[Uudistuksen mukainen rahoitusvastuu yhteensä]]-Taulukko9[[#This Row],[Nykytila, kuntien osuus työmarkkinatuesta]]</f>
        <v>86845.478161897903</v>
      </c>
      <c r="M108" s="456">
        <v>280</v>
      </c>
      <c r="N108" s="456" t="s">
        <v>108</v>
      </c>
      <c r="O108" s="458">
        <v>109930.90300000001</v>
      </c>
      <c r="P108" s="458">
        <v>105644.186</v>
      </c>
      <c r="Q108" s="458">
        <f>AVERAGE(Taulukko919[[#This Row],[Uudistuksen mukainen osuus työmarkkinatuesta, kotoutujia ei poistettu]:[Uudistuksen mukainen osuus työmarkkinatuesta, kotoutujat poistettu]])</f>
        <v>107787.5445</v>
      </c>
      <c r="R108" s="458">
        <v>51504.95</v>
      </c>
      <c r="S108" s="467">
        <f>Taulukko919[[#This Row],[Uudistuksen mukainen osuus työmarkkinatuesta, keskiarvo]]-Taulukko919[[#This Row],[Nykytila, kuntien osuus työmarkkinatuesta]]</f>
        <v>56282.594500000007</v>
      </c>
    </row>
    <row r="109" spans="1:19">
      <c r="A109" s="456">
        <v>284</v>
      </c>
      <c r="B109" s="456" t="s">
        <v>109</v>
      </c>
      <c r="C109" s="457">
        <v>2207</v>
      </c>
      <c r="D109" s="458">
        <v>73049.56</v>
      </c>
      <c r="E109" s="458">
        <v>143316.04800000001</v>
      </c>
      <c r="F109" s="458">
        <f>Taulukko9[[#This Row],[Uudistuksen mukainen osuus työmarkkinatuesta*]]-Taulukko9[[#This Row],[Nykytila, kuntien osuus työmarkkinatuesta]]</f>
        <v>70266.488000000012</v>
      </c>
      <c r="G109" s="458">
        <v>3718.62</v>
      </c>
      <c r="H109" s="458">
        <v>13039.2817767577</v>
      </c>
      <c r="I109" s="459">
        <f>Taulukko9[[#This Row],[Uudistuksen mukainen osuus työmarkkinatuesta*]]+Taulukko9[[#This Row],[Uudistuksen mukainen osuus peruspäivärahasta]]+Taulukko9[[#This Row],[Uudistuksen mukainen osuus ansiopäivärahasta]]</f>
        <v>160073.94977675771</v>
      </c>
      <c r="J109" s="467">
        <f>Taulukko9[[#This Row],[Uudistuksen mukainen rahoitusvastuu yhteensä]]-Taulukko9[[#This Row],[Nykytila, kuntien osuus työmarkkinatuesta]]</f>
        <v>87024.389776757715</v>
      </c>
      <c r="M109" s="456">
        <v>284</v>
      </c>
      <c r="N109" s="456" t="s">
        <v>109</v>
      </c>
      <c r="O109" s="458">
        <v>143316.04800000001</v>
      </c>
      <c r="P109" s="458">
        <v>143316.04800000001</v>
      </c>
      <c r="Q109" s="458">
        <f>AVERAGE(Taulukko919[[#This Row],[Uudistuksen mukainen osuus työmarkkinatuesta, kotoutujia ei poistettu]:[Uudistuksen mukainen osuus työmarkkinatuesta, kotoutujat poistettu]])</f>
        <v>143316.04800000001</v>
      </c>
      <c r="R109" s="458">
        <v>73049.56</v>
      </c>
      <c r="S109" s="467">
        <f>Taulukko919[[#This Row],[Uudistuksen mukainen osuus työmarkkinatuesta, keskiarvo]]-Taulukko919[[#This Row],[Nykytila, kuntien osuus työmarkkinatuesta]]</f>
        <v>70266.488000000012</v>
      </c>
    </row>
    <row r="110" spans="1:19">
      <c r="A110" s="456">
        <v>285</v>
      </c>
      <c r="B110" s="456" t="s">
        <v>110</v>
      </c>
      <c r="C110" s="457">
        <v>50500</v>
      </c>
      <c r="D110" s="458">
        <v>6559927.9299999997</v>
      </c>
      <c r="E110" s="458">
        <v>7967465.2455000002</v>
      </c>
      <c r="F110" s="458">
        <f>Taulukko9[[#This Row],[Uudistuksen mukainen osuus työmarkkinatuesta*]]-Taulukko9[[#This Row],[Nykytila, kuntien osuus työmarkkinatuesta]]</f>
        <v>1407537.3155000005</v>
      </c>
      <c r="G110" s="458">
        <v>257346.622</v>
      </c>
      <c r="H110" s="458">
        <v>867028.05221876595</v>
      </c>
      <c r="I110" s="459">
        <f>Taulukko9[[#This Row],[Uudistuksen mukainen osuus työmarkkinatuesta*]]+Taulukko9[[#This Row],[Uudistuksen mukainen osuus peruspäivärahasta]]+Taulukko9[[#This Row],[Uudistuksen mukainen osuus ansiopäivärahasta]]</f>
        <v>9091839.9197187666</v>
      </c>
      <c r="J110" s="467">
        <f>Taulukko9[[#This Row],[Uudistuksen mukainen rahoitusvastuu yhteensä]]-Taulukko9[[#This Row],[Nykytila, kuntien osuus työmarkkinatuesta]]</f>
        <v>2531911.9897187669</v>
      </c>
      <c r="M110" s="456">
        <v>285</v>
      </c>
      <c r="N110" s="456" t="s">
        <v>110</v>
      </c>
      <c r="O110" s="458">
        <v>8176401.0880000005</v>
      </c>
      <c r="P110" s="458">
        <v>7758529.4029999999</v>
      </c>
      <c r="Q110" s="458">
        <f>AVERAGE(Taulukko919[[#This Row],[Uudistuksen mukainen osuus työmarkkinatuesta, kotoutujia ei poistettu]:[Uudistuksen mukainen osuus työmarkkinatuesta, kotoutujat poistettu]])</f>
        <v>7967465.2455000002</v>
      </c>
      <c r="R110" s="458">
        <v>6559927.9299999997</v>
      </c>
      <c r="S110" s="467">
        <f>Taulukko919[[#This Row],[Uudistuksen mukainen osuus työmarkkinatuesta, keskiarvo]]-Taulukko919[[#This Row],[Nykytila, kuntien osuus työmarkkinatuesta]]</f>
        <v>1407537.3155000005</v>
      </c>
    </row>
    <row r="111" spans="1:19">
      <c r="A111" s="456">
        <v>286</v>
      </c>
      <c r="B111" s="456" t="s">
        <v>111</v>
      </c>
      <c r="C111" s="457">
        <v>78880</v>
      </c>
      <c r="D111" s="458">
        <v>6848401.4199999999</v>
      </c>
      <c r="E111" s="458">
        <v>8303908.6069999998</v>
      </c>
      <c r="F111" s="458">
        <f>Taulukko9[[#This Row],[Uudistuksen mukainen osuus työmarkkinatuesta*]]-Taulukko9[[#This Row],[Nykytila, kuntien osuus työmarkkinatuesta]]</f>
        <v>1455507.1869999999</v>
      </c>
      <c r="G111" s="458">
        <v>365176.81800000003</v>
      </c>
      <c r="H111" s="458">
        <v>1469871.3981940099</v>
      </c>
      <c r="I111" s="459">
        <f>Taulukko9[[#This Row],[Uudistuksen mukainen osuus työmarkkinatuesta*]]+Taulukko9[[#This Row],[Uudistuksen mukainen osuus peruspäivärahasta]]+Taulukko9[[#This Row],[Uudistuksen mukainen osuus ansiopäivärahasta]]</f>
        <v>10138956.82319401</v>
      </c>
      <c r="J111" s="467">
        <f>Taulukko9[[#This Row],[Uudistuksen mukainen rahoitusvastuu yhteensä]]-Taulukko9[[#This Row],[Nykytila, kuntien osuus työmarkkinatuesta]]</f>
        <v>3290555.4031940103</v>
      </c>
      <c r="M111" s="456">
        <v>286</v>
      </c>
      <c r="N111" s="456" t="s">
        <v>111</v>
      </c>
      <c r="O111" s="458">
        <v>8493430.8969999999</v>
      </c>
      <c r="P111" s="458">
        <v>8114386.3169999998</v>
      </c>
      <c r="Q111" s="458">
        <f>AVERAGE(Taulukko919[[#This Row],[Uudistuksen mukainen osuus työmarkkinatuesta, kotoutujia ei poistettu]:[Uudistuksen mukainen osuus työmarkkinatuesta, kotoutujat poistettu]])</f>
        <v>8303908.6069999998</v>
      </c>
      <c r="R111" s="458">
        <v>6848401.4199999999</v>
      </c>
      <c r="S111" s="467">
        <f>Taulukko919[[#This Row],[Uudistuksen mukainen osuus työmarkkinatuesta, keskiarvo]]-Taulukko919[[#This Row],[Nykytila, kuntien osuus työmarkkinatuesta]]</f>
        <v>1455507.1869999999</v>
      </c>
    </row>
    <row r="112" spans="1:19">
      <c r="A112" s="456">
        <v>287</v>
      </c>
      <c r="B112" s="456" t="s">
        <v>112</v>
      </c>
      <c r="C112" s="457">
        <v>6199</v>
      </c>
      <c r="D112" s="458">
        <v>206523.23</v>
      </c>
      <c r="E112" s="458">
        <v>242173.04749999999</v>
      </c>
      <c r="F112" s="458">
        <f>Taulukko9[[#This Row],[Uudistuksen mukainen osuus työmarkkinatuesta*]]-Taulukko9[[#This Row],[Nykytila, kuntien osuus työmarkkinatuesta]]</f>
        <v>35649.817499999976</v>
      </c>
      <c r="G112" s="458">
        <v>12280.77</v>
      </c>
      <c r="H112" s="458">
        <v>41415.083918381599</v>
      </c>
      <c r="I112" s="459">
        <f>Taulukko9[[#This Row],[Uudistuksen mukainen osuus työmarkkinatuesta*]]+Taulukko9[[#This Row],[Uudistuksen mukainen osuus peruspäivärahasta]]+Taulukko9[[#This Row],[Uudistuksen mukainen osuus ansiopäivärahasta]]</f>
        <v>295868.9014183816</v>
      </c>
      <c r="J112" s="467">
        <f>Taulukko9[[#This Row],[Uudistuksen mukainen rahoitusvastuu yhteensä]]-Taulukko9[[#This Row],[Nykytila, kuntien osuus työmarkkinatuesta]]</f>
        <v>89345.671418381593</v>
      </c>
      <c r="M112" s="456">
        <v>287</v>
      </c>
      <c r="N112" s="456" t="s">
        <v>112</v>
      </c>
      <c r="O112" s="458">
        <v>252934.372</v>
      </c>
      <c r="P112" s="458">
        <v>231411.723</v>
      </c>
      <c r="Q112" s="458">
        <f>AVERAGE(Taulukko919[[#This Row],[Uudistuksen mukainen osuus työmarkkinatuesta, kotoutujia ei poistettu]:[Uudistuksen mukainen osuus työmarkkinatuesta, kotoutujat poistettu]])</f>
        <v>242173.04749999999</v>
      </c>
      <c r="R112" s="458">
        <v>206523.23</v>
      </c>
      <c r="S112" s="467">
        <f>Taulukko919[[#This Row],[Uudistuksen mukainen osuus työmarkkinatuesta, keskiarvo]]-Taulukko919[[#This Row],[Nykytila, kuntien osuus työmarkkinatuesta]]</f>
        <v>35649.817499999976</v>
      </c>
    </row>
    <row r="113" spans="1:19">
      <c r="A113" s="456">
        <v>288</v>
      </c>
      <c r="B113" s="456" t="s">
        <v>113</v>
      </c>
      <c r="C113" s="457">
        <v>6368</v>
      </c>
      <c r="D113" s="458">
        <v>116524.69</v>
      </c>
      <c r="E113" s="458">
        <v>233021.04300000001</v>
      </c>
      <c r="F113" s="458">
        <f>Taulukko9[[#This Row],[Uudistuksen mukainen osuus työmarkkinatuesta*]]-Taulukko9[[#This Row],[Nykytila, kuntien osuus työmarkkinatuesta]]</f>
        <v>116496.353</v>
      </c>
      <c r="G113" s="458">
        <v>33735.546999999999</v>
      </c>
      <c r="H113" s="458">
        <v>41373.370082604197</v>
      </c>
      <c r="I113" s="459">
        <f>Taulukko9[[#This Row],[Uudistuksen mukainen osuus työmarkkinatuesta*]]+Taulukko9[[#This Row],[Uudistuksen mukainen osuus peruspäivärahasta]]+Taulukko9[[#This Row],[Uudistuksen mukainen osuus ansiopäivärahasta]]</f>
        <v>308129.9600826042</v>
      </c>
      <c r="J113" s="467">
        <f>Taulukko9[[#This Row],[Uudistuksen mukainen rahoitusvastuu yhteensä]]-Taulukko9[[#This Row],[Nykytila, kuntien osuus työmarkkinatuesta]]</f>
        <v>191605.2700826042</v>
      </c>
      <c r="M113" s="456">
        <v>288</v>
      </c>
      <c r="N113" s="456" t="s">
        <v>113</v>
      </c>
      <c r="O113" s="458">
        <v>250175.66099999999</v>
      </c>
      <c r="P113" s="458">
        <v>215866.42499999999</v>
      </c>
      <c r="Q113" s="458">
        <f>AVERAGE(Taulukko919[[#This Row],[Uudistuksen mukainen osuus työmarkkinatuesta, kotoutujia ei poistettu]:[Uudistuksen mukainen osuus työmarkkinatuesta, kotoutujat poistettu]])</f>
        <v>233021.04300000001</v>
      </c>
      <c r="R113" s="458">
        <v>116524.69</v>
      </c>
      <c r="S113" s="467">
        <f>Taulukko919[[#This Row],[Uudistuksen mukainen osuus työmarkkinatuesta, keskiarvo]]-Taulukko919[[#This Row],[Nykytila, kuntien osuus työmarkkinatuesta]]</f>
        <v>116496.353</v>
      </c>
    </row>
    <row r="114" spans="1:19">
      <c r="A114" s="456">
        <v>290</v>
      </c>
      <c r="B114" s="456" t="s">
        <v>114</v>
      </c>
      <c r="C114" s="457">
        <v>7582</v>
      </c>
      <c r="D114" s="458">
        <v>425599.16</v>
      </c>
      <c r="E114" s="458">
        <v>546194.4915</v>
      </c>
      <c r="F114" s="458">
        <f>Taulukko9[[#This Row],[Uudistuksen mukainen osuus työmarkkinatuesta*]]-Taulukko9[[#This Row],[Nykytila, kuntien osuus työmarkkinatuesta]]</f>
        <v>120595.33150000003</v>
      </c>
      <c r="G114" s="458">
        <v>28403.136999999999</v>
      </c>
      <c r="H114" s="458">
        <v>183604.02130097401</v>
      </c>
      <c r="I114" s="459">
        <f>Taulukko9[[#This Row],[Uudistuksen mukainen osuus työmarkkinatuesta*]]+Taulukko9[[#This Row],[Uudistuksen mukainen osuus peruspäivärahasta]]+Taulukko9[[#This Row],[Uudistuksen mukainen osuus ansiopäivärahasta]]</f>
        <v>758201.64980097394</v>
      </c>
      <c r="J114" s="467">
        <f>Taulukko9[[#This Row],[Uudistuksen mukainen rahoitusvastuu yhteensä]]-Taulukko9[[#This Row],[Nykytila, kuntien osuus työmarkkinatuesta]]</f>
        <v>332602.48980097397</v>
      </c>
      <c r="M114" s="456">
        <v>290</v>
      </c>
      <c r="N114" s="456" t="s">
        <v>114</v>
      </c>
      <c r="O114" s="458">
        <v>551398.37699999998</v>
      </c>
      <c r="P114" s="458">
        <v>540990.60600000003</v>
      </c>
      <c r="Q114" s="458">
        <f>AVERAGE(Taulukko919[[#This Row],[Uudistuksen mukainen osuus työmarkkinatuesta, kotoutujia ei poistettu]:[Uudistuksen mukainen osuus työmarkkinatuesta, kotoutujat poistettu]])</f>
        <v>546194.4915</v>
      </c>
      <c r="R114" s="458">
        <v>425599.16</v>
      </c>
      <c r="S114" s="467">
        <f>Taulukko919[[#This Row],[Uudistuksen mukainen osuus työmarkkinatuesta, keskiarvo]]-Taulukko919[[#This Row],[Nykytila, kuntien osuus työmarkkinatuesta]]</f>
        <v>120595.33150000003</v>
      </c>
    </row>
    <row r="115" spans="1:19">
      <c r="A115" s="456">
        <v>291</v>
      </c>
      <c r="B115" s="456" t="s">
        <v>115</v>
      </c>
      <c r="C115" s="457">
        <v>2092</v>
      </c>
      <c r="D115" s="458">
        <v>68324.149999999994</v>
      </c>
      <c r="E115" s="458">
        <v>110891.86</v>
      </c>
      <c r="F115" s="458">
        <f>Taulukko9[[#This Row],[Uudistuksen mukainen osuus työmarkkinatuesta*]]-Taulukko9[[#This Row],[Nykytila, kuntien osuus työmarkkinatuesta]]</f>
        <v>42567.710000000006</v>
      </c>
      <c r="G115" s="458">
        <v>10327.821</v>
      </c>
      <c r="H115" s="458">
        <v>51325.707787633597</v>
      </c>
      <c r="I115" s="459">
        <f>Taulukko9[[#This Row],[Uudistuksen mukainen osuus työmarkkinatuesta*]]+Taulukko9[[#This Row],[Uudistuksen mukainen osuus peruspäivärahasta]]+Taulukko9[[#This Row],[Uudistuksen mukainen osuus ansiopäivärahasta]]</f>
        <v>172545.38878763359</v>
      </c>
      <c r="J115" s="467">
        <f>Taulukko9[[#This Row],[Uudistuksen mukainen rahoitusvastuu yhteensä]]-Taulukko9[[#This Row],[Nykytila, kuntien osuus työmarkkinatuesta]]</f>
        <v>104221.2387876336</v>
      </c>
      <c r="M115" s="456">
        <v>291</v>
      </c>
      <c r="N115" s="456" t="s">
        <v>115</v>
      </c>
      <c r="O115" s="458">
        <v>110891.86</v>
      </c>
      <c r="P115" s="458">
        <v>110891.86</v>
      </c>
      <c r="Q115" s="458">
        <f>AVERAGE(Taulukko919[[#This Row],[Uudistuksen mukainen osuus työmarkkinatuesta, kotoutujia ei poistettu]:[Uudistuksen mukainen osuus työmarkkinatuesta, kotoutujat poistettu]])</f>
        <v>110891.86</v>
      </c>
      <c r="R115" s="458">
        <v>68324.149999999994</v>
      </c>
      <c r="S115" s="467">
        <f>Taulukko919[[#This Row],[Uudistuksen mukainen osuus työmarkkinatuesta, keskiarvo]]-Taulukko919[[#This Row],[Nykytila, kuntien osuus työmarkkinatuesta]]</f>
        <v>42567.710000000006</v>
      </c>
    </row>
    <row r="116" spans="1:19">
      <c r="A116" s="456">
        <v>297</v>
      </c>
      <c r="B116" s="456" t="s">
        <v>116</v>
      </c>
      <c r="C116" s="457">
        <v>124021</v>
      </c>
      <c r="D116" s="458">
        <v>12065945.949999999</v>
      </c>
      <c r="E116" s="458">
        <v>12658493.726500001</v>
      </c>
      <c r="F116" s="458">
        <f>Taulukko9[[#This Row],[Uudistuksen mukainen osuus työmarkkinatuesta*]]-Taulukko9[[#This Row],[Nykytila, kuntien osuus työmarkkinatuesta]]</f>
        <v>592547.77650000155</v>
      </c>
      <c r="G116" s="458">
        <v>531836.13399999996</v>
      </c>
      <c r="H116" s="458">
        <v>1442204.5159360601</v>
      </c>
      <c r="I116" s="459">
        <f>Taulukko9[[#This Row],[Uudistuksen mukainen osuus työmarkkinatuesta*]]+Taulukko9[[#This Row],[Uudistuksen mukainen osuus peruspäivärahasta]]+Taulukko9[[#This Row],[Uudistuksen mukainen osuus ansiopäivärahasta]]</f>
        <v>14632534.37643606</v>
      </c>
      <c r="J116" s="467">
        <f>Taulukko9[[#This Row],[Uudistuksen mukainen rahoitusvastuu yhteensä]]-Taulukko9[[#This Row],[Nykytila, kuntien osuus työmarkkinatuesta]]</f>
        <v>2566588.426436061</v>
      </c>
      <c r="M116" s="456">
        <v>297</v>
      </c>
      <c r="N116" s="456" t="s">
        <v>116</v>
      </c>
      <c r="O116" s="458">
        <v>12951078.457</v>
      </c>
      <c r="P116" s="458">
        <v>12365908.995999999</v>
      </c>
      <c r="Q116" s="458">
        <f>AVERAGE(Taulukko919[[#This Row],[Uudistuksen mukainen osuus työmarkkinatuesta, kotoutujia ei poistettu]:[Uudistuksen mukainen osuus työmarkkinatuesta, kotoutujat poistettu]])</f>
        <v>12658493.726500001</v>
      </c>
      <c r="R116" s="458">
        <v>12065945.949999999</v>
      </c>
      <c r="S116" s="467">
        <f>Taulukko919[[#This Row],[Uudistuksen mukainen osuus työmarkkinatuesta, keskiarvo]]-Taulukko919[[#This Row],[Nykytila, kuntien osuus työmarkkinatuesta]]</f>
        <v>592547.77650000155</v>
      </c>
    </row>
    <row r="117" spans="1:19">
      <c r="A117" s="456">
        <v>300</v>
      </c>
      <c r="B117" s="456" t="s">
        <v>117</v>
      </c>
      <c r="C117" s="457">
        <v>3381</v>
      </c>
      <c r="D117" s="458">
        <v>88631.98</v>
      </c>
      <c r="E117" s="458">
        <v>131203.755</v>
      </c>
      <c r="F117" s="458">
        <f>Taulukko9[[#This Row],[Uudistuksen mukainen osuus työmarkkinatuesta*]]-Taulukko9[[#This Row],[Nykytila, kuntien osuus työmarkkinatuesta]]</f>
        <v>42571.775000000009</v>
      </c>
      <c r="G117" s="458">
        <v>9086.0069999999996</v>
      </c>
      <c r="H117" s="458">
        <v>16678.672363216901</v>
      </c>
      <c r="I117" s="459">
        <f>Taulukko9[[#This Row],[Uudistuksen mukainen osuus työmarkkinatuesta*]]+Taulukko9[[#This Row],[Uudistuksen mukainen osuus peruspäivärahasta]]+Taulukko9[[#This Row],[Uudistuksen mukainen osuus ansiopäivärahasta]]</f>
        <v>156968.43436321692</v>
      </c>
      <c r="J117" s="467">
        <f>Taulukko9[[#This Row],[Uudistuksen mukainen rahoitusvastuu yhteensä]]-Taulukko9[[#This Row],[Nykytila, kuntien osuus työmarkkinatuesta]]</f>
        <v>68336.454363216923</v>
      </c>
      <c r="M117" s="456">
        <v>300</v>
      </c>
      <c r="N117" s="456" t="s">
        <v>117</v>
      </c>
      <c r="O117" s="458">
        <v>131203.755</v>
      </c>
      <c r="P117" s="458">
        <v>131203.755</v>
      </c>
      <c r="Q117" s="458">
        <f>AVERAGE(Taulukko919[[#This Row],[Uudistuksen mukainen osuus työmarkkinatuesta, kotoutujia ei poistettu]:[Uudistuksen mukainen osuus työmarkkinatuesta, kotoutujat poistettu]])</f>
        <v>131203.755</v>
      </c>
      <c r="R117" s="458">
        <v>88631.98</v>
      </c>
      <c r="S117" s="467">
        <f>Taulukko919[[#This Row],[Uudistuksen mukainen osuus työmarkkinatuesta, keskiarvo]]-Taulukko919[[#This Row],[Nykytila, kuntien osuus työmarkkinatuesta]]</f>
        <v>42571.775000000009</v>
      </c>
    </row>
    <row r="118" spans="1:19">
      <c r="A118" s="456">
        <v>301</v>
      </c>
      <c r="B118" s="456" t="s">
        <v>118</v>
      </c>
      <c r="C118" s="457">
        <v>19759</v>
      </c>
      <c r="D118" s="458">
        <v>940354.72</v>
      </c>
      <c r="E118" s="458">
        <v>1403711.5860000001</v>
      </c>
      <c r="F118" s="458">
        <f>Taulukko9[[#This Row],[Uudistuksen mukainen osuus työmarkkinatuesta*]]-Taulukko9[[#This Row],[Nykytila, kuntien osuus työmarkkinatuesta]]</f>
        <v>463356.86600000015</v>
      </c>
      <c r="G118" s="458">
        <v>72185.010999999999</v>
      </c>
      <c r="H118" s="458">
        <v>188678.09866554101</v>
      </c>
      <c r="I118" s="459">
        <f>Taulukko9[[#This Row],[Uudistuksen mukainen osuus työmarkkinatuesta*]]+Taulukko9[[#This Row],[Uudistuksen mukainen osuus peruspäivärahasta]]+Taulukko9[[#This Row],[Uudistuksen mukainen osuus ansiopäivärahasta]]</f>
        <v>1664574.6956655411</v>
      </c>
      <c r="J118" s="467">
        <f>Taulukko9[[#This Row],[Uudistuksen mukainen rahoitusvastuu yhteensä]]-Taulukko9[[#This Row],[Nykytila, kuntien osuus työmarkkinatuesta]]</f>
        <v>724219.97566554113</v>
      </c>
      <c r="M118" s="456">
        <v>301</v>
      </c>
      <c r="N118" s="456" t="s">
        <v>118</v>
      </c>
      <c r="O118" s="458">
        <v>1414267.632</v>
      </c>
      <c r="P118" s="458">
        <v>1393155.54</v>
      </c>
      <c r="Q118" s="458">
        <f>AVERAGE(Taulukko919[[#This Row],[Uudistuksen mukainen osuus työmarkkinatuesta, kotoutujia ei poistettu]:[Uudistuksen mukainen osuus työmarkkinatuesta, kotoutujat poistettu]])</f>
        <v>1403711.5860000001</v>
      </c>
      <c r="R118" s="458">
        <v>940354.72</v>
      </c>
      <c r="S118" s="467">
        <f>Taulukko919[[#This Row],[Uudistuksen mukainen osuus työmarkkinatuesta, keskiarvo]]-Taulukko919[[#This Row],[Nykytila, kuntien osuus työmarkkinatuesta]]</f>
        <v>463356.86600000015</v>
      </c>
    </row>
    <row r="119" spans="1:19">
      <c r="A119" s="456">
        <v>304</v>
      </c>
      <c r="B119" s="456" t="s">
        <v>119</v>
      </c>
      <c r="C119" s="457">
        <v>949</v>
      </c>
      <c r="D119" s="458">
        <v>26708.89</v>
      </c>
      <c r="E119" s="458">
        <v>23827.338</v>
      </c>
      <c r="F119" s="458">
        <f>Taulukko9[[#This Row],[Uudistuksen mukainen osuus työmarkkinatuesta*]]-Taulukko9[[#This Row],[Nykytila, kuntien osuus työmarkkinatuesta]]</f>
        <v>-2881.5519999999997</v>
      </c>
      <c r="G119" s="458">
        <v>3545.473</v>
      </c>
      <c r="H119" s="458">
        <v>16729.914863849801</v>
      </c>
      <c r="I119" s="459">
        <f>Taulukko9[[#This Row],[Uudistuksen mukainen osuus työmarkkinatuesta*]]+Taulukko9[[#This Row],[Uudistuksen mukainen osuus peruspäivärahasta]]+Taulukko9[[#This Row],[Uudistuksen mukainen osuus ansiopäivärahasta]]</f>
        <v>44102.725863849802</v>
      </c>
      <c r="J119" s="467">
        <f>Taulukko9[[#This Row],[Uudistuksen mukainen rahoitusvastuu yhteensä]]-Taulukko9[[#This Row],[Nykytila, kuntien osuus työmarkkinatuesta]]</f>
        <v>17393.835863849803</v>
      </c>
      <c r="M119" s="456">
        <v>304</v>
      </c>
      <c r="N119" s="456" t="s">
        <v>119</v>
      </c>
      <c r="O119" s="458">
        <v>23827.338</v>
      </c>
      <c r="P119" s="458">
        <v>23827.338</v>
      </c>
      <c r="Q119" s="458">
        <f>AVERAGE(Taulukko919[[#This Row],[Uudistuksen mukainen osuus työmarkkinatuesta, kotoutujia ei poistettu]:[Uudistuksen mukainen osuus työmarkkinatuesta, kotoutujat poistettu]])</f>
        <v>23827.338</v>
      </c>
      <c r="R119" s="458">
        <v>26708.89</v>
      </c>
      <c r="S119" s="467">
        <f>Taulukko919[[#This Row],[Uudistuksen mukainen osuus työmarkkinatuesta, keskiarvo]]-Taulukko919[[#This Row],[Nykytila, kuntien osuus työmarkkinatuesta]]</f>
        <v>-2881.5519999999997</v>
      </c>
    </row>
    <row r="120" spans="1:19">
      <c r="A120" s="456">
        <v>305</v>
      </c>
      <c r="B120" s="456" t="s">
        <v>120</v>
      </c>
      <c r="C120" s="457">
        <v>15019</v>
      </c>
      <c r="D120" s="458">
        <v>524934.87</v>
      </c>
      <c r="E120" s="458">
        <v>1002446.2355</v>
      </c>
      <c r="F120" s="458">
        <f>Taulukko9[[#This Row],[Uudistuksen mukainen osuus työmarkkinatuesta*]]-Taulukko9[[#This Row],[Nykytila, kuntien osuus työmarkkinatuesta]]</f>
        <v>477511.36549999996</v>
      </c>
      <c r="G120" s="458">
        <v>47920.959000000003</v>
      </c>
      <c r="H120" s="458">
        <v>300771.33927676303</v>
      </c>
      <c r="I120" s="459">
        <f>Taulukko9[[#This Row],[Uudistuksen mukainen osuus työmarkkinatuesta*]]+Taulukko9[[#This Row],[Uudistuksen mukainen osuus peruspäivärahasta]]+Taulukko9[[#This Row],[Uudistuksen mukainen osuus ansiopäivärahasta]]</f>
        <v>1351138.5337767629</v>
      </c>
      <c r="J120" s="467">
        <f>Taulukko9[[#This Row],[Uudistuksen mukainen rahoitusvastuu yhteensä]]-Taulukko9[[#This Row],[Nykytila, kuntien osuus työmarkkinatuesta]]</f>
        <v>826203.6637767629</v>
      </c>
      <c r="M120" s="456">
        <v>305</v>
      </c>
      <c r="N120" s="456" t="s">
        <v>120</v>
      </c>
      <c r="O120" s="458">
        <v>1037570.45</v>
      </c>
      <c r="P120" s="458">
        <v>967322.02099999995</v>
      </c>
      <c r="Q120" s="458">
        <f>AVERAGE(Taulukko919[[#This Row],[Uudistuksen mukainen osuus työmarkkinatuesta, kotoutujia ei poistettu]:[Uudistuksen mukainen osuus työmarkkinatuesta, kotoutujat poistettu]])</f>
        <v>1002446.2355</v>
      </c>
      <c r="R120" s="458">
        <v>524934.87</v>
      </c>
      <c r="S120" s="467">
        <f>Taulukko919[[#This Row],[Uudistuksen mukainen osuus työmarkkinatuesta, keskiarvo]]-Taulukko919[[#This Row],[Nykytila, kuntien osuus työmarkkinatuesta]]</f>
        <v>477511.36549999996</v>
      </c>
    </row>
    <row r="121" spans="1:19">
      <c r="A121" s="456">
        <v>309</v>
      </c>
      <c r="B121" s="456" t="s">
        <v>121</v>
      </c>
      <c r="C121" s="457">
        <v>6409</v>
      </c>
      <c r="D121" s="458">
        <v>652229.48</v>
      </c>
      <c r="E121" s="458">
        <v>958556.76699999999</v>
      </c>
      <c r="F121" s="458">
        <f>Taulukko9[[#This Row],[Uudistuksen mukainen osuus työmarkkinatuesta*]]-Taulukko9[[#This Row],[Nykytila, kuntien osuus työmarkkinatuesta]]</f>
        <v>306327.28700000001</v>
      </c>
      <c r="G121" s="458">
        <v>24887.987000000001</v>
      </c>
      <c r="H121" s="458">
        <v>125235.096671463</v>
      </c>
      <c r="I121" s="459">
        <f>Taulukko9[[#This Row],[Uudistuksen mukainen osuus työmarkkinatuesta*]]+Taulukko9[[#This Row],[Uudistuksen mukainen osuus peruspäivärahasta]]+Taulukko9[[#This Row],[Uudistuksen mukainen osuus ansiopäivärahasta]]</f>
        <v>1108679.8506714629</v>
      </c>
      <c r="J121" s="467">
        <f>Taulukko9[[#This Row],[Uudistuksen mukainen rahoitusvastuu yhteensä]]-Taulukko9[[#This Row],[Nykytila, kuntien osuus työmarkkinatuesta]]</f>
        <v>456450.37067146297</v>
      </c>
      <c r="M121" s="456">
        <v>309</v>
      </c>
      <c r="N121" s="456" t="s">
        <v>121</v>
      </c>
      <c r="O121" s="458">
        <v>971562.99300000002</v>
      </c>
      <c r="P121" s="458">
        <v>945550.54099999997</v>
      </c>
      <c r="Q121" s="458">
        <f>AVERAGE(Taulukko919[[#This Row],[Uudistuksen mukainen osuus työmarkkinatuesta, kotoutujia ei poistettu]:[Uudistuksen mukainen osuus työmarkkinatuesta, kotoutujat poistettu]])</f>
        <v>958556.76699999999</v>
      </c>
      <c r="R121" s="458">
        <v>652229.48</v>
      </c>
      <c r="S121" s="467">
        <f>Taulukko919[[#This Row],[Uudistuksen mukainen osuus työmarkkinatuesta, keskiarvo]]-Taulukko919[[#This Row],[Nykytila, kuntien osuus työmarkkinatuesta]]</f>
        <v>306327.28700000001</v>
      </c>
    </row>
    <row r="122" spans="1:19">
      <c r="A122" s="456">
        <v>312</v>
      </c>
      <c r="B122" s="456" t="s">
        <v>122</v>
      </c>
      <c r="C122" s="457">
        <v>1174</v>
      </c>
      <c r="D122" s="458">
        <v>17786.02</v>
      </c>
      <c r="E122" s="458">
        <v>79258.873000000007</v>
      </c>
      <c r="F122" s="458">
        <f>Taulukko9[[#This Row],[Uudistuksen mukainen osuus työmarkkinatuesta*]]-Taulukko9[[#This Row],[Nykytila, kuntien osuus työmarkkinatuesta]]</f>
        <v>61472.853000000003</v>
      </c>
      <c r="G122" s="458">
        <v>5483.33</v>
      </c>
      <c r="H122" s="458">
        <v>20555.680550312201</v>
      </c>
      <c r="I122" s="459">
        <f>Taulukko9[[#This Row],[Uudistuksen mukainen osuus työmarkkinatuesta*]]+Taulukko9[[#This Row],[Uudistuksen mukainen osuus peruspäivärahasta]]+Taulukko9[[#This Row],[Uudistuksen mukainen osuus ansiopäivärahasta]]</f>
        <v>105297.88355031221</v>
      </c>
      <c r="J122" s="467">
        <f>Taulukko9[[#This Row],[Uudistuksen mukainen rahoitusvastuu yhteensä]]-Taulukko9[[#This Row],[Nykytila, kuntien osuus työmarkkinatuesta]]</f>
        <v>87511.863550312206</v>
      </c>
      <c r="M122" s="456">
        <v>312</v>
      </c>
      <c r="N122" s="456" t="s">
        <v>122</v>
      </c>
      <c r="O122" s="458">
        <v>79258.873000000007</v>
      </c>
      <c r="P122" s="458">
        <v>79258.873000000007</v>
      </c>
      <c r="Q122" s="458">
        <f>AVERAGE(Taulukko919[[#This Row],[Uudistuksen mukainen osuus työmarkkinatuesta, kotoutujia ei poistettu]:[Uudistuksen mukainen osuus työmarkkinatuesta, kotoutujat poistettu]])</f>
        <v>79258.873000000007</v>
      </c>
      <c r="R122" s="458">
        <v>17786.02</v>
      </c>
      <c r="S122" s="467">
        <f>Taulukko919[[#This Row],[Uudistuksen mukainen osuus työmarkkinatuesta, keskiarvo]]-Taulukko919[[#This Row],[Nykytila, kuntien osuus työmarkkinatuesta]]</f>
        <v>61472.853000000003</v>
      </c>
    </row>
    <row r="123" spans="1:19">
      <c r="A123" s="456">
        <v>316</v>
      </c>
      <c r="B123" s="456" t="s">
        <v>123</v>
      </c>
      <c r="C123" s="457">
        <v>4114</v>
      </c>
      <c r="D123" s="458">
        <v>207270.09</v>
      </c>
      <c r="E123" s="458">
        <v>335120.33850000001</v>
      </c>
      <c r="F123" s="458">
        <f>Taulukko9[[#This Row],[Uudistuksen mukainen osuus työmarkkinatuesta*]]-Taulukko9[[#This Row],[Nykytila, kuntien osuus työmarkkinatuesta]]</f>
        <v>127850.24850000002</v>
      </c>
      <c r="G123" s="458">
        <v>15392.974</v>
      </c>
      <c r="H123" s="458">
        <v>78222.499855828704</v>
      </c>
      <c r="I123" s="459">
        <f>Taulukko9[[#This Row],[Uudistuksen mukainen osuus työmarkkinatuesta*]]+Taulukko9[[#This Row],[Uudistuksen mukainen osuus peruspäivärahasta]]+Taulukko9[[#This Row],[Uudistuksen mukainen osuus ansiopäivärahasta]]</f>
        <v>428735.8123558287</v>
      </c>
      <c r="J123" s="467">
        <f>Taulukko9[[#This Row],[Uudistuksen mukainen rahoitusvastuu yhteensä]]-Taulukko9[[#This Row],[Nykytila, kuntien osuus työmarkkinatuesta]]</f>
        <v>221465.72235582871</v>
      </c>
      <c r="M123" s="456">
        <v>316</v>
      </c>
      <c r="N123" s="456" t="s">
        <v>123</v>
      </c>
      <c r="O123" s="458">
        <v>337484.28700000001</v>
      </c>
      <c r="P123" s="458">
        <v>332756.39</v>
      </c>
      <c r="Q123" s="458">
        <f>AVERAGE(Taulukko919[[#This Row],[Uudistuksen mukainen osuus työmarkkinatuesta, kotoutujia ei poistettu]:[Uudistuksen mukainen osuus työmarkkinatuesta, kotoutujat poistettu]])</f>
        <v>335120.33850000001</v>
      </c>
      <c r="R123" s="458">
        <v>207270.09</v>
      </c>
      <c r="S123" s="467">
        <f>Taulukko919[[#This Row],[Uudistuksen mukainen osuus työmarkkinatuesta, keskiarvo]]-Taulukko919[[#This Row],[Nykytila, kuntien osuus työmarkkinatuesta]]</f>
        <v>127850.24850000002</v>
      </c>
    </row>
    <row r="124" spans="1:19">
      <c r="A124" s="456">
        <v>317</v>
      </c>
      <c r="B124" s="456" t="s">
        <v>124</v>
      </c>
      <c r="C124" s="457">
        <v>2440</v>
      </c>
      <c r="D124" s="458">
        <v>109130.93</v>
      </c>
      <c r="E124" s="458">
        <v>140446.19500000001</v>
      </c>
      <c r="F124" s="458">
        <f>Taulukko9[[#This Row],[Uudistuksen mukainen osuus työmarkkinatuesta*]]-Taulukko9[[#This Row],[Nykytila, kuntien osuus työmarkkinatuesta]]</f>
        <v>31315.265000000014</v>
      </c>
      <c r="G124" s="458">
        <v>14856.23</v>
      </c>
      <c r="H124" s="458">
        <v>25990.900143372401</v>
      </c>
      <c r="I124" s="459">
        <f>Taulukko9[[#This Row],[Uudistuksen mukainen osuus työmarkkinatuesta*]]+Taulukko9[[#This Row],[Uudistuksen mukainen osuus peruspäivärahasta]]+Taulukko9[[#This Row],[Uudistuksen mukainen osuus ansiopäivärahasta]]</f>
        <v>181293.32514337241</v>
      </c>
      <c r="J124" s="467">
        <f>Taulukko9[[#This Row],[Uudistuksen mukainen rahoitusvastuu yhteensä]]-Taulukko9[[#This Row],[Nykytila, kuntien osuus työmarkkinatuesta]]</f>
        <v>72162.395143372414</v>
      </c>
      <c r="M124" s="456">
        <v>317</v>
      </c>
      <c r="N124" s="456" t="s">
        <v>124</v>
      </c>
      <c r="O124" s="458">
        <v>140446.19500000001</v>
      </c>
      <c r="P124" s="458">
        <v>140446.19500000001</v>
      </c>
      <c r="Q124" s="458">
        <f>AVERAGE(Taulukko919[[#This Row],[Uudistuksen mukainen osuus työmarkkinatuesta, kotoutujia ei poistettu]:[Uudistuksen mukainen osuus työmarkkinatuesta, kotoutujat poistettu]])</f>
        <v>140446.19500000001</v>
      </c>
      <c r="R124" s="458">
        <v>109130.93</v>
      </c>
      <c r="S124" s="467">
        <f>Taulukko919[[#This Row],[Uudistuksen mukainen osuus työmarkkinatuesta, keskiarvo]]-Taulukko919[[#This Row],[Nykytila, kuntien osuus työmarkkinatuesta]]</f>
        <v>31315.265000000014</v>
      </c>
    </row>
    <row r="125" spans="1:19">
      <c r="A125" s="456">
        <v>320</v>
      </c>
      <c r="B125" s="456" t="s">
        <v>125</v>
      </c>
      <c r="C125" s="457">
        <v>7030</v>
      </c>
      <c r="D125" s="458">
        <v>450963.05</v>
      </c>
      <c r="E125" s="458">
        <v>576483.70549999992</v>
      </c>
      <c r="F125" s="458">
        <f>Taulukko9[[#This Row],[Uudistuksen mukainen osuus työmarkkinatuesta*]]-Taulukko9[[#This Row],[Nykytila, kuntien osuus työmarkkinatuesta]]</f>
        <v>125520.65549999994</v>
      </c>
      <c r="G125" s="458">
        <v>21741.544000000002</v>
      </c>
      <c r="H125" s="458">
        <v>190052.138257738</v>
      </c>
      <c r="I125" s="459">
        <f>Taulukko9[[#This Row],[Uudistuksen mukainen osuus työmarkkinatuesta*]]+Taulukko9[[#This Row],[Uudistuksen mukainen osuus peruspäivärahasta]]+Taulukko9[[#This Row],[Uudistuksen mukainen osuus ansiopäivärahasta]]</f>
        <v>788277.38775773789</v>
      </c>
      <c r="J125" s="467">
        <f>Taulukko9[[#This Row],[Uudistuksen mukainen rahoitusvastuu yhteensä]]-Taulukko9[[#This Row],[Nykytila, kuntien osuus työmarkkinatuesta]]</f>
        <v>337314.3377577379</v>
      </c>
      <c r="M125" s="456">
        <v>320</v>
      </c>
      <c r="N125" s="456" t="s">
        <v>125</v>
      </c>
      <c r="O125" s="458">
        <v>582235.25</v>
      </c>
      <c r="P125" s="458">
        <v>570732.16099999996</v>
      </c>
      <c r="Q125" s="458">
        <f>AVERAGE(Taulukko919[[#This Row],[Uudistuksen mukainen osuus työmarkkinatuesta, kotoutujia ei poistettu]:[Uudistuksen mukainen osuus työmarkkinatuesta, kotoutujat poistettu]])</f>
        <v>576483.70549999992</v>
      </c>
      <c r="R125" s="458">
        <v>450963.05</v>
      </c>
      <c r="S125" s="467">
        <f>Taulukko919[[#This Row],[Uudistuksen mukainen osuus työmarkkinatuesta, keskiarvo]]-Taulukko919[[#This Row],[Nykytila, kuntien osuus työmarkkinatuesta]]</f>
        <v>125520.65549999994</v>
      </c>
    </row>
    <row r="126" spans="1:19">
      <c r="A126" s="456">
        <v>322</v>
      </c>
      <c r="B126" s="456" t="s">
        <v>126</v>
      </c>
      <c r="C126" s="457">
        <v>6462</v>
      </c>
      <c r="D126" s="458">
        <v>318297.78000000003</v>
      </c>
      <c r="E126" s="458">
        <v>367939.85200000001</v>
      </c>
      <c r="F126" s="458">
        <f>Taulukko9[[#This Row],[Uudistuksen mukainen osuus työmarkkinatuesta*]]-Taulukko9[[#This Row],[Nykytila, kuntien osuus työmarkkinatuesta]]</f>
        <v>49642.071999999986</v>
      </c>
      <c r="G126" s="458">
        <v>16084.377</v>
      </c>
      <c r="H126" s="458">
        <v>55555.707967064503</v>
      </c>
      <c r="I126" s="459">
        <f>Taulukko9[[#This Row],[Uudistuksen mukainen osuus työmarkkinatuesta*]]+Taulukko9[[#This Row],[Uudistuksen mukainen osuus peruspäivärahasta]]+Taulukko9[[#This Row],[Uudistuksen mukainen osuus ansiopäivärahasta]]</f>
        <v>439579.93696706451</v>
      </c>
      <c r="J126" s="467">
        <f>Taulukko9[[#This Row],[Uudistuksen mukainen rahoitusvastuu yhteensä]]-Taulukko9[[#This Row],[Nykytila, kuntien osuus työmarkkinatuesta]]</f>
        <v>121282.15696706448</v>
      </c>
      <c r="M126" s="456">
        <v>322</v>
      </c>
      <c r="N126" s="456" t="s">
        <v>126</v>
      </c>
      <c r="O126" s="458">
        <v>368964.62800000003</v>
      </c>
      <c r="P126" s="458">
        <v>366915.076</v>
      </c>
      <c r="Q126" s="458">
        <f>AVERAGE(Taulukko919[[#This Row],[Uudistuksen mukainen osuus työmarkkinatuesta, kotoutujia ei poistettu]:[Uudistuksen mukainen osuus työmarkkinatuesta, kotoutujat poistettu]])</f>
        <v>367939.85200000001</v>
      </c>
      <c r="R126" s="458">
        <v>318297.78000000003</v>
      </c>
      <c r="S126" s="467">
        <f>Taulukko919[[#This Row],[Uudistuksen mukainen osuus työmarkkinatuesta, keskiarvo]]-Taulukko919[[#This Row],[Nykytila, kuntien osuus työmarkkinatuesta]]</f>
        <v>49642.071999999986</v>
      </c>
    </row>
    <row r="127" spans="1:19">
      <c r="A127" s="456">
        <v>398</v>
      </c>
      <c r="B127" s="456" t="s">
        <v>127</v>
      </c>
      <c r="C127" s="457">
        <v>120693</v>
      </c>
      <c r="D127" s="458">
        <v>20131583.550000001</v>
      </c>
      <c r="E127" s="458">
        <v>20885973.565499999</v>
      </c>
      <c r="F127" s="458">
        <f>Taulukko9[[#This Row],[Uudistuksen mukainen osuus työmarkkinatuesta*]]-Taulukko9[[#This Row],[Nykytila, kuntien osuus työmarkkinatuesta]]</f>
        <v>754390.01549999788</v>
      </c>
      <c r="G127" s="458">
        <v>610817.68599999999</v>
      </c>
      <c r="H127" s="458">
        <v>1741839.4531566999</v>
      </c>
      <c r="I127" s="459">
        <f>Taulukko9[[#This Row],[Uudistuksen mukainen osuus työmarkkinatuesta*]]+Taulukko9[[#This Row],[Uudistuksen mukainen osuus peruspäivärahasta]]+Taulukko9[[#This Row],[Uudistuksen mukainen osuus ansiopäivärahasta]]</f>
        <v>23238630.704656698</v>
      </c>
      <c r="J127" s="467">
        <f>Taulukko9[[#This Row],[Uudistuksen mukainen rahoitusvastuu yhteensä]]-Taulukko9[[#This Row],[Nykytila, kuntien osuus työmarkkinatuesta]]</f>
        <v>3107047.1546566971</v>
      </c>
      <c r="M127" s="456">
        <v>398</v>
      </c>
      <c r="N127" s="456" t="s">
        <v>127</v>
      </c>
      <c r="O127" s="458">
        <v>21478640.548</v>
      </c>
      <c r="P127" s="458">
        <v>20293306.583000001</v>
      </c>
      <c r="Q127" s="458">
        <f>AVERAGE(Taulukko919[[#This Row],[Uudistuksen mukainen osuus työmarkkinatuesta, kotoutujia ei poistettu]:[Uudistuksen mukainen osuus työmarkkinatuesta, kotoutujat poistettu]])</f>
        <v>20885973.565499999</v>
      </c>
      <c r="R127" s="458">
        <v>20131583.550000001</v>
      </c>
      <c r="S127" s="467">
        <f>Taulukko919[[#This Row],[Uudistuksen mukainen osuus työmarkkinatuesta, keskiarvo]]-Taulukko919[[#This Row],[Nykytila, kuntien osuus työmarkkinatuesta]]</f>
        <v>754390.01549999788</v>
      </c>
    </row>
    <row r="128" spans="1:19">
      <c r="A128" s="456">
        <v>399</v>
      </c>
      <c r="B128" s="456" t="s">
        <v>128</v>
      </c>
      <c r="C128" s="457">
        <v>7682</v>
      </c>
      <c r="D128" s="458">
        <v>287089.24</v>
      </c>
      <c r="E128" s="458">
        <v>424600.93700000003</v>
      </c>
      <c r="F128" s="458">
        <f>Taulukko9[[#This Row],[Uudistuksen mukainen osuus työmarkkinatuesta*]]-Taulukko9[[#This Row],[Nykytila, kuntien osuus työmarkkinatuesta]]</f>
        <v>137511.69700000004</v>
      </c>
      <c r="G128" s="458">
        <v>11322.905000000001</v>
      </c>
      <c r="H128" s="458">
        <v>68009.771156560106</v>
      </c>
      <c r="I128" s="459">
        <f>Taulukko9[[#This Row],[Uudistuksen mukainen osuus työmarkkinatuesta*]]+Taulukko9[[#This Row],[Uudistuksen mukainen osuus peruspäivärahasta]]+Taulukko9[[#This Row],[Uudistuksen mukainen osuus ansiopäivärahasta]]</f>
        <v>503933.61315656017</v>
      </c>
      <c r="J128" s="467">
        <f>Taulukko9[[#This Row],[Uudistuksen mukainen rahoitusvastuu yhteensä]]-Taulukko9[[#This Row],[Nykytila, kuntien osuus työmarkkinatuesta]]</f>
        <v>216844.37315656018</v>
      </c>
      <c r="M128" s="456">
        <v>399</v>
      </c>
      <c r="N128" s="456" t="s">
        <v>128</v>
      </c>
      <c r="O128" s="458">
        <v>426852.587</v>
      </c>
      <c r="P128" s="458">
        <v>422349.28700000001</v>
      </c>
      <c r="Q128" s="458">
        <f>AVERAGE(Taulukko919[[#This Row],[Uudistuksen mukainen osuus työmarkkinatuesta, kotoutujia ei poistettu]:[Uudistuksen mukainen osuus työmarkkinatuesta, kotoutujat poistettu]])</f>
        <v>424600.93700000003</v>
      </c>
      <c r="R128" s="458">
        <v>287089.24</v>
      </c>
      <c r="S128" s="467">
        <f>Taulukko919[[#This Row],[Uudistuksen mukainen osuus työmarkkinatuesta, keskiarvo]]-Taulukko919[[#This Row],[Nykytila, kuntien osuus työmarkkinatuesta]]</f>
        <v>137511.69700000004</v>
      </c>
    </row>
    <row r="129" spans="1:19">
      <c r="A129" s="456">
        <v>400</v>
      </c>
      <c r="B129" s="456" t="s">
        <v>129</v>
      </c>
      <c r="C129" s="457">
        <v>8441</v>
      </c>
      <c r="D129" s="458">
        <v>327036.2</v>
      </c>
      <c r="E129" s="458">
        <v>463235.22849999997</v>
      </c>
      <c r="F129" s="458">
        <f>Taulukko9[[#This Row],[Uudistuksen mukainen osuus työmarkkinatuesta*]]-Taulukko9[[#This Row],[Nykytila, kuntien osuus työmarkkinatuesta]]</f>
        <v>136199.02849999996</v>
      </c>
      <c r="G129" s="458">
        <v>26967.945</v>
      </c>
      <c r="H129" s="458">
        <v>112169.412154587</v>
      </c>
      <c r="I129" s="459">
        <f>Taulukko9[[#This Row],[Uudistuksen mukainen osuus työmarkkinatuesta*]]+Taulukko9[[#This Row],[Uudistuksen mukainen osuus peruspäivärahasta]]+Taulukko9[[#This Row],[Uudistuksen mukainen osuus ansiopäivärahasta]]</f>
        <v>602372.58565458702</v>
      </c>
      <c r="J129" s="467">
        <f>Taulukko9[[#This Row],[Uudistuksen mukainen rahoitusvastuu yhteensä]]-Taulukko9[[#This Row],[Nykytila, kuntien osuus työmarkkinatuesta]]</f>
        <v>275336.38565458701</v>
      </c>
      <c r="M129" s="456">
        <v>400</v>
      </c>
      <c r="N129" s="456" t="s">
        <v>129</v>
      </c>
      <c r="O129" s="458">
        <v>473949.027</v>
      </c>
      <c r="P129" s="458">
        <v>452521.43</v>
      </c>
      <c r="Q129" s="458">
        <f>AVERAGE(Taulukko919[[#This Row],[Uudistuksen mukainen osuus työmarkkinatuesta, kotoutujia ei poistettu]:[Uudistuksen mukainen osuus työmarkkinatuesta, kotoutujat poistettu]])</f>
        <v>463235.22849999997</v>
      </c>
      <c r="R129" s="458">
        <v>327036.2</v>
      </c>
      <c r="S129" s="467">
        <f>Taulukko919[[#This Row],[Uudistuksen mukainen osuus työmarkkinatuesta, keskiarvo]]-Taulukko919[[#This Row],[Nykytila, kuntien osuus työmarkkinatuesta]]</f>
        <v>136199.02849999996</v>
      </c>
    </row>
    <row r="130" spans="1:19">
      <c r="A130" s="456">
        <v>402</v>
      </c>
      <c r="B130" s="456" t="s">
        <v>130</v>
      </c>
      <c r="C130" s="457">
        <v>8975</v>
      </c>
      <c r="D130" s="458">
        <v>485248.57</v>
      </c>
      <c r="E130" s="458">
        <v>678085.32400000002</v>
      </c>
      <c r="F130" s="458">
        <f>Taulukko9[[#This Row],[Uudistuksen mukainen osuus työmarkkinatuesta*]]-Taulukko9[[#This Row],[Nykytila, kuntien osuus työmarkkinatuesta]]</f>
        <v>192836.75400000002</v>
      </c>
      <c r="G130" s="458">
        <v>47669.114999999998</v>
      </c>
      <c r="H130" s="458">
        <v>169939.384921349</v>
      </c>
      <c r="I130" s="459">
        <f>Taulukko9[[#This Row],[Uudistuksen mukainen osuus työmarkkinatuesta*]]+Taulukko9[[#This Row],[Uudistuksen mukainen osuus peruspäivärahasta]]+Taulukko9[[#This Row],[Uudistuksen mukainen osuus ansiopäivärahasta]]</f>
        <v>895693.82392134902</v>
      </c>
      <c r="J130" s="467">
        <f>Taulukko9[[#This Row],[Uudistuksen mukainen rahoitusvastuu yhteensä]]-Taulukko9[[#This Row],[Nykytila, kuntien osuus työmarkkinatuesta]]</f>
        <v>410445.25392134901</v>
      </c>
      <c r="M130" s="456">
        <v>402</v>
      </c>
      <c r="N130" s="456" t="s">
        <v>130</v>
      </c>
      <c r="O130" s="458">
        <v>688095.57799999998</v>
      </c>
      <c r="P130" s="458">
        <v>668075.06999999995</v>
      </c>
      <c r="Q130" s="458">
        <f>AVERAGE(Taulukko919[[#This Row],[Uudistuksen mukainen osuus työmarkkinatuesta, kotoutujia ei poistettu]:[Uudistuksen mukainen osuus työmarkkinatuesta, kotoutujat poistettu]])</f>
        <v>678085.32400000002</v>
      </c>
      <c r="R130" s="458">
        <v>485248.57</v>
      </c>
      <c r="S130" s="467">
        <f>Taulukko919[[#This Row],[Uudistuksen mukainen osuus työmarkkinatuesta, keskiarvo]]-Taulukko919[[#This Row],[Nykytila, kuntien osuus työmarkkinatuesta]]</f>
        <v>192836.75400000002</v>
      </c>
    </row>
    <row r="131" spans="1:19">
      <c r="A131" s="456">
        <v>403</v>
      </c>
      <c r="B131" s="456" t="s">
        <v>131</v>
      </c>
      <c r="C131" s="457">
        <v>2789</v>
      </c>
      <c r="D131" s="458">
        <v>67689.009999999995</v>
      </c>
      <c r="E131" s="458">
        <v>101579.36050000001</v>
      </c>
      <c r="F131" s="458">
        <f>Taulukko9[[#This Row],[Uudistuksen mukainen osuus työmarkkinatuesta*]]-Taulukko9[[#This Row],[Nykytila, kuntien osuus työmarkkinatuesta]]</f>
        <v>33890.350500000015</v>
      </c>
      <c r="G131" s="458">
        <v>6094.5339999999997</v>
      </c>
      <c r="H131" s="458">
        <v>31267.366060115801</v>
      </c>
      <c r="I131" s="459">
        <f>Taulukko9[[#This Row],[Uudistuksen mukainen osuus työmarkkinatuesta*]]+Taulukko9[[#This Row],[Uudistuksen mukainen osuus peruspäivärahasta]]+Taulukko9[[#This Row],[Uudistuksen mukainen osuus ansiopäivärahasta]]</f>
        <v>138941.2605601158</v>
      </c>
      <c r="J131" s="467">
        <f>Taulukko9[[#This Row],[Uudistuksen mukainen rahoitusvastuu yhteensä]]-Taulukko9[[#This Row],[Nykytila, kuntien osuus työmarkkinatuesta]]</f>
        <v>71252.250560115805</v>
      </c>
      <c r="M131" s="456">
        <v>403</v>
      </c>
      <c r="N131" s="456" t="s">
        <v>131</v>
      </c>
      <c r="O131" s="458">
        <v>104063.22500000001</v>
      </c>
      <c r="P131" s="458">
        <v>99095.495999999999</v>
      </c>
      <c r="Q131" s="458">
        <f>AVERAGE(Taulukko919[[#This Row],[Uudistuksen mukainen osuus työmarkkinatuesta, kotoutujia ei poistettu]:[Uudistuksen mukainen osuus työmarkkinatuesta, kotoutujat poistettu]])</f>
        <v>101579.36050000001</v>
      </c>
      <c r="R131" s="458">
        <v>67689.009999999995</v>
      </c>
      <c r="S131" s="467">
        <f>Taulukko919[[#This Row],[Uudistuksen mukainen osuus työmarkkinatuesta, keskiarvo]]-Taulukko919[[#This Row],[Nykytila, kuntien osuus työmarkkinatuesta]]</f>
        <v>33890.350500000015</v>
      </c>
    </row>
    <row r="132" spans="1:19">
      <c r="A132" s="456">
        <v>405</v>
      </c>
      <c r="B132" s="456" t="s">
        <v>132</v>
      </c>
      <c r="C132" s="457">
        <v>72988</v>
      </c>
      <c r="D132" s="458">
        <v>5400629.0700000003</v>
      </c>
      <c r="E132" s="458">
        <v>7649079.9029999999</v>
      </c>
      <c r="F132" s="458">
        <f>Taulukko9[[#This Row],[Uudistuksen mukainen osuus työmarkkinatuesta*]]-Taulukko9[[#This Row],[Nykytila, kuntien osuus työmarkkinatuesta]]</f>
        <v>2248450.8329999996</v>
      </c>
      <c r="G132" s="458">
        <v>332572.37900000002</v>
      </c>
      <c r="H132" s="458">
        <v>1334018.2635051301</v>
      </c>
      <c r="I132" s="459">
        <f>Taulukko9[[#This Row],[Uudistuksen mukainen osuus työmarkkinatuesta*]]+Taulukko9[[#This Row],[Uudistuksen mukainen osuus peruspäivärahasta]]+Taulukko9[[#This Row],[Uudistuksen mukainen osuus ansiopäivärahasta]]</f>
        <v>9315670.5455051288</v>
      </c>
      <c r="J132" s="467">
        <f>Taulukko9[[#This Row],[Uudistuksen mukainen rahoitusvastuu yhteensä]]-Taulukko9[[#This Row],[Nykytila, kuntien osuus työmarkkinatuesta]]</f>
        <v>3915041.4755051285</v>
      </c>
      <c r="M132" s="456">
        <v>405</v>
      </c>
      <c r="N132" s="456" t="s">
        <v>132</v>
      </c>
      <c r="O132" s="458">
        <v>7894362.3619999997</v>
      </c>
      <c r="P132" s="458">
        <v>7403797.4440000001</v>
      </c>
      <c r="Q132" s="458">
        <f>AVERAGE(Taulukko919[[#This Row],[Uudistuksen mukainen osuus työmarkkinatuesta, kotoutujia ei poistettu]:[Uudistuksen mukainen osuus työmarkkinatuesta, kotoutujat poistettu]])</f>
        <v>7649079.9029999999</v>
      </c>
      <c r="R132" s="458">
        <v>5400629.0700000003</v>
      </c>
      <c r="S132" s="467">
        <f>Taulukko919[[#This Row],[Uudistuksen mukainen osuus työmarkkinatuesta, keskiarvo]]-Taulukko919[[#This Row],[Nykytila, kuntien osuus työmarkkinatuesta]]</f>
        <v>2248450.8329999996</v>
      </c>
    </row>
    <row r="133" spans="1:19">
      <c r="A133" s="456">
        <v>407</v>
      </c>
      <c r="B133" s="456" t="s">
        <v>133</v>
      </c>
      <c r="C133" s="457">
        <v>2449</v>
      </c>
      <c r="D133" s="458">
        <v>247840.57</v>
      </c>
      <c r="E133" s="458">
        <v>244828.5085</v>
      </c>
      <c r="F133" s="458">
        <f>Taulukko9[[#This Row],[Uudistuksen mukainen osuus työmarkkinatuesta*]]-Taulukko9[[#This Row],[Nykytila, kuntien osuus työmarkkinatuesta]]</f>
        <v>-3012.0615000000107</v>
      </c>
      <c r="G133" s="458">
        <v>11063.043</v>
      </c>
      <c r="H133" s="458">
        <v>26822.2646955085</v>
      </c>
      <c r="I133" s="459">
        <f>Taulukko9[[#This Row],[Uudistuksen mukainen osuus työmarkkinatuesta*]]+Taulukko9[[#This Row],[Uudistuksen mukainen osuus peruspäivärahasta]]+Taulukko9[[#This Row],[Uudistuksen mukainen osuus ansiopäivärahasta]]</f>
        <v>282713.81619550852</v>
      </c>
      <c r="J133" s="467">
        <f>Taulukko9[[#This Row],[Uudistuksen mukainen rahoitusvastuu yhteensä]]-Taulukko9[[#This Row],[Nykytila, kuntien osuus työmarkkinatuesta]]</f>
        <v>34873.246195508516</v>
      </c>
      <c r="M133" s="456">
        <v>407</v>
      </c>
      <c r="N133" s="456" t="s">
        <v>133</v>
      </c>
      <c r="O133" s="458">
        <v>248158.15299999999</v>
      </c>
      <c r="P133" s="458">
        <v>241498.864</v>
      </c>
      <c r="Q133" s="458">
        <f>AVERAGE(Taulukko919[[#This Row],[Uudistuksen mukainen osuus työmarkkinatuesta, kotoutujia ei poistettu]:[Uudistuksen mukainen osuus työmarkkinatuesta, kotoutujat poistettu]])</f>
        <v>244828.5085</v>
      </c>
      <c r="R133" s="458">
        <v>247840.57</v>
      </c>
      <c r="S133" s="467">
        <f>Taulukko919[[#This Row],[Uudistuksen mukainen osuus työmarkkinatuesta, keskiarvo]]-Taulukko919[[#This Row],[Nykytila, kuntien osuus työmarkkinatuesta]]</f>
        <v>-3012.0615000000107</v>
      </c>
    </row>
    <row r="134" spans="1:19">
      <c r="A134" s="456">
        <v>408</v>
      </c>
      <c r="B134" s="456" t="s">
        <v>134</v>
      </c>
      <c r="C134" s="457">
        <v>14024</v>
      </c>
      <c r="D134" s="458">
        <v>398344.35</v>
      </c>
      <c r="E134" s="458">
        <v>650743.84300000011</v>
      </c>
      <c r="F134" s="458">
        <f>Taulukko9[[#This Row],[Uudistuksen mukainen osuus työmarkkinatuesta*]]-Taulukko9[[#This Row],[Nykytila, kuntien osuus työmarkkinatuesta]]</f>
        <v>252399.49300000013</v>
      </c>
      <c r="G134" s="458">
        <v>52902.947</v>
      </c>
      <c r="H134" s="458">
        <v>139061.07897678501</v>
      </c>
      <c r="I134" s="459">
        <f>Taulukko9[[#This Row],[Uudistuksen mukainen osuus työmarkkinatuesta*]]+Taulukko9[[#This Row],[Uudistuksen mukainen osuus peruspäivärahasta]]+Taulukko9[[#This Row],[Uudistuksen mukainen osuus ansiopäivärahasta]]</f>
        <v>842707.8689767851</v>
      </c>
      <c r="J134" s="467">
        <f>Taulukko9[[#This Row],[Uudistuksen mukainen rahoitusvastuu yhteensä]]-Taulukko9[[#This Row],[Nykytila, kuntien osuus työmarkkinatuesta]]</f>
        <v>444363.51897678513</v>
      </c>
      <c r="M134" s="456">
        <v>408</v>
      </c>
      <c r="N134" s="456" t="s">
        <v>134</v>
      </c>
      <c r="O134" s="458">
        <v>657443.35900000005</v>
      </c>
      <c r="P134" s="458">
        <v>644044.32700000005</v>
      </c>
      <c r="Q134" s="458">
        <f>AVERAGE(Taulukko919[[#This Row],[Uudistuksen mukainen osuus työmarkkinatuesta, kotoutujia ei poistettu]:[Uudistuksen mukainen osuus työmarkkinatuesta, kotoutujat poistettu]])</f>
        <v>650743.84300000011</v>
      </c>
      <c r="R134" s="458">
        <v>398344.35</v>
      </c>
      <c r="S134" s="467">
        <f>Taulukko919[[#This Row],[Uudistuksen mukainen osuus työmarkkinatuesta, keskiarvo]]-Taulukko919[[#This Row],[Nykytila, kuntien osuus työmarkkinatuesta]]</f>
        <v>252399.49300000013</v>
      </c>
    </row>
    <row r="135" spans="1:19">
      <c r="A135" s="456">
        <v>410</v>
      </c>
      <c r="B135" s="456" t="s">
        <v>135</v>
      </c>
      <c r="C135" s="457">
        <v>18762</v>
      </c>
      <c r="D135" s="458">
        <v>1003505.74</v>
      </c>
      <c r="E135" s="458">
        <v>1322237.1299999999</v>
      </c>
      <c r="F135" s="458">
        <f>Taulukko9[[#This Row],[Uudistuksen mukainen osuus työmarkkinatuesta*]]-Taulukko9[[#This Row],[Nykytila, kuntien osuus työmarkkinatuesta]]</f>
        <v>318731.3899999999</v>
      </c>
      <c r="G135" s="458">
        <v>65324.322</v>
      </c>
      <c r="H135" s="458">
        <v>307863.20926286501</v>
      </c>
      <c r="I135" s="459">
        <f>Taulukko9[[#This Row],[Uudistuksen mukainen osuus työmarkkinatuesta*]]+Taulukko9[[#This Row],[Uudistuksen mukainen osuus peruspäivärahasta]]+Taulukko9[[#This Row],[Uudistuksen mukainen osuus ansiopäivärahasta]]</f>
        <v>1695424.6612628647</v>
      </c>
      <c r="J135" s="467">
        <f>Taulukko9[[#This Row],[Uudistuksen mukainen rahoitusvastuu yhteensä]]-Taulukko9[[#This Row],[Nykytila, kuntien osuus työmarkkinatuesta]]</f>
        <v>691918.92126286472</v>
      </c>
      <c r="M135" s="456">
        <v>410</v>
      </c>
      <c r="N135" s="456" t="s">
        <v>135</v>
      </c>
      <c r="O135" s="458">
        <v>1336647.8959999999</v>
      </c>
      <c r="P135" s="458">
        <v>1307826.3640000001</v>
      </c>
      <c r="Q135" s="458">
        <f>AVERAGE(Taulukko919[[#This Row],[Uudistuksen mukainen osuus työmarkkinatuesta, kotoutujia ei poistettu]:[Uudistuksen mukainen osuus työmarkkinatuesta, kotoutujat poistettu]])</f>
        <v>1322237.1299999999</v>
      </c>
      <c r="R135" s="458">
        <v>1003505.74</v>
      </c>
      <c r="S135" s="467">
        <f>Taulukko919[[#This Row],[Uudistuksen mukainen osuus työmarkkinatuesta, keskiarvo]]-Taulukko919[[#This Row],[Nykytila, kuntien osuus työmarkkinatuesta]]</f>
        <v>318731.3899999999</v>
      </c>
    </row>
    <row r="136" spans="1:19">
      <c r="A136" s="456">
        <v>416</v>
      </c>
      <c r="B136" s="456" t="s">
        <v>136</v>
      </c>
      <c r="C136" s="457">
        <v>2862</v>
      </c>
      <c r="D136" s="458">
        <v>106965.18</v>
      </c>
      <c r="E136" s="458">
        <v>151583.89449999999</v>
      </c>
      <c r="F136" s="458">
        <f>Taulukko9[[#This Row],[Uudistuksen mukainen osuus työmarkkinatuesta*]]-Taulukko9[[#This Row],[Nykytila, kuntien osuus työmarkkinatuesta]]</f>
        <v>44618.714500000002</v>
      </c>
      <c r="G136" s="458">
        <v>11841.353999999999</v>
      </c>
      <c r="H136" s="458">
        <v>54894.577844432999</v>
      </c>
      <c r="I136" s="459">
        <f>Taulukko9[[#This Row],[Uudistuksen mukainen osuus työmarkkinatuesta*]]+Taulukko9[[#This Row],[Uudistuksen mukainen osuus peruspäivärahasta]]+Taulukko9[[#This Row],[Uudistuksen mukainen osuus ansiopäivärahasta]]</f>
        <v>218319.82634443298</v>
      </c>
      <c r="J136" s="467">
        <f>Taulukko9[[#This Row],[Uudistuksen mukainen rahoitusvastuu yhteensä]]-Taulukko9[[#This Row],[Nykytila, kuntien osuus työmarkkinatuesta]]</f>
        <v>111354.64634443299</v>
      </c>
      <c r="M136" s="456">
        <v>416</v>
      </c>
      <c r="N136" s="456" t="s">
        <v>136</v>
      </c>
      <c r="O136" s="458">
        <v>155157.05100000001</v>
      </c>
      <c r="P136" s="458">
        <v>148010.73800000001</v>
      </c>
      <c r="Q136" s="458">
        <f>AVERAGE(Taulukko919[[#This Row],[Uudistuksen mukainen osuus työmarkkinatuesta, kotoutujia ei poistettu]:[Uudistuksen mukainen osuus työmarkkinatuesta, kotoutujat poistettu]])</f>
        <v>151583.89449999999</v>
      </c>
      <c r="R136" s="458">
        <v>106965.18</v>
      </c>
      <c r="S136" s="467">
        <f>Taulukko919[[#This Row],[Uudistuksen mukainen osuus työmarkkinatuesta, keskiarvo]]-Taulukko919[[#This Row],[Nykytila, kuntien osuus työmarkkinatuesta]]</f>
        <v>44618.714500000002</v>
      </c>
    </row>
    <row r="137" spans="1:19">
      <c r="A137" s="456">
        <v>418</v>
      </c>
      <c r="B137" s="456" t="s">
        <v>137</v>
      </c>
      <c r="C137" s="457">
        <v>24711</v>
      </c>
      <c r="D137" s="458">
        <v>1200060.67</v>
      </c>
      <c r="E137" s="458">
        <v>1875303.4764999999</v>
      </c>
      <c r="F137" s="458">
        <f>Taulukko9[[#This Row],[Uudistuksen mukainen osuus työmarkkinatuesta*]]-Taulukko9[[#This Row],[Nykytila, kuntien osuus työmarkkinatuesta]]</f>
        <v>675242.80649999995</v>
      </c>
      <c r="G137" s="458">
        <v>50570.533000000003</v>
      </c>
      <c r="H137" s="458">
        <v>277293.78705081501</v>
      </c>
      <c r="I137" s="459">
        <f>Taulukko9[[#This Row],[Uudistuksen mukainen osuus työmarkkinatuesta*]]+Taulukko9[[#This Row],[Uudistuksen mukainen osuus peruspäivärahasta]]+Taulukko9[[#This Row],[Uudistuksen mukainen osuus ansiopäivärahasta]]</f>
        <v>2203167.796550815</v>
      </c>
      <c r="J137" s="467">
        <f>Taulukko9[[#This Row],[Uudistuksen mukainen rahoitusvastuu yhteensä]]-Taulukko9[[#This Row],[Nykytila, kuntien osuus työmarkkinatuesta]]</f>
        <v>1003107.1265508151</v>
      </c>
      <c r="M137" s="456">
        <v>418</v>
      </c>
      <c r="N137" s="456" t="s">
        <v>137</v>
      </c>
      <c r="O137" s="458">
        <v>1905240.1610000001</v>
      </c>
      <c r="P137" s="458">
        <v>1845366.7919999999</v>
      </c>
      <c r="Q137" s="458">
        <f>AVERAGE(Taulukko919[[#This Row],[Uudistuksen mukainen osuus työmarkkinatuesta, kotoutujia ei poistettu]:[Uudistuksen mukainen osuus työmarkkinatuesta, kotoutujat poistettu]])</f>
        <v>1875303.4764999999</v>
      </c>
      <c r="R137" s="458">
        <v>1200060.67</v>
      </c>
      <c r="S137" s="467">
        <f>Taulukko919[[#This Row],[Uudistuksen mukainen osuus työmarkkinatuesta, keskiarvo]]-Taulukko919[[#This Row],[Nykytila, kuntien osuus työmarkkinatuesta]]</f>
        <v>675242.80649999995</v>
      </c>
    </row>
    <row r="138" spans="1:19">
      <c r="A138" s="456">
        <v>420</v>
      </c>
      <c r="B138" s="456" t="s">
        <v>138</v>
      </c>
      <c r="C138" s="457">
        <v>9049</v>
      </c>
      <c r="D138" s="458">
        <v>576040.28</v>
      </c>
      <c r="E138" s="458">
        <v>671677.10499999998</v>
      </c>
      <c r="F138" s="458">
        <f>Taulukko9[[#This Row],[Uudistuksen mukainen osuus työmarkkinatuesta*]]-Taulukko9[[#This Row],[Nykytila, kuntien osuus työmarkkinatuesta]]</f>
        <v>95636.824999999953</v>
      </c>
      <c r="G138" s="458">
        <v>38363.750999999997</v>
      </c>
      <c r="H138" s="458">
        <v>135246.808870459</v>
      </c>
      <c r="I138" s="459">
        <f>Taulukko9[[#This Row],[Uudistuksen mukainen osuus työmarkkinatuesta*]]+Taulukko9[[#This Row],[Uudistuksen mukainen osuus peruspäivärahasta]]+Taulukko9[[#This Row],[Uudistuksen mukainen osuus ansiopäivärahasta]]</f>
        <v>845287.664870459</v>
      </c>
      <c r="J138" s="467">
        <f>Taulukko9[[#This Row],[Uudistuksen mukainen rahoitusvastuu yhteensä]]-Taulukko9[[#This Row],[Nykytila, kuntien osuus työmarkkinatuesta]]</f>
        <v>269247.38487045898</v>
      </c>
      <c r="M138" s="456">
        <v>420</v>
      </c>
      <c r="N138" s="456" t="s">
        <v>138</v>
      </c>
      <c r="O138" s="458">
        <v>677184.74300000002</v>
      </c>
      <c r="P138" s="458">
        <v>666169.46699999995</v>
      </c>
      <c r="Q138" s="458">
        <f>AVERAGE(Taulukko919[[#This Row],[Uudistuksen mukainen osuus työmarkkinatuesta, kotoutujia ei poistettu]:[Uudistuksen mukainen osuus työmarkkinatuesta, kotoutujat poistettu]])</f>
        <v>671677.10499999998</v>
      </c>
      <c r="R138" s="458">
        <v>576040.28</v>
      </c>
      <c r="S138" s="467">
        <f>Taulukko919[[#This Row],[Uudistuksen mukainen osuus työmarkkinatuesta, keskiarvo]]-Taulukko919[[#This Row],[Nykytila, kuntien osuus työmarkkinatuesta]]</f>
        <v>95636.824999999953</v>
      </c>
    </row>
    <row r="139" spans="1:19">
      <c r="A139" s="456">
        <v>421</v>
      </c>
      <c r="B139" s="456" t="s">
        <v>139</v>
      </c>
      <c r="C139" s="457">
        <v>682</v>
      </c>
      <c r="D139" s="458">
        <v>30469.52</v>
      </c>
      <c r="E139" s="458">
        <v>34492.919000000002</v>
      </c>
      <c r="F139" s="458">
        <f>Taulukko9[[#This Row],[Uudistuksen mukainen osuus työmarkkinatuesta*]]-Taulukko9[[#This Row],[Nykytila, kuntien osuus työmarkkinatuesta]]</f>
        <v>4023.3990000000013</v>
      </c>
      <c r="G139" s="458">
        <v>1926.5840000000001</v>
      </c>
      <c r="H139" s="458">
        <v>8079.1461237288604</v>
      </c>
      <c r="I139" s="459">
        <f>Taulukko9[[#This Row],[Uudistuksen mukainen osuus työmarkkinatuesta*]]+Taulukko9[[#This Row],[Uudistuksen mukainen osuus peruspäivärahasta]]+Taulukko9[[#This Row],[Uudistuksen mukainen osuus ansiopäivärahasta]]</f>
        <v>44498.649123728865</v>
      </c>
      <c r="J139" s="467">
        <f>Taulukko9[[#This Row],[Uudistuksen mukainen rahoitusvastuu yhteensä]]-Taulukko9[[#This Row],[Nykytila, kuntien osuus työmarkkinatuesta]]</f>
        <v>14029.129123728864</v>
      </c>
      <c r="M139" s="456">
        <v>421</v>
      </c>
      <c r="N139" s="456" t="s">
        <v>139</v>
      </c>
      <c r="O139" s="458">
        <v>34492.919000000002</v>
      </c>
      <c r="P139" s="458">
        <v>34492.919000000002</v>
      </c>
      <c r="Q139" s="458">
        <f>AVERAGE(Taulukko919[[#This Row],[Uudistuksen mukainen osuus työmarkkinatuesta, kotoutujia ei poistettu]:[Uudistuksen mukainen osuus työmarkkinatuesta, kotoutujat poistettu]])</f>
        <v>34492.919000000002</v>
      </c>
      <c r="R139" s="458">
        <v>30469.52</v>
      </c>
      <c r="S139" s="467">
        <f>Taulukko919[[#This Row],[Uudistuksen mukainen osuus työmarkkinatuesta, keskiarvo]]-Taulukko919[[#This Row],[Nykytila, kuntien osuus työmarkkinatuesta]]</f>
        <v>4023.3990000000013</v>
      </c>
    </row>
    <row r="140" spans="1:19">
      <c r="A140" s="456">
        <v>422</v>
      </c>
      <c r="B140" s="456" t="s">
        <v>140</v>
      </c>
      <c r="C140" s="457">
        <v>10228</v>
      </c>
      <c r="D140" s="458">
        <v>1248373.5</v>
      </c>
      <c r="E140" s="458">
        <v>1452898.4785</v>
      </c>
      <c r="F140" s="458">
        <f>Taulukko9[[#This Row],[Uudistuksen mukainen osuus työmarkkinatuesta*]]-Taulukko9[[#This Row],[Nykytila, kuntien osuus työmarkkinatuesta]]</f>
        <v>204524.97849999997</v>
      </c>
      <c r="G140" s="458">
        <v>53510.688999999998</v>
      </c>
      <c r="H140" s="458">
        <v>272371.38565925101</v>
      </c>
      <c r="I140" s="459">
        <f>Taulukko9[[#This Row],[Uudistuksen mukainen osuus työmarkkinatuesta*]]+Taulukko9[[#This Row],[Uudistuksen mukainen osuus peruspäivärahasta]]+Taulukko9[[#This Row],[Uudistuksen mukainen osuus ansiopäivärahasta]]</f>
        <v>1778780.5531592509</v>
      </c>
      <c r="J140" s="467">
        <f>Taulukko9[[#This Row],[Uudistuksen mukainen rahoitusvastuu yhteensä]]-Taulukko9[[#This Row],[Nykytila, kuntien osuus työmarkkinatuesta]]</f>
        <v>530407.05315925088</v>
      </c>
      <c r="M140" s="456">
        <v>422</v>
      </c>
      <c r="N140" s="456" t="s">
        <v>140</v>
      </c>
      <c r="O140" s="458">
        <v>1478877.095</v>
      </c>
      <c r="P140" s="458">
        <v>1426919.862</v>
      </c>
      <c r="Q140" s="458">
        <f>AVERAGE(Taulukko919[[#This Row],[Uudistuksen mukainen osuus työmarkkinatuesta, kotoutujia ei poistettu]:[Uudistuksen mukainen osuus työmarkkinatuesta, kotoutujat poistettu]])</f>
        <v>1452898.4785</v>
      </c>
      <c r="R140" s="458">
        <v>1248373.5</v>
      </c>
      <c r="S140" s="467">
        <f>Taulukko919[[#This Row],[Uudistuksen mukainen osuus työmarkkinatuesta, keskiarvo]]-Taulukko919[[#This Row],[Nykytila, kuntien osuus työmarkkinatuesta]]</f>
        <v>204524.97849999997</v>
      </c>
    </row>
    <row r="141" spans="1:19">
      <c r="A141" s="456">
        <v>423</v>
      </c>
      <c r="B141" s="456" t="s">
        <v>141</v>
      </c>
      <c r="C141" s="457">
        <v>20637</v>
      </c>
      <c r="D141" s="458">
        <v>343922.27</v>
      </c>
      <c r="E141" s="458">
        <v>703637.6925</v>
      </c>
      <c r="F141" s="458">
        <f>Taulukko9[[#This Row],[Uudistuksen mukainen osuus työmarkkinatuesta*]]-Taulukko9[[#This Row],[Nykytila, kuntien osuus työmarkkinatuesta]]</f>
        <v>359715.42249999999</v>
      </c>
      <c r="G141" s="458">
        <v>41865.398999999998</v>
      </c>
      <c r="H141" s="458">
        <v>193905.08404074801</v>
      </c>
      <c r="I141" s="459">
        <f>Taulukko9[[#This Row],[Uudistuksen mukainen osuus työmarkkinatuesta*]]+Taulukko9[[#This Row],[Uudistuksen mukainen osuus peruspäivärahasta]]+Taulukko9[[#This Row],[Uudistuksen mukainen osuus ansiopäivärahasta]]</f>
        <v>939408.17554074805</v>
      </c>
      <c r="J141" s="467">
        <f>Taulukko9[[#This Row],[Uudistuksen mukainen rahoitusvastuu yhteensä]]-Taulukko9[[#This Row],[Nykytila, kuntien osuus työmarkkinatuesta]]</f>
        <v>595485.90554074803</v>
      </c>
      <c r="M141" s="456">
        <v>423</v>
      </c>
      <c r="N141" s="456" t="s">
        <v>141</v>
      </c>
      <c r="O141" s="458">
        <v>729443.451</v>
      </c>
      <c r="P141" s="458">
        <v>677831.93400000001</v>
      </c>
      <c r="Q141" s="458">
        <f>AVERAGE(Taulukko919[[#This Row],[Uudistuksen mukainen osuus työmarkkinatuesta, kotoutujia ei poistettu]:[Uudistuksen mukainen osuus työmarkkinatuesta, kotoutujat poistettu]])</f>
        <v>703637.6925</v>
      </c>
      <c r="R141" s="458">
        <v>343922.27</v>
      </c>
      <c r="S141" s="467">
        <f>Taulukko919[[#This Row],[Uudistuksen mukainen osuus työmarkkinatuesta, keskiarvo]]-Taulukko919[[#This Row],[Nykytila, kuntien osuus työmarkkinatuesta]]</f>
        <v>359715.42249999999</v>
      </c>
    </row>
    <row r="142" spans="1:19">
      <c r="A142" s="456">
        <v>425</v>
      </c>
      <c r="B142" s="456" t="s">
        <v>142</v>
      </c>
      <c r="C142" s="457">
        <v>10256</v>
      </c>
      <c r="D142" s="458">
        <v>251755.42</v>
      </c>
      <c r="E142" s="458">
        <v>365239.30000000005</v>
      </c>
      <c r="F142" s="458">
        <f>Taulukko9[[#This Row],[Uudistuksen mukainen osuus työmarkkinatuesta*]]-Taulukko9[[#This Row],[Nykytila, kuntien osuus työmarkkinatuesta]]</f>
        <v>113483.88000000003</v>
      </c>
      <c r="G142" s="458">
        <v>27916.661</v>
      </c>
      <c r="H142" s="458">
        <v>114060.948084698</v>
      </c>
      <c r="I142" s="459">
        <f>Taulukko9[[#This Row],[Uudistuksen mukainen osuus työmarkkinatuesta*]]+Taulukko9[[#This Row],[Uudistuksen mukainen osuus peruspäivärahasta]]+Taulukko9[[#This Row],[Uudistuksen mukainen osuus ansiopäivärahasta]]</f>
        <v>507216.90908469807</v>
      </c>
      <c r="J142" s="467">
        <f>Taulukko9[[#This Row],[Uudistuksen mukainen rahoitusvastuu yhteensä]]-Taulukko9[[#This Row],[Nykytila, kuntien osuus työmarkkinatuesta]]</f>
        <v>255461.48908469806</v>
      </c>
      <c r="M142" s="456">
        <v>425</v>
      </c>
      <c r="N142" s="456" t="s">
        <v>142</v>
      </c>
      <c r="O142" s="458">
        <v>368437.57400000002</v>
      </c>
      <c r="P142" s="458">
        <v>362041.02600000001</v>
      </c>
      <c r="Q142" s="458">
        <f>AVERAGE(Taulukko919[[#This Row],[Uudistuksen mukainen osuus työmarkkinatuesta, kotoutujia ei poistettu]:[Uudistuksen mukainen osuus työmarkkinatuesta, kotoutujat poistettu]])</f>
        <v>365239.30000000005</v>
      </c>
      <c r="R142" s="458">
        <v>251755.42</v>
      </c>
      <c r="S142" s="467">
        <f>Taulukko919[[#This Row],[Uudistuksen mukainen osuus työmarkkinatuesta, keskiarvo]]-Taulukko919[[#This Row],[Nykytila, kuntien osuus työmarkkinatuesta]]</f>
        <v>113483.88000000003</v>
      </c>
    </row>
    <row r="143" spans="1:19">
      <c r="A143" s="456">
        <v>426</v>
      </c>
      <c r="B143" s="456" t="s">
        <v>143</v>
      </c>
      <c r="C143" s="457">
        <v>11969</v>
      </c>
      <c r="D143" s="458">
        <v>1028408.22</v>
      </c>
      <c r="E143" s="458">
        <v>1147718.9175</v>
      </c>
      <c r="F143" s="458">
        <f>Taulukko9[[#This Row],[Uudistuksen mukainen osuus työmarkkinatuesta*]]-Taulukko9[[#This Row],[Nykytila, kuntien osuus työmarkkinatuesta]]</f>
        <v>119310.69750000001</v>
      </c>
      <c r="G143" s="458">
        <v>65005.008000000002</v>
      </c>
      <c r="H143" s="458">
        <v>221928.74322974001</v>
      </c>
      <c r="I143" s="459">
        <f>Taulukko9[[#This Row],[Uudistuksen mukainen osuus työmarkkinatuesta*]]+Taulukko9[[#This Row],[Uudistuksen mukainen osuus peruspäivärahasta]]+Taulukko9[[#This Row],[Uudistuksen mukainen osuus ansiopäivärahasta]]</f>
        <v>1434652.66872974</v>
      </c>
      <c r="J143" s="467">
        <f>Taulukko9[[#This Row],[Uudistuksen mukainen rahoitusvastuu yhteensä]]-Taulukko9[[#This Row],[Nykytila, kuntien osuus työmarkkinatuesta]]</f>
        <v>406244.44872973999</v>
      </c>
      <c r="M143" s="456">
        <v>426</v>
      </c>
      <c r="N143" s="456" t="s">
        <v>143</v>
      </c>
      <c r="O143" s="458">
        <v>1150893.4550000001</v>
      </c>
      <c r="P143" s="458">
        <v>1144544.3799999999</v>
      </c>
      <c r="Q143" s="458">
        <f>AVERAGE(Taulukko919[[#This Row],[Uudistuksen mukainen osuus työmarkkinatuesta, kotoutujia ei poistettu]:[Uudistuksen mukainen osuus työmarkkinatuesta, kotoutujat poistettu]])</f>
        <v>1147718.9175</v>
      </c>
      <c r="R143" s="458">
        <v>1028408.22</v>
      </c>
      <c r="S143" s="467">
        <f>Taulukko919[[#This Row],[Uudistuksen mukainen osuus työmarkkinatuesta, keskiarvo]]-Taulukko919[[#This Row],[Nykytila, kuntien osuus työmarkkinatuesta]]</f>
        <v>119310.69750000001</v>
      </c>
    </row>
    <row r="144" spans="1:19">
      <c r="A144" s="456">
        <v>430</v>
      </c>
      <c r="B144" s="456" t="s">
        <v>144</v>
      </c>
      <c r="C144" s="457">
        <v>15420</v>
      </c>
      <c r="D144" s="458">
        <v>884458.33</v>
      </c>
      <c r="E144" s="458">
        <v>1405647.5555</v>
      </c>
      <c r="F144" s="458">
        <f>Taulukko9[[#This Row],[Uudistuksen mukainen osuus työmarkkinatuesta*]]-Taulukko9[[#This Row],[Nykytila, kuntien osuus työmarkkinatuesta]]</f>
        <v>521189.22550000006</v>
      </c>
      <c r="G144" s="458">
        <v>48278.411</v>
      </c>
      <c r="H144" s="458">
        <v>228705.45632262499</v>
      </c>
      <c r="I144" s="459">
        <f>Taulukko9[[#This Row],[Uudistuksen mukainen osuus työmarkkinatuesta*]]+Taulukko9[[#This Row],[Uudistuksen mukainen osuus peruspäivärahasta]]+Taulukko9[[#This Row],[Uudistuksen mukainen osuus ansiopäivärahasta]]</f>
        <v>1682631.4228226251</v>
      </c>
      <c r="J144" s="467">
        <f>Taulukko9[[#This Row],[Uudistuksen mukainen rahoitusvastuu yhteensä]]-Taulukko9[[#This Row],[Nykytila, kuntien osuus työmarkkinatuesta]]</f>
        <v>798173.09282262519</v>
      </c>
      <c r="M144" s="456">
        <v>430</v>
      </c>
      <c r="N144" s="456" t="s">
        <v>144</v>
      </c>
      <c r="O144" s="458">
        <v>1438485.987</v>
      </c>
      <c r="P144" s="458">
        <v>1372809.1240000001</v>
      </c>
      <c r="Q144" s="458">
        <f>AVERAGE(Taulukko919[[#This Row],[Uudistuksen mukainen osuus työmarkkinatuesta, kotoutujia ei poistettu]:[Uudistuksen mukainen osuus työmarkkinatuesta, kotoutujat poistettu]])</f>
        <v>1405647.5555</v>
      </c>
      <c r="R144" s="458">
        <v>884458.33</v>
      </c>
      <c r="S144" s="467">
        <f>Taulukko919[[#This Row],[Uudistuksen mukainen osuus työmarkkinatuesta, keskiarvo]]-Taulukko919[[#This Row],[Nykytila, kuntien osuus työmarkkinatuesta]]</f>
        <v>521189.22550000006</v>
      </c>
    </row>
    <row r="145" spans="1:19">
      <c r="A145" s="456">
        <v>433</v>
      </c>
      <c r="B145" s="456" t="s">
        <v>145</v>
      </c>
      <c r="C145" s="457">
        <v>7692</v>
      </c>
      <c r="D145" s="458">
        <v>141530.87</v>
      </c>
      <c r="E145" s="458">
        <v>303170.94050000003</v>
      </c>
      <c r="F145" s="458">
        <f>Taulukko9[[#This Row],[Uudistuksen mukainen osuus työmarkkinatuesta*]]-Taulukko9[[#This Row],[Nykytila, kuntien osuus työmarkkinatuesta]]</f>
        <v>161640.07050000003</v>
      </c>
      <c r="G145" s="458">
        <v>28555.646000000001</v>
      </c>
      <c r="H145" s="458">
        <v>75069.427921499504</v>
      </c>
      <c r="I145" s="459">
        <f>Taulukko9[[#This Row],[Uudistuksen mukainen osuus työmarkkinatuesta*]]+Taulukko9[[#This Row],[Uudistuksen mukainen osuus peruspäivärahasta]]+Taulukko9[[#This Row],[Uudistuksen mukainen osuus ansiopäivärahasta]]</f>
        <v>406796.01442149957</v>
      </c>
      <c r="J145" s="467">
        <f>Taulukko9[[#This Row],[Uudistuksen mukainen rahoitusvastuu yhteensä]]-Taulukko9[[#This Row],[Nykytila, kuntien osuus työmarkkinatuesta]]</f>
        <v>265265.14442149957</v>
      </c>
      <c r="M145" s="456">
        <v>433</v>
      </c>
      <c r="N145" s="456" t="s">
        <v>145</v>
      </c>
      <c r="O145" s="458">
        <v>308882.62300000002</v>
      </c>
      <c r="P145" s="458">
        <v>297459.25799999997</v>
      </c>
      <c r="Q145" s="458">
        <f>AVERAGE(Taulukko919[[#This Row],[Uudistuksen mukainen osuus työmarkkinatuesta, kotoutujia ei poistettu]:[Uudistuksen mukainen osuus työmarkkinatuesta, kotoutujat poistettu]])</f>
        <v>303170.94050000003</v>
      </c>
      <c r="R145" s="458">
        <v>141530.87</v>
      </c>
      <c r="S145" s="467">
        <f>Taulukko919[[#This Row],[Uudistuksen mukainen osuus työmarkkinatuesta, keskiarvo]]-Taulukko919[[#This Row],[Nykytila, kuntien osuus työmarkkinatuesta]]</f>
        <v>161640.07050000003</v>
      </c>
    </row>
    <row r="146" spans="1:19">
      <c r="A146" s="456">
        <v>434</v>
      </c>
      <c r="B146" s="456" t="s">
        <v>146</v>
      </c>
      <c r="C146" s="457">
        <v>14458</v>
      </c>
      <c r="D146" s="458">
        <v>1260072.7</v>
      </c>
      <c r="E146" s="458">
        <v>1388785.3330000001</v>
      </c>
      <c r="F146" s="458">
        <f>Taulukko9[[#This Row],[Uudistuksen mukainen osuus työmarkkinatuesta*]]-Taulukko9[[#This Row],[Nykytila, kuntien osuus työmarkkinatuesta]]</f>
        <v>128712.63300000015</v>
      </c>
      <c r="G146" s="458">
        <v>55387.512000000002</v>
      </c>
      <c r="H146" s="458">
        <v>195275.91870399099</v>
      </c>
      <c r="I146" s="459">
        <f>Taulukko9[[#This Row],[Uudistuksen mukainen osuus työmarkkinatuesta*]]+Taulukko9[[#This Row],[Uudistuksen mukainen osuus peruspäivärahasta]]+Taulukko9[[#This Row],[Uudistuksen mukainen osuus ansiopäivärahasta]]</f>
        <v>1639448.7637039912</v>
      </c>
      <c r="J146" s="467">
        <f>Taulukko9[[#This Row],[Uudistuksen mukainen rahoitusvastuu yhteensä]]-Taulukko9[[#This Row],[Nykytila, kuntien osuus työmarkkinatuesta]]</f>
        <v>379376.06370399124</v>
      </c>
      <c r="M146" s="456">
        <v>434</v>
      </c>
      <c r="N146" s="456" t="s">
        <v>146</v>
      </c>
      <c r="O146" s="458">
        <v>1407239.9509999999</v>
      </c>
      <c r="P146" s="458">
        <v>1370330.7150000001</v>
      </c>
      <c r="Q146" s="458">
        <f>AVERAGE(Taulukko919[[#This Row],[Uudistuksen mukainen osuus työmarkkinatuesta, kotoutujia ei poistettu]:[Uudistuksen mukainen osuus työmarkkinatuesta, kotoutujat poistettu]])</f>
        <v>1388785.3330000001</v>
      </c>
      <c r="R146" s="458">
        <v>1260072.7</v>
      </c>
      <c r="S146" s="467">
        <f>Taulukko919[[#This Row],[Uudistuksen mukainen osuus työmarkkinatuesta, keskiarvo]]-Taulukko919[[#This Row],[Nykytila, kuntien osuus työmarkkinatuesta]]</f>
        <v>128712.63300000015</v>
      </c>
    </row>
    <row r="147" spans="1:19">
      <c r="A147" s="456">
        <v>435</v>
      </c>
      <c r="B147" s="456" t="s">
        <v>147</v>
      </c>
      <c r="C147" s="457">
        <v>702</v>
      </c>
      <c r="D147" s="458">
        <v>55098.66</v>
      </c>
      <c r="E147" s="458">
        <v>59667.387999999999</v>
      </c>
      <c r="F147" s="458">
        <f>Taulukko9[[#This Row],[Uudistuksen mukainen osuus työmarkkinatuesta*]]-Taulukko9[[#This Row],[Nykytila, kuntien osuus työmarkkinatuesta]]</f>
        <v>4568.7279999999955</v>
      </c>
      <c r="G147" s="458">
        <v>4042.4389999999999</v>
      </c>
      <c r="H147" s="458">
        <v>15392.2558006158</v>
      </c>
      <c r="I147" s="459">
        <f>Taulukko9[[#This Row],[Uudistuksen mukainen osuus työmarkkinatuesta*]]+Taulukko9[[#This Row],[Uudistuksen mukainen osuus peruspäivärahasta]]+Taulukko9[[#This Row],[Uudistuksen mukainen osuus ansiopäivärahasta]]</f>
        <v>79102.082800615797</v>
      </c>
      <c r="J147" s="467">
        <f>Taulukko9[[#This Row],[Uudistuksen mukainen rahoitusvastuu yhteensä]]-Taulukko9[[#This Row],[Nykytila, kuntien osuus työmarkkinatuesta]]</f>
        <v>24003.422800615794</v>
      </c>
      <c r="M147" s="456">
        <v>435</v>
      </c>
      <c r="N147" s="456" t="s">
        <v>147</v>
      </c>
      <c r="O147" s="458">
        <v>59667.387999999999</v>
      </c>
      <c r="P147" s="458">
        <v>59667.387999999999</v>
      </c>
      <c r="Q147" s="458">
        <f>AVERAGE(Taulukko919[[#This Row],[Uudistuksen mukainen osuus työmarkkinatuesta, kotoutujia ei poistettu]:[Uudistuksen mukainen osuus työmarkkinatuesta, kotoutujat poistettu]])</f>
        <v>59667.387999999999</v>
      </c>
      <c r="R147" s="458">
        <v>55098.66</v>
      </c>
      <c r="S147" s="467">
        <f>Taulukko919[[#This Row],[Uudistuksen mukainen osuus työmarkkinatuesta, keskiarvo]]-Taulukko919[[#This Row],[Nykytila, kuntien osuus työmarkkinatuesta]]</f>
        <v>4568.7279999999955</v>
      </c>
    </row>
    <row r="148" spans="1:19">
      <c r="A148" s="456">
        <v>436</v>
      </c>
      <c r="B148" s="456" t="s">
        <v>148</v>
      </c>
      <c r="C148" s="457">
        <v>2033</v>
      </c>
      <c r="D148" s="458">
        <v>56271.11</v>
      </c>
      <c r="E148" s="458">
        <v>66610.388000000006</v>
      </c>
      <c r="F148" s="458">
        <f>Taulukko9[[#This Row],[Uudistuksen mukainen osuus työmarkkinatuesta*]]-Taulukko9[[#This Row],[Nykytila, kuntien osuus työmarkkinatuesta]]</f>
        <v>10339.278000000006</v>
      </c>
      <c r="G148" s="458">
        <v>5890.4480000000003</v>
      </c>
      <c r="H148" s="458">
        <v>17207.093269533001</v>
      </c>
      <c r="I148" s="459">
        <f>Taulukko9[[#This Row],[Uudistuksen mukainen osuus työmarkkinatuesta*]]+Taulukko9[[#This Row],[Uudistuksen mukainen osuus peruspäivärahasta]]+Taulukko9[[#This Row],[Uudistuksen mukainen osuus ansiopäivärahasta]]</f>
        <v>89707.929269533008</v>
      </c>
      <c r="J148" s="467">
        <f>Taulukko9[[#This Row],[Uudistuksen mukainen rahoitusvastuu yhteensä]]-Taulukko9[[#This Row],[Nykytila, kuntien osuus työmarkkinatuesta]]</f>
        <v>33436.819269533007</v>
      </c>
      <c r="M148" s="456">
        <v>436</v>
      </c>
      <c r="N148" s="456" t="s">
        <v>148</v>
      </c>
      <c r="O148" s="458">
        <v>66908.067999999999</v>
      </c>
      <c r="P148" s="458">
        <v>66312.707999999999</v>
      </c>
      <c r="Q148" s="458">
        <f>AVERAGE(Taulukko919[[#This Row],[Uudistuksen mukainen osuus työmarkkinatuesta, kotoutujia ei poistettu]:[Uudistuksen mukainen osuus työmarkkinatuesta, kotoutujat poistettu]])</f>
        <v>66610.388000000006</v>
      </c>
      <c r="R148" s="458">
        <v>56271.11</v>
      </c>
      <c r="S148" s="467">
        <f>Taulukko919[[#This Row],[Uudistuksen mukainen osuus työmarkkinatuesta, keskiarvo]]-Taulukko919[[#This Row],[Nykytila, kuntien osuus työmarkkinatuesta]]</f>
        <v>10339.278000000006</v>
      </c>
    </row>
    <row r="149" spans="1:19">
      <c r="A149" s="456">
        <v>440</v>
      </c>
      <c r="B149" s="456" t="s">
        <v>149</v>
      </c>
      <c r="C149" s="457">
        <v>5843</v>
      </c>
      <c r="D149" s="458">
        <v>26835.46</v>
      </c>
      <c r="E149" s="458">
        <v>85224.526500000007</v>
      </c>
      <c r="F149" s="458">
        <f>Taulukko9[[#This Row],[Uudistuksen mukainen osuus työmarkkinatuesta*]]-Taulukko9[[#This Row],[Nykytila, kuntien osuus työmarkkinatuesta]]</f>
        <v>58389.066500000008</v>
      </c>
      <c r="G149" s="458">
        <v>8430.5750000000007</v>
      </c>
      <c r="H149" s="458">
        <v>16378.4587671481</v>
      </c>
      <c r="I149" s="459">
        <f>Taulukko9[[#This Row],[Uudistuksen mukainen osuus työmarkkinatuesta*]]+Taulukko9[[#This Row],[Uudistuksen mukainen osuus peruspäivärahasta]]+Taulukko9[[#This Row],[Uudistuksen mukainen osuus ansiopäivärahasta]]</f>
        <v>110033.5602671481</v>
      </c>
      <c r="J149" s="467">
        <f>Taulukko9[[#This Row],[Uudistuksen mukainen rahoitusvastuu yhteensä]]-Taulukko9[[#This Row],[Nykytila, kuntien osuus työmarkkinatuesta]]</f>
        <v>83198.100267148111</v>
      </c>
      <c r="M149" s="456">
        <v>440</v>
      </c>
      <c r="N149" s="456" t="s">
        <v>149</v>
      </c>
      <c r="O149" s="458">
        <v>92081.255000000005</v>
      </c>
      <c r="P149" s="458">
        <v>78367.797999999995</v>
      </c>
      <c r="Q149" s="458">
        <f>AVERAGE(Taulukko919[[#This Row],[Uudistuksen mukainen osuus työmarkkinatuesta, kotoutujia ei poistettu]:[Uudistuksen mukainen osuus työmarkkinatuesta, kotoutujat poistettu]])</f>
        <v>85224.526500000007</v>
      </c>
      <c r="R149" s="458">
        <v>26835.46</v>
      </c>
      <c r="S149" s="467">
        <f>Taulukko919[[#This Row],[Uudistuksen mukainen osuus työmarkkinatuesta, keskiarvo]]-Taulukko919[[#This Row],[Nykytila, kuntien osuus työmarkkinatuesta]]</f>
        <v>58389.066500000008</v>
      </c>
    </row>
    <row r="150" spans="1:19">
      <c r="A150" s="456">
        <v>441</v>
      </c>
      <c r="B150" s="456" t="s">
        <v>150</v>
      </c>
      <c r="C150" s="457">
        <v>4396</v>
      </c>
      <c r="D150" s="458">
        <v>163906.54</v>
      </c>
      <c r="E150" s="458">
        <v>284929.32999999996</v>
      </c>
      <c r="F150" s="458">
        <f>Taulukko9[[#This Row],[Uudistuksen mukainen osuus työmarkkinatuesta*]]-Taulukko9[[#This Row],[Nykytila, kuntien osuus työmarkkinatuesta]]</f>
        <v>121022.78999999995</v>
      </c>
      <c r="G150" s="458">
        <v>23155.696</v>
      </c>
      <c r="H150" s="458">
        <v>85392.2183916676</v>
      </c>
      <c r="I150" s="459">
        <f>Taulukko9[[#This Row],[Uudistuksen mukainen osuus työmarkkinatuesta*]]+Taulukko9[[#This Row],[Uudistuksen mukainen osuus peruspäivärahasta]]+Taulukko9[[#This Row],[Uudistuksen mukainen osuus ansiopäivärahasta]]</f>
        <v>393477.24439166754</v>
      </c>
      <c r="J150" s="467">
        <f>Taulukko9[[#This Row],[Uudistuksen mukainen rahoitusvastuu yhteensä]]-Taulukko9[[#This Row],[Nykytila, kuntien osuus työmarkkinatuesta]]</f>
        <v>229570.70439166753</v>
      </c>
      <c r="M150" s="456">
        <v>441</v>
      </c>
      <c r="N150" s="456" t="s">
        <v>150</v>
      </c>
      <c r="O150" s="458">
        <v>289835.38199999998</v>
      </c>
      <c r="P150" s="458">
        <v>280023.27799999999</v>
      </c>
      <c r="Q150" s="458">
        <f>AVERAGE(Taulukko919[[#This Row],[Uudistuksen mukainen osuus työmarkkinatuesta, kotoutujia ei poistettu]:[Uudistuksen mukainen osuus työmarkkinatuesta, kotoutujat poistettu]])</f>
        <v>284929.32999999996</v>
      </c>
      <c r="R150" s="458">
        <v>163906.54</v>
      </c>
      <c r="S150" s="467">
        <f>Taulukko919[[#This Row],[Uudistuksen mukainen osuus työmarkkinatuesta, keskiarvo]]-Taulukko919[[#This Row],[Nykytila, kuntien osuus työmarkkinatuesta]]</f>
        <v>121022.78999999995</v>
      </c>
    </row>
    <row r="151" spans="1:19">
      <c r="A151" s="456">
        <v>444</v>
      </c>
      <c r="B151" s="456" t="s">
        <v>151</v>
      </c>
      <c r="C151" s="457">
        <v>45645</v>
      </c>
      <c r="D151" s="458">
        <v>3051472.77</v>
      </c>
      <c r="E151" s="458">
        <v>4477655.87</v>
      </c>
      <c r="F151" s="458">
        <f>Taulukko9[[#This Row],[Uudistuksen mukainen osuus työmarkkinatuesta*]]-Taulukko9[[#This Row],[Nykytila, kuntien osuus työmarkkinatuesta]]</f>
        <v>1426183.1</v>
      </c>
      <c r="G151" s="458">
        <v>161211.52100000001</v>
      </c>
      <c r="H151" s="458">
        <v>530404.56808373996</v>
      </c>
      <c r="I151" s="459">
        <f>Taulukko9[[#This Row],[Uudistuksen mukainen osuus työmarkkinatuesta*]]+Taulukko9[[#This Row],[Uudistuksen mukainen osuus peruspäivärahasta]]+Taulukko9[[#This Row],[Uudistuksen mukainen osuus ansiopäivärahasta]]</f>
        <v>5169271.9590837397</v>
      </c>
      <c r="J151" s="467">
        <f>Taulukko9[[#This Row],[Uudistuksen mukainen rahoitusvastuu yhteensä]]-Taulukko9[[#This Row],[Nykytila, kuntien osuus työmarkkinatuesta]]</f>
        <v>2117799.1890837396</v>
      </c>
      <c r="M151" s="456">
        <v>444</v>
      </c>
      <c r="N151" s="456" t="s">
        <v>151</v>
      </c>
      <c r="O151" s="458">
        <v>4552117.2350000003</v>
      </c>
      <c r="P151" s="458">
        <v>4403194.5049999999</v>
      </c>
      <c r="Q151" s="458">
        <f>AVERAGE(Taulukko919[[#This Row],[Uudistuksen mukainen osuus työmarkkinatuesta, kotoutujia ei poistettu]:[Uudistuksen mukainen osuus työmarkkinatuesta, kotoutujat poistettu]])</f>
        <v>4477655.87</v>
      </c>
      <c r="R151" s="458">
        <v>3051472.77</v>
      </c>
      <c r="S151" s="467">
        <f>Taulukko919[[#This Row],[Uudistuksen mukainen osuus työmarkkinatuesta, keskiarvo]]-Taulukko919[[#This Row],[Nykytila, kuntien osuus työmarkkinatuesta]]</f>
        <v>1426183.1</v>
      </c>
    </row>
    <row r="152" spans="1:19">
      <c r="A152" s="456">
        <v>445</v>
      </c>
      <c r="B152" s="456" t="s">
        <v>152</v>
      </c>
      <c r="C152" s="457">
        <v>14999</v>
      </c>
      <c r="D152" s="458">
        <v>480859.15</v>
      </c>
      <c r="E152" s="458">
        <v>637531.34349999996</v>
      </c>
      <c r="F152" s="458">
        <f>Taulukko9[[#This Row],[Uudistuksen mukainen osuus työmarkkinatuesta*]]-Taulukko9[[#This Row],[Nykytila, kuntien osuus työmarkkinatuesta]]</f>
        <v>156672.19349999994</v>
      </c>
      <c r="G152" s="458">
        <v>37835.381999999998</v>
      </c>
      <c r="H152" s="458">
        <v>143188.52520079099</v>
      </c>
      <c r="I152" s="459">
        <f>Taulukko9[[#This Row],[Uudistuksen mukainen osuus työmarkkinatuesta*]]+Taulukko9[[#This Row],[Uudistuksen mukainen osuus peruspäivärahasta]]+Taulukko9[[#This Row],[Uudistuksen mukainen osuus ansiopäivärahasta]]</f>
        <v>818555.2507007909</v>
      </c>
      <c r="J152" s="467">
        <f>Taulukko9[[#This Row],[Uudistuksen mukainen rahoitusvastuu yhteensä]]-Taulukko9[[#This Row],[Nykytila, kuntien osuus työmarkkinatuesta]]</f>
        <v>337696.10070079088</v>
      </c>
      <c r="M152" s="456">
        <v>445</v>
      </c>
      <c r="N152" s="456" t="s">
        <v>152</v>
      </c>
      <c r="O152" s="458">
        <v>652057.68500000006</v>
      </c>
      <c r="P152" s="458">
        <v>623005.00199999998</v>
      </c>
      <c r="Q152" s="458">
        <f>AVERAGE(Taulukko919[[#This Row],[Uudistuksen mukainen osuus työmarkkinatuesta, kotoutujia ei poistettu]:[Uudistuksen mukainen osuus työmarkkinatuesta, kotoutujat poistettu]])</f>
        <v>637531.34349999996</v>
      </c>
      <c r="R152" s="458">
        <v>480859.15</v>
      </c>
      <c r="S152" s="467">
        <f>Taulukko919[[#This Row],[Uudistuksen mukainen osuus työmarkkinatuesta, keskiarvo]]-Taulukko919[[#This Row],[Nykytila, kuntien osuus työmarkkinatuesta]]</f>
        <v>156672.19349999994</v>
      </c>
    </row>
    <row r="153" spans="1:19">
      <c r="A153" s="456">
        <v>475</v>
      </c>
      <c r="B153" s="456" t="s">
        <v>153</v>
      </c>
      <c r="C153" s="457">
        <v>5456</v>
      </c>
      <c r="D153" s="458">
        <v>164007.07999999999</v>
      </c>
      <c r="E153" s="458">
        <v>210819.2285</v>
      </c>
      <c r="F153" s="458">
        <f>Taulukko9[[#This Row],[Uudistuksen mukainen osuus työmarkkinatuesta*]]-Taulukko9[[#This Row],[Nykytila, kuntien osuus työmarkkinatuesta]]</f>
        <v>46812.14850000001</v>
      </c>
      <c r="G153" s="458">
        <v>11489.458000000001</v>
      </c>
      <c r="H153" s="458">
        <v>37180.994130911698</v>
      </c>
      <c r="I153" s="459">
        <f>Taulukko9[[#This Row],[Uudistuksen mukainen osuus työmarkkinatuesta*]]+Taulukko9[[#This Row],[Uudistuksen mukainen osuus peruspäivärahasta]]+Taulukko9[[#This Row],[Uudistuksen mukainen osuus ansiopäivärahasta]]</f>
        <v>259489.68063091172</v>
      </c>
      <c r="J153" s="467">
        <f>Taulukko9[[#This Row],[Uudistuksen mukainen rahoitusvastuu yhteensä]]-Taulukko9[[#This Row],[Nykytila, kuntien osuus työmarkkinatuesta]]</f>
        <v>95482.600630911737</v>
      </c>
      <c r="M153" s="456">
        <v>475</v>
      </c>
      <c r="N153" s="456" t="s">
        <v>153</v>
      </c>
      <c r="O153" s="458">
        <v>215349.774</v>
      </c>
      <c r="P153" s="458">
        <v>206288.68299999999</v>
      </c>
      <c r="Q153" s="458">
        <f>AVERAGE(Taulukko919[[#This Row],[Uudistuksen mukainen osuus työmarkkinatuesta, kotoutujia ei poistettu]:[Uudistuksen mukainen osuus työmarkkinatuesta, kotoutujat poistettu]])</f>
        <v>210819.2285</v>
      </c>
      <c r="R153" s="458">
        <v>164007.07999999999</v>
      </c>
      <c r="S153" s="467">
        <f>Taulukko919[[#This Row],[Uudistuksen mukainen osuus työmarkkinatuesta, keskiarvo]]-Taulukko919[[#This Row],[Nykytila, kuntien osuus työmarkkinatuesta]]</f>
        <v>46812.14850000001</v>
      </c>
    </row>
    <row r="154" spans="1:19">
      <c r="A154" s="456">
        <v>480</v>
      </c>
      <c r="B154" s="456" t="s">
        <v>154</v>
      </c>
      <c r="C154" s="457">
        <v>1930</v>
      </c>
      <c r="D154" s="458">
        <v>72125.11</v>
      </c>
      <c r="E154" s="458">
        <v>130461.84699999999</v>
      </c>
      <c r="F154" s="458">
        <f>Taulukko9[[#This Row],[Uudistuksen mukainen osuus työmarkkinatuesta*]]-Taulukko9[[#This Row],[Nykytila, kuntien osuus työmarkkinatuesta]]</f>
        <v>58336.736999999994</v>
      </c>
      <c r="G154" s="458">
        <v>3839.72</v>
      </c>
      <c r="H154" s="458">
        <v>25161.867722934301</v>
      </c>
      <c r="I154" s="459">
        <f>Taulukko9[[#This Row],[Uudistuksen mukainen osuus työmarkkinatuesta*]]+Taulukko9[[#This Row],[Uudistuksen mukainen osuus peruspäivärahasta]]+Taulukko9[[#This Row],[Uudistuksen mukainen osuus ansiopäivärahasta]]</f>
        <v>159463.43472293427</v>
      </c>
      <c r="J154" s="467">
        <f>Taulukko9[[#This Row],[Uudistuksen mukainen rahoitusvastuu yhteensä]]-Taulukko9[[#This Row],[Nykytila, kuntien osuus työmarkkinatuesta]]</f>
        <v>87338.324722934267</v>
      </c>
      <c r="M154" s="456">
        <v>480</v>
      </c>
      <c r="N154" s="456" t="s">
        <v>154</v>
      </c>
      <c r="O154" s="458">
        <v>130461.84699999999</v>
      </c>
      <c r="P154" s="458">
        <v>130461.84699999999</v>
      </c>
      <c r="Q154" s="458">
        <f>AVERAGE(Taulukko919[[#This Row],[Uudistuksen mukainen osuus työmarkkinatuesta, kotoutujia ei poistettu]:[Uudistuksen mukainen osuus työmarkkinatuesta, kotoutujat poistettu]])</f>
        <v>130461.84699999999</v>
      </c>
      <c r="R154" s="458">
        <v>72125.11</v>
      </c>
      <c r="S154" s="467">
        <f>Taulukko919[[#This Row],[Uudistuksen mukainen osuus työmarkkinatuesta, keskiarvo]]-Taulukko919[[#This Row],[Nykytila, kuntien osuus työmarkkinatuesta]]</f>
        <v>58336.736999999994</v>
      </c>
    </row>
    <row r="155" spans="1:19">
      <c r="A155" s="456">
        <v>481</v>
      </c>
      <c r="B155" s="456" t="s">
        <v>155</v>
      </c>
      <c r="C155" s="457">
        <v>9619</v>
      </c>
      <c r="D155" s="458">
        <v>281262.36</v>
      </c>
      <c r="E155" s="458">
        <v>353718.07499999995</v>
      </c>
      <c r="F155" s="458">
        <f>Taulukko9[[#This Row],[Uudistuksen mukainen osuus työmarkkinatuesta*]]-Taulukko9[[#This Row],[Nykytila, kuntien osuus työmarkkinatuesta]]</f>
        <v>72455.714999999967</v>
      </c>
      <c r="G155" s="458">
        <v>14141.124</v>
      </c>
      <c r="H155" s="458">
        <v>96851.934650644107</v>
      </c>
      <c r="I155" s="459">
        <f>Taulukko9[[#This Row],[Uudistuksen mukainen osuus työmarkkinatuesta*]]+Taulukko9[[#This Row],[Uudistuksen mukainen osuus peruspäivärahasta]]+Taulukko9[[#This Row],[Uudistuksen mukainen osuus ansiopäivärahasta]]</f>
        <v>464711.1336506441</v>
      </c>
      <c r="J155" s="467">
        <f>Taulukko9[[#This Row],[Uudistuksen mukainen rahoitusvastuu yhteensä]]-Taulukko9[[#This Row],[Nykytila, kuntien osuus työmarkkinatuesta]]</f>
        <v>183448.77365064411</v>
      </c>
      <c r="M155" s="456">
        <v>481</v>
      </c>
      <c r="N155" s="456" t="s">
        <v>155</v>
      </c>
      <c r="O155" s="458">
        <v>359240.46399999998</v>
      </c>
      <c r="P155" s="458">
        <v>348195.68599999999</v>
      </c>
      <c r="Q155" s="458">
        <f>AVERAGE(Taulukko919[[#This Row],[Uudistuksen mukainen osuus työmarkkinatuesta, kotoutujia ei poistettu]:[Uudistuksen mukainen osuus työmarkkinatuesta, kotoutujat poistettu]])</f>
        <v>353718.07499999995</v>
      </c>
      <c r="R155" s="458">
        <v>281262.36</v>
      </c>
      <c r="S155" s="467">
        <f>Taulukko919[[#This Row],[Uudistuksen mukainen osuus työmarkkinatuesta, keskiarvo]]-Taulukko919[[#This Row],[Nykytila, kuntien osuus työmarkkinatuesta]]</f>
        <v>72455.714999999967</v>
      </c>
    </row>
    <row r="156" spans="1:19">
      <c r="A156" s="456">
        <v>483</v>
      </c>
      <c r="B156" s="456" t="s">
        <v>156</v>
      </c>
      <c r="C156" s="457">
        <v>1055</v>
      </c>
      <c r="D156" s="458">
        <v>16090.83</v>
      </c>
      <c r="E156" s="458">
        <v>44137.917999999998</v>
      </c>
      <c r="F156" s="458">
        <f>Taulukko9[[#This Row],[Uudistuksen mukainen osuus työmarkkinatuesta*]]-Taulukko9[[#This Row],[Nykytila, kuntien osuus työmarkkinatuesta]]</f>
        <v>28047.087999999996</v>
      </c>
      <c r="G156" s="458">
        <v>1548.624</v>
      </c>
      <c r="H156" s="458">
        <v>11000.0013001716</v>
      </c>
      <c r="I156" s="459">
        <f>Taulukko9[[#This Row],[Uudistuksen mukainen osuus työmarkkinatuesta*]]+Taulukko9[[#This Row],[Uudistuksen mukainen osuus peruspäivärahasta]]+Taulukko9[[#This Row],[Uudistuksen mukainen osuus ansiopäivärahasta]]</f>
        <v>56686.543300171601</v>
      </c>
      <c r="J156" s="467">
        <f>Taulukko9[[#This Row],[Uudistuksen mukainen rahoitusvastuu yhteensä]]-Taulukko9[[#This Row],[Nykytila, kuntien osuus työmarkkinatuesta]]</f>
        <v>40595.713300171599</v>
      </c>
      <c r="M156" s="456">
        <v>483</v>
      </c>
      <c r="N156" s="456" t="s">
        <v>156</v>
      </c>
      <c r="O156" s="458">
        <v>44137.917999999998</v>
      </c>
      <c r="P156" s="458">
        <v>44137.917999999998</v>
      </c>
      <c r="Q156" s="458">
        <f>AVERAGE(Taulukko919[[#This Row],[Uudistuksen mukainen osuus työmarkkinatuesta, kotoutujia ei poistettu]:[Uudistuksen mukainen osuus työmarkkinatuesta, kotoutujat poistettu]])</f>
        <v>44137.917999999998</v>
      </c>
      <c r="R156" s="458">
        <v>16090.83</v>
      </c>
      <c r="S156" s="467">
        <f>Taulukko919[[#This Row],[Uudistuksen mukainen osuus työmarkkinatuesta, keskiarvo]]-Taulukko919[[#This Row],[Nykytila, kuntien osuus työmarkkinatuesta]]</f>
        <v>28047.087999999996</v>
      </c>
    </row>
    <row r="157" spans="1:19">
      <c r="A157" s="456">
        <v>484</v>
      </c>
      <c r="B157" s="456" t="s">
        <v>157</v>
      </c>
      <c r="C157" s="457">
        <v>2966</v>
      </c>
      <c r="D157" s="458">
        <v>141431.09</v>
      </c>
      <c r="E157" s="458">
        <v>189352.413</v>
      </c>
      <c r="F157" s="458">
        <f>Taulukko9[[#This Row],[Uudistuksen mukainen osuus työmarkkinatuesta*]]-Taulukko9[[#This Row],[Nykytila, kuntien osuus työmarkkinatuesta]]</f>
        <v>47921.323000000004</v>
      </c>
      <c r="G157" s="458">
        <v>12765.819</v>
      </c>
      <c r="H157" s="458">
        <v>35318.695051500603</v>
      </c>
      <c r="I157" s="459">
        <f>Taulukko9[[#This Row],[Uudistuksen mukainen osuus työmarkkinatuesta*]]+Taulukko9[[#This Row],[Uudistuksen mukainen osuus peruspäivärahasta]]+Taulukko9[[#This Row],[Uudistuksen mukainen osuus ansiopäivärahasta]]</f>
        <v>237436.92705150059</v>
      </c>
      <c r="J157" s="467">
        <f>Taulukko9[[#This Row],[Uudistuksen mukainen rahoitusvastuu yhteensä]]-Taulukko9[[#This Row],[Nykytila, kuntien osuus työmarkkinatuesta]]</f>
        <v>96005.837051500595</v>
      </c>
      <c r="M157" s="456">
        <v>484</v>
      </c>
      <c r="N157" s="456" t="s">
        <v>157</v>
      </c>
      <c r="O157" s="458">
        <v>191653.326</v>
      </c>
      <c r="P157" s="458">
        <v>187051.5</v>
      </c>
      <c r="Q157" s="458">
        <f>AVERAGE(Taulukko919[[#This Row],[Uudistuksen mukainen osuus työmarkkinatuesta, kotoutujia ei poistettu]:[Uudistuksen mukainen osuus työmarkkinatuesta, kotoutujat poistettu]])</f>
        <v>189352.413</v>
      </c>
      <c r="R157" s="458">
        <v>141431.09</v>
      </c>
      <c r="S157" s="467">
        <f>Taulukko919[[#This Row],[Uudistuksen mukainen osuus työmarkkinatuesta, keskiarvo]]-Taulukko919[[#This Row],[Nykytila, kuntien osuus työmarkkinatuesta]]</f>
        <v>47921.323000000004</v>
      </c>
    </row>
    <row r="158" spans="1:19">
      <c r="A158" s="456">
        <v>489</v>
      </c>
      <c r="B158" s="456" t="s">
        <v>158</v>
      </c>
      <c r="C158" s="457">
        <v>1752</v>
      </c>
      <c r="D158" s="458">
        <v>139464.47</v>
      </c>
      <c r="E158" s="458">
        <v>168142.02900000001</v>
      </c>
      <c r="F158" s="458">
        <f>Taulukko9[[#This Row],[Uudistuksen mukainen osuus työmarkkinatuesta*]]-Taulukko9[[#This Row],[Nykytila, kuntien osuus työmarkkinatuesta]]</f>
        <v>28677.559000000008</v>
      </c>
      <c r="G158" s="458">
        <v>7375.1570000000002</v>
      </c>
      <c r="H158" s="458">
        <v>21631.766908448601</v>
      </c>
      <c r="I158" s="459">
        <f>Taulukko9[[#This Row],[Uudistuksen mukainen osuus työmarkkinatuesta*]]+Taulukko9[[#This Row],[Uudistuksen mukainen osuus peruspäivärahasta]]+Taulukko9[[#This Row],[Uudistuksen mukainen osuus ansiopäivärahasta]]</f>
        <v>197148.95290844861</v>
      </c>
      <c r="J158" s="467">
        <f>Taulukko9[[#This Row],[Uudistuksen mukainen rahoitusvastuu yhteensä]]-Taulukko9[[#This Row],[Nykytila, kuntien osuus työmarkkinatuesta]]</f>
        <v>57684.482908448612</v>
      </c>
      <c r="M158" s="456">
        <v>489</v>
      </c>
      <c r="N158" s="456" t="s">
        <v>158</v>
      </c>
      <c r="O158" s="458">
        <v>170524.17800000001</v>
      </c>
      <c r="P158" s="458">
        <v>165759.88</v>
      </c>
      <c r="Q158" s="458">
        <f>AVERAGE(Taulukko919[[#This Row],[Uudistuksen mukainen osuus työmarkkinatuesta, kotoutujia ei poistettu]:[Uudistuksen mukainen osuus työmarkkinatuesta, kotoutujat poistettu]])</f>
        <v>168142.02900000001</v>
      </c>
      <c r="R158" s="458">
        <v>139464.47</v>
      </c>
      <c r="S158" s="467">
        <f>Taulukko919[[#This Row],[Uudistuksen mukainen osuus työmarkkinatuesta, keskiarvo]]-Taulukko919[[#This Row],[Nykytila, kuntien osuus työmarkkinatuesta]]</f>
        <v>28677.559000000008</v>
      </c>
    </row>
    <row r="159" spans="1:19">
      <c r="A159" s="456">
        <v>491</v>
      </c>
      <c r="B159" s="456" t="s">
        <v>159</v>
      </c>
      <c r="C159" s="457">
        <v>51919</v>
      </c>
      <c r="D159" s="458">
        <v>3781987.73</v>
      </c>
      <c r="E159" s="458">
        <v>5306377.9910000004</v>
      </c>
      <c r="F159" s="458">
        <f>Taulukko9[[#This Row],[Uudistuksen mukainen osuus työmarkkinatuesta*]]-Taulukko9[[#This Row],[Nykytila, kuntien osuus työmarkkinatuesta]]</f>
        <v>1524390.2610000004</v>
      </c>
      <c r="G159" s="458">
        <v>272119.08100000001</v>
      </c>
      <c r="H159" s="458">
        <v>762808.69605149899</v>
      </c>
      <c r="I159" s="459">
        <f>Taulukko9[[#This Row],[Uudistuksen mukainen osuus työmarkkinatuesta*]]+Taulukko9[[#This Row],[Uudistuksen mukainen osuus peruspäivärahasta]]+Taulukko9[[#This Row],[Uudistuksen mukainen osuus ansiopäivärahasta]]</f>
        <v>6341305.7680514995</v>
      </c>
      <c r="J159" s="467">
        <f>Taulukko9[[#This Row],[Uudistuksen mukainen rahoitusvastuu yhteensä]]-Taulukko9[[#This Row],[Nykytila, kuntien osuus työmarkkinatuesta]]</f>
        <v>2559318.0380514995</v>
      </c>
      <c r="M159" s="456">
        <v>491</v>
      </c>
      <c r="N159" s="456" t="s">
        <v>159</v>
      </c>
      <c r="O159" s="458">
        <v>5451551.3389999997</v>
      </c>
      <c r="P159" s="458">
        <v>5161204.6430000002</v>
      </c>
      <c r="Q159" s="458">
        <f>AVERAGE(Taulukko919[[#This Row],[Uudistuksen mukainen osuus työmarkkinatuesta, kotoutujia ei poistettu]:[Uudistuksen mukainen osuus työmarkkinatuesta, kotoutujat poistettu]])</f>
        <v>5306377.9910000004</v>
      </c>
      <c r="R159" s="458">
        <v>3781987.73</v>
      </c>
      <c r="S159" s="467">
        <f>Taulukko919[[#This Row],[Uudistuksen mukainen osuus työmarkkinatuesta, keskiarvo]]-Taulukko919[[#This Row],[Nykytila, kuntien osuus työmarkkinatuesta]]</f>
        <v>1524390.2610000004</v>
      </c>
    </row>
    <row r="160" spans="1:19">
      <c r="A160" s="456">
        <v>494</v>
      </c>
      <c r="B160" s="456" t="s">
        <v>160</v>
      </c>
      <c r="C160" s="457">
        <v>8827</v>
      </c>
      <c r="D160" s="458">
        <v>707609.04</v>
      </c>
      <c r="E160" s="458">
        <v>737630.17700000003</v>
      </c>
      <c r="F160" s="458">
        <f>Taulukko9[[#This Row],[Uudistuksen mukainen osuus työmarkkinatuesta*]]-Taulukko9[[#This Row],[Nykytila, kuntien osuus työmarkkinatuesta]]</f>
        <v>30021.136999999988</v>
      </c>
      <c r="G160" s="458">
        <v>28797.388999999999</v>
      </c>
      <c r="H160" s="458">
        <v>104510.616633096</v>
      </c>
      <c r="I160" s="459">
        <f>Taulukko9[[#This Row],[Uudistuksen mukainen osuus työmarkkinatuesta*]]+Taulukko9[[#This Row],[Uudistuksen mukainen osuus peruspäivärahasta]]+Taulukko9[[#This Row],[Uudistuksen mukainen osuus ansiopäivärahasta]]</f>
        <v>870938.182633096</v>
      </c>
      <c r="J160" s="467">
        <f>Taulukko9[[#This Row],[Uudistuksen mukainen rahoitusvastuu yhteensä]]-Taulukko9[[#This Row],[Nykytila, kuntien osuus työmarkkinatuesta]]</f>
        <v>163329.14263309597</v>
      </c>
      <c r="M160" s="456">
        <v>494</v>
      </c>
      <c r="N160" s="456" t="s">
        <v>160</v>
      </c>
      <c r="O160" s="458">
        <v>741864.37600000005</v>
      </c>
      <c r="P160" s="458">
        <v>733395.978</v>
      </c>
      <c r="Q160" s="458">
        <f>AVERAGE(Taulukko919[[#This Row],[Uudistuksen mukainen osuus työmarkkinatuesta, kotoutujia ei poistettu]:[Uudistuksen mukainen osuus työmarkkinatuesta, kotoutujat poistettu]])</f>
        <v>737630.17700000003</v>
      </c>
      <c r="R160" s="458">
        <v>707609.04</v>
      </c>
      <c r="S160" s="467">
        <f>Taulukko919[[#This Row],[Uudistuksen mukainen osuus työmarkkinatuesta, keskiarvo]]-Taulukko919[[#This Row],[Nykytila, kuntien osuus työmarkkinatuesta]]</f>
        <v>30021.136999999988</v>
      </c>
    </row>
    <row r="161" spans="1:19">
      <c r="A161" s="456">
        <v>495</v>
      </c>
      <c r="B161" s="456" t="s">
        <v>161</v>
      </c>
      <c r="C161" s="457">
        <v>1430</v>
      </c>
      <c r="D161" s="458">
        <v>99208.9</v>
      </c>
      <c r="E161" s="458">
        <v>138828.73550000001</v>
      </c>
      <c r="F161" s="458">
        <f>Taulukko9[[#This Row],[Uudistuksen mukainen osuus työmarkkinatuesta*]]-Taulukko9[[#This Row],[Nykytila, kuntien osuus työmarkkinatuesta]]</f>
        <v>39619.835500000016</v>
      </c>
      <c r="G161" s="458">
        <v>5221.0249999999996</v>
      </c>
      <c r="H161" s="458">
        <v>14747.3395288016</v>
      </c>
      <c r="I161" s="459">
        <f>Taulukko9[[#This Row],[Uudistuksen mukainen osuus työmarkkinatuesta*]]+Taulukko9[[#This Row],[Uudistuksen mukainen osuus peruspäivärahasta]]+Taulukko9[[#This Row],[Uudistuksen mukainen osuus ansiopäivärahasta]]</f>
        <v>158797.10002880159</v>
      </c>
      <c r="J161" s="467">
        <f>Taulukko9[[#This Row],[Uudistuksen mukainen rahoitusvastuu yhteensä]]-Taulukko9[[#This Row],[Nykytila, kuntien osuus työmarkkinatuesta]]</f>
        <v>59588.200028801599</v>
      </c>
      <c r="M161" s="456">
        <v>495</v>
      </c>
      <c r="N161" s="456" t="s">
        <v>161</v>
      </c>
      <c r="O161" s="458">
        <v>141157.51</v>
      </c>
      <c r="P161" s="458">
        <v>136499.96100000001</v>
      </c>
      <c r="Q161" s="458">
        <f>AVERAGE(Taulukko919[[#This Row],[Uudistuksen mukainen osuus työmarkkinatuesta, kotoutujia ei poistettu]:[Uudistuksen mukainen osuus työmarkkinatuesta, kotoutujat poistettu]])</f>
        <v>138828.73550000001</v>
      </c>
      <c r="R161" s="458">
        <v>99208.9</v>
      </c>
      <c r="S161" s="467">
        <f>Taulukko919[[#This Row],[Uudistuksen mukainen osuus työmarkkinatuesta, keskiarvo]]-Taulukko919[[#This Row],[Nykytila, kuntien osuus työmarkkinatuesta]]</f>
        <v>39619.835500000016</v>
      </c>
    </row>
    <row r="162" spans="1:19">
      <c r="A162" s="456">
        <v>498</v>
      </c>
      <c r="B162" s="456" t="s">
        <v>162</v>
      </c>
      <c r="C162" s="457">
        <v>2325</v>
      </c>
      <c r="D162" s="458">
        <v>33413.839999999997</v>
      </c>
      <c r="E162" s="458">
        <v>62018.638500000001</v>
      </c>
      <c r="F162" s="458">
        <f>Taulukko9[[#This Row],[Uudistuksen mukainen osuus työmarkkinatuesta*]]-Taulukko9[[#This Row],[Nykytila, kuntien osuus työmarkkinatuesta]]</f>
        <v>28604.798500000004</v>
      </c>
      <c r="G162" s="458">
        <v>10579.338</v>
      </c>
      <c r="H162" s="458">
        <v>89505.230961212801</v>
      </c>
      <c r="I162" s="459">
        <f>Taulukko9[[#This Row],[Uudistuksen mukainen osuus työmarkkinatuesta*]]+Taulukko9[[#This Row],[Uudistuksen mukainen osuus peruspäivärahasta]]+Taulukko9[[#This Row],[Uudistuksen mukainen osuus ansiopäivärahasta]]</f>
        <v>162103.20746121282</v>
      </c>
      <c r="J162" s="467">
        <f>Taulukko9[[#This Row],[Uudistuksen mukainen rahoitusvastuu yhteensä]]-Taulukko9[[#This Row],[Nykytila, kuntien osuus työmarkkinatuesta]]</f>
        <v>128689.36746121282</v>
      </c>
      <c r="M162" s="456">
        <v>498</v>
      </c>
      <c r="N162" s="456" t="s">
        <v>162</v>
      </c>
      <c r="O162" s="458">
        <v>63379.256000000001</v>
      </c>
      <c r="P162" s="458">
        <v>60658.021000000001</v>
      </c>
      <c r="Q162" s="458">
        <f>AVERAGE(Taulukko919[[#This Row],[Uudistuksen mukainen osuus työmarkkinatuesta, kotoutujia ei poistettu]:[Uudistuksen mukainen osuus työmarkkinatuesta, kotoutujat poistettu]])</f>
        <v>62018.638500000001</v>
      </c>
      <c r="R162" s="458">
        <v>33413.839999999997</v>
      </c>
      <c r="S162" s="467">
        <f>Taulukko919[[#This Row],[Uudistuksen mukainen osuus työmarkkinatuesta, keskiarvo]]-Taulukko919[[#This Row],[Nykytila, kuntien osuus työmarkkinatuesta]]</f>
        <v>28604.798500000004</v>
      </c>
    </row>
    <row r="163" spans="1:19">
      <c r="A163" s="456">
        <v>499</v>
      </c>
      <c r="B163" s="456" t="s">
        <v>163</v>
      </c>
      <c r="C163" s="457">
        <v>19763</v>
      </c>
      <c r="D163" s="458">
        <v>352392.93</v>
      </c>
      <c r="E163" s="458">
        <v>589586.13950000005</v>
      </c>
      <c r="F163" s="458">
        <f>Taulukko9[[#This Row],[Uudistuksen mukainen osuus työmarkkinatuesta*]]-Taulukko9[[#This Row],[Nykytila, kuntien osuus työmarkkinatuesta]]</f>
        <v>237193.20950000006</v>
      </c>
      <c r="G163" s="458">
        <v>39329.428999999996</v>
      </c>
      <c r="H163" s="458">
        <v>95423.186268593898</v>
      </c>
      <c r="I163" s="459">
        <f>Taulukko9[[#This Row],[Uudistuksen mukainen osuus työmarkkinatuesta*]]+Taulukko9[[#This Row],[Uudistuksen mukainen osuus peruspäivärahasta]]+Taulukko9[[#This Row],[Uudistuksen mukainen osuus ansiopäivärahasta]]</f>
        <v>724338.75476859394</v>
      </c>
      <c r="J163" s="467">
        <f>Taulukko9[[#This Row],[Uudistuksen mukainen rahoitusvastuu yhteensä]]-Taulukko9[[#This Row],[Nykytila, kuntien osuus työmarkkinatuesta]]</f>
        <v>371945.82476859394</v>
      </c>
      <c r="M163" s="456">
        <v>499</v>
      </c>
      <c r="N163" s="456" t="s">
        <v>163</v>
      </c>
      <c r="O163" s="458">
        <v>623573.00100000005</v>
      </c>
      <c r="P163" s="458">
        <v>555599.27800000005</v>
      </c>
      <c r="Q163" s="458">
        <f>AVERAGE(Taulukko919[[#This Row],[Uudistuksen mukainen osuus työmarkkinatuesta, kotoutujia ei poistettu]:[Uudistuksen mukainen osuus työmarkkinatuesta, kotoutujat poistettu]])</f>
        <v>589586.13950000005</v>
      </c>
      <c r="R163" s="458">
        <v>352392.93</v>
      </c>
      <c r="S163" s="467">
        <f>Taulukko919[[#This Row],[Uudistuksen mukainen osuus työmarkkinatuesta, keskiarvo]]-Taulukko919[[#This Row],[Nykytila, kuntien osuus työmarkkinatuesta]]</f>
        <v>237193.20950000006</v>
      </c>
    </row>
    <row r="164" spans="1:19">
      <c r="A164" s="456">
        <v>500</v>
      </c>
      <c r="B164" s="456" t="s">
        <v>164</v>
      </c>
      <c r="C164" s="457">
        <v>10551</v>
      </c>
      <c r="D164" s="458">
        <v>552322.74</v>
      </c>
      <c r="E164" s="458">
        <v>736212.60199999996</v>
      </c>
      <c r="F164" s="458">
        <f>Taulukko9[[#This Row],[Uudistuksen mukainen osuus työmarkkinatuesta*]]-Taulukko9[[#This Row],[Nykytila, kuntien osuus työmarkkinatuesta]]</f>
        <v>183889.86199999996</v>
      </c>
      <c r="G164" s="458">
        <v>25786.59</v>
      </c>
      <c r="H164" s="458">
        <v>166197.92789199</v>
      </c>
      <c r="I164" s="459">
        <f>Taulukko9[[#This Row],[Uudistuksen mukainen osuus työmarkkinatuesta*]]+Taulukko9[[#This Row],[Uudistuksen mukainen osuus peruspäivärahasta]]+Taulukko9[[#This Row],[Uudistuksen mukainen osuus ansiopäivärahasta]]</f>
        <v>928197.11989198998</v>
      </c>
      <c r="J164" s="467">
        <f>Taulukko9[[#This Row],[Uudistuksen mukainen rahoitusvastuu yhteensä]]-Taulukko9[[#This Row],[Nykytila, kuntien osuus työmarkkinatuesta]]</f>
        <v>375874.37989198999</v>
      </c>
      <c r="M164" s="456">
        <v>500</v>
      </c>
      <c r="N164" s="456" t="s">
        <v>164</v>
      </c>
      <c r="O164" s="458">
        <v>742646.35499999998</v>
      </c>
      <c r="P164" s="458">
        <v>729778.84900000005</v>
      </c>
      <c r="Q164" s="458">
        <f>AVERAGE(Taulukko919[[#This Row],[Uudistuksen mukainen osuus työmarkkinatuesta, kotoutujia ei poistettu]:[Uudistuksen mukainen osuus työmarkkinatuesta, kotoutujat poistettu]])</f>
        <v>736212.60199999996</v>
      </c>
      <c r="R164" s="458">
        <v>552322.74</v>
      </c>
      <c r="S164" s="467">
        <f>Taulukko919[[#This Row],[Uudistuksen mukainen osuus työmarkkinatuesta, keskiarvo]]-Taulukko919[[#This Row],[Nykytila, kuntien osuus työmarkkinatuesta]]</f>
        <v>183889.86199999996</v>
      </c>
    </row>
    <row r="165" spans="1:19">
      <c r="A165" s="456">
        <v>503</v>
      </c>
      <c r="B165" s="456" t="s">
        <v>165</v>
      </c>
      <c r="C165" s="457">
        <v>7515</v>
      </c>
      <c r="D165" s="458">
        <v>409353.51</v>
      </c>
      <c r="E165" s="458">
        <v>482395.08250000002</v>
      </c>
      <c r="F165" s="458">
        <f>Taulukko9[[#This Row],[Uudistuksen mukainen osuus työmarkkinatuesta*]]-Taulukko9[[#This Row],[Nykytila, kuntien osuus työmarkkinatuesta]]</f>
        <v>73041.572500000009</v>
      </c>
      <c r="G165" s="458">
        <v>34039.599999999999</v>
      </c>
      <c r="H165" s="458">
        <v>73207.223517732302</v>
      </c>
      <c r="I165" s="459">
        <f>Taulukko9[[#This Row],[Uudistuksen mukainen osuus työmarkkinatuesta*]]+Taulukko9[[#This Row],[Uudistuksen mukainen osuus peruspäivärahasta]]+Taulukko9[[#This Row],[Uudistuksen mukainen osuus ansiopäivärahasta]]</f>
        <v>589641.90601773234</v>
      </c>
      <c r="J165" s="467">
        <f>Taulukko9[[#This Row],[Uudistuksen mukainen rahoitusvastuu yhteensä]]-Taulukko9[[#This Row],[Nykytila, kuntien osuus työmarkkinatuesta]]</f>
        <v>180288.39601773233</v>
      </c>
      <c r="M165" s="456">
        <v>503</v>
      </c>
      <c r="N165" s="456" t="s">
        <v>165</v>
      </c>
      <c r="O165" s="458">
        <v>484358.42700000003</v>
      </c>
      <c r="P165" s="458">
        <v>480431.73800000001</v>
      </c>
      <c r="Q165" s="458">
        <f>AVERAGE(Taulukko919[[#This Row],[Uudistuksen mukainen osuus työmarkkinatuesta, kotoutujia ei poistettu]:[Uudistuksen mukainen osuus työmarkkinatuesta, kotoutujat poistettu]])</f>
        <v>482395.08250000002</v>
      </c>
      <c r="R165" s="458">
        <v>409353.51</v>
      </c>
      <c r="S165" s="467">
        <f>Taulukko919[[#This Row],[Uudistuksen mukainen osuus työmarkkinatuesta, keskiarvo]]-Taulukko919[[#This Row],[Nykytila, kuntien osuus työmarkkinatuesta]]</f>
        <v>73041.572500000009</v>
      </c>
    </row>
    <row r="166" spans="1:19">
      <c r="A166" s="456">
        <v>504</v>
      </c>
      <c r="B166" s="456" t="s">
        <v>166</v>
      </c>
      <c r="C166" s="457">
        <v>1715</v>
      </c>
      <c r="D166" s="458">
        <v>226307.6</v>
      </c>
      <c r="E166" s="458">
        <v>237302.96299999999</v>
      </c>
      <c r="F166" s="458">
        <f>Taulukko9[[#This Row],[Uudistuksen mukainen osuus työmarkkinatuesta*]]-Taulukko9[[#This Row],[Nykytila, kuntien osuus työmarkkinatuesta]]</f>
        <v>10995.362999999983</v>
      </c>
      <c r="G166" s="458">
        <v>9460.8189999999995</v>
      </c>
      <c r="H166" s="458">
        <v>20896.9687788673</v>
      </c>
      <c r="I166" s="459">
        <f>Taulukko9[[#This Row],[Uudistuksen mukainen osuus työmarkkinatuesta*]]+Taulukko9[[#This Row],[Uudistuksen mukainen osuus peruspäivärahasta]]+Taulukko9[[#This Row],[Uudistuksen mukainen osuus ansiopäivärahasta]]</f>
        <v>267660.75077886728</v>
      </c>
      <c r="J166" s="467">
        <f>Taulukko9[[#This Row],[Uudistuksen mukainen rahoitusvastuu yhteensä]]-Taulukko9[[#This Row],[Nykytila, kuntien osuus työmarkkinatuesta]]</f>
        <v>41353.150778867275</v>
      </c>
      <c r="M166" s="456">
        <v>504</v>
      </c>
      <c r="N166" s="456" t="s">
        <v>166</v>
      </c>
      <c r="O166" s="458">
        <v>237302.96299999999</v>
      </c>
      <c r="P166" s="458">
        <v>237302.96299999999</v>
      </c>
      <c r="Q166" s="458">
        <f>AVERAGE(Taulukko919[[#This Row],[Uudistuksen mukainen osuus työmarkkinatuesta, kotoutujia ei poistettu]:[Uudistuksen mukainen osuus työmarkkinatuesta, kotoutujat poistettu]])</f>
        <v>237302.96299999999</v>
      </c>
      <c r="R166" s="458">
        <v>226307.6</v>
      </c>
      <c r="S166" s="467">
        <f>Taulukko919[[#This Row],[Uudistuksen mukainen osuus työmarkkinatuesta, keskiarvo]]-Taulukko919[[#This Row],[Nykytila, kuntien osuus työmarkkinatuesta]]</f>
        <v>10995.362999999983</v>
      </c>
    </row>
    <row r="167" spans="1:19">
      <c r="A167" s="456">
        <v>505</v>
      </c>
      <c r="B167" s="456" t="s">
        <v>167</v>
      </c>
      <c r="C167" s="457">
        <v>20957</v>
      </c>
      <c r="D167" s="458">
        <v>978950.78</v>
      </c>
      <c r="E167" s="458">
        <v>1207222.7464999999</v>
      </c>
      <c r="F167" s="458">
        <f>Taulukko9[[#This Row],[Uudistuksen mukainen osuus työmarkkinatuesta*]]-Taulukko9[[#This Row],[Nykytila, kuntien osuus työmarkkinatuesta]]</f>
        <v>228271.96649999986</v>
      </c>
      <c r="G167" s="458">
        <v>72216.929000000004</v>
      </c>
      <c r="H167" s="458">
        <v>216092.994855964</v>
      </c>
      <c r="I167" s="459">
        <f>Taulukko9[[#This Row],[Uudistuksen mukainen osuus työmarkkinatuesta*]]+Taulukko9[[#This Row],[Uudistuksen mukainen osuus peruspäivärahasta]]+Taulukko9[[#This Row],[Uudistuksen mukainen osuus ansiopäivärahasta]]</f>
        <v>1495532.670355964</v>
      </c>
      <c r="J167" s="467">
        <f>Taulukko9[[#This Row],[Uudistuksen mukainen rahoitusvastuu yhteensä]]-Taulukko9[[#This Row],[Nykytila, kuntien osuus työmarkkinatuesta]]</f>
        <v>516581.89035596396</v>
      </c>
      <c r="M167" s="456">
        <v>505</v>
      </c>
      <c r="N167" s="456" t="s">
        <v>167</v>
      </c>
      <c r="O167" s="458">
        <v>1227898.9110000001</v>
      </c>
      <c r="P167" s="458">
        <v>1186546.5819999999</v>
      </c>
      <c r="Q167" s="458">
        <f>AVERAGE(Taulukko919[[#This Row],[Uudistuksen mukainen osuus työmarkkinatuesta, kotoutujia ei poistettu]:[Uudistuksen mukainen osuus työmarkkinatuesta, kotoutujat poistettu]])</f>
        <v>1207222.7464999999</v>
      </c>
      <c r="R167" s="458">
        <v>978950.78</v>
      </c>
      <c r="S167" s="467">
        <f>Taulukko919[[#This Row],[Uudistuksen mukainen osuus työmarkkinatuesta, keskiarvo]]-Taulukko919[[#This Row],[Nykytila, kuntien osuus työmarkkinatuesta]]</f>
        <v>228271.96649999986</v>
      </c>
    </row>
    <row r="168" spans="1:19">
      <c r="A168" s="456">
        <v>507</v>
      </c>
      <c r="B168" s="456" t="s">
        <v>168</v>
      </c>
      <c r="C168" s="457">
        <v>5522</v>
      </c>
      <c r="D168" s="458">
        <v>235888.06</v>
      </c>
      <c r="E168" s="458">
        <v>348758.24400000001</v>
      </c>
      <c r="F168" s="458">
        <f>Taulukko9[[#This Row],[Uudistuksen mukainen osuus työmarkkinatuesta*]]-Taulukko9[[#This Row],[Nykytila, kuntien osuus työmarkkinatuesta]]</f>
        <v>112870.18400000001</v>
      </c>
      <c r="G168" s="458">
        <v>20557.976999999999</v>
      </c>
      <c r="H168" s="458">
        <v>90904.054870721506</v>
      </c>
      <c r="I168" s="459">
        <f>Taulukko9[[#This Row],[Uudistuksen mukainen osuus työmarkkinatuesta*]]+Taulukko9[[#This Row],[Uudistuksen mukainen osuus peruspäivärahasta]]+Taulukko9[[#This Row],[Uudistuksen mukainen osuus ansiopäivärahasta]]</f>
        <v>460220.27587072155</v>
      </c>
      <c r="J168" s="467">
        <f>Taulukko9[[#This Row],[Uudistuksen mukainen rahoitusvastuu yhteensä]]-Taulukko9[[#This Row],[Nykytila, kuntien osuus työmarkkinatuesta]]</f>
        <v>224332.21587072156</v>
      </c>
      <c r="M168" s="456">
        <v>507</v>
      </c>
      <c r="N168" s="456" t="s">
        <v>168</v>
      </c>
      <c r="O168" s="458">
        <v>350844.38400000002</v>
      </c>
      <c r="P168" s="458">
        <v>346672.10399999999</v>
      </c>
      <c r="Q168" s="458">
        <f>AVERAGE(Taulukko919[[#This Row],[Uudistuksen mukainen osuus työmarkkinatuesta, kotoutujia ei poistettu]:[Uudistuksen mukainen osuus työmarkkinatuesta, kotoutujat poistettu]])</f>
        <v>348758.24400000001</v>
      </c>
      <c r="R168" s="458">
        <v>235888.06</v>
      </c>
      <c r="S168" s="467">
        <f>Taulukko919[[#This Row],[Uudistuksen mukainen osuus työmarkkinatuesta, keskiarvo]]-Taulukko919[[#This Row],[Nykytila, kuntien osuus työmarkkinatuesta]]</f>
        <v>112870.18400000001</v>
      </c>
    </row>
    <row r="169" spans="1:19">
      <c r="A169" s="456">
        <v>508</v>
      </c>
      <c r="B169" s="456" t="s">
        <v>169</v>
      </c>
      <c r="C169" s="457">
        <v>9271</v>
      </c>
      <c r="D169" s="458">
        <v>393045.66</v>
      </c>
      <c r="E169" s="458">
        <v>840021.44350000005</v>
      </c>
      <c r="F169" s="458">
        <f>Taulukko9[[#This Row],[Uudistuksen mukainen osuus työmarkkinatuesta*]]-Taulukko9[[#This Row],[Nykytila, kuntien osuus työmarkkinatuesta]]</f>
        <v>446975.78350000008</v>
      </c>
      <c r="G169" s="458">
        <v>24070.735000000001</v>
      </c>
      <c r="H169" s="458">
        <v>120128.225093966</v>
      </c>
      <c r="I169" s="459">
        <f>Taulukko9[[#This Row],[Uudistuksen mukainen osuus työmarkkinatuesta*]]+Taulukko9[[#This Row],[Uudistuksen mukainen osuus peruspäivärahasta]]+Taulukko9[[#This Row],[Uudistuksen mukainen osuus ansiopäivärahasta]]</f>
        <v>984220.40359396604</v>
      </c>
      <c r="J169" s="467">
        <f>Taulukko9[[#This Row],[Uudistuksen mukainen rahoitusvastuu yhteensä]]-Taulukko9[[#This Row],[Nykytila, kuntien osuus työmarkkinatuesta]]</f>
        <v>591174.74359396612</v>
      </c>
      <c r="M169" s="456">
        <v>508</v>
      </c>
      <c r="N169" s="456" t="s">
        <v>169</v>
      </c>
      <c r="O169" s="458">
        <v>854096.33200000005</v>
      </c>
      <c r="P169" s="458">
        <v>825946.55500000005</v>
      </c>
      <c r="Q169" s="458">
        <f>AVERAGE(Taulukko919[[#This Row],[Uudistuksen mukainen osuus työmarkkinatuesta, kotoutujia ei poistettu]:[Uudistuksen mukainen osuus työmarkkinatuesta, kotoutujat poistettu]])</f>
        <v>840021.44350000005</v>
      </c>
      <c r="R169" s="458">
        <v>393045.66</v>
      </c>
      <c r="S169" s="467">
        <f>Taulukko919[[#This Row],[Uudistuksen mukainen osuus työmarkkinatuesta, keskiarvo]]-Taulukko919[[#This Row],[Nykytila, kuntien osuus työmarkkinatuesta]]</f>
        <v>446975.78350000008</v>
      </c>
    </row>
    <row r="170" spans="1:19">
      <c r="A170" s="456">
        <v>529</v>
      </c>
      <c r="B170" s="456" t="s">
        <v>170</v>
      </c>
      <c r="C170" s="457">
        <v>19999</v>
      </c>
      <c r="D170" s="458">
        <v>523313.61</v>
      </c>
      <c r="E170" s="458">
        <v>990375.12250000006</v>
      </c>
      <c r="F170" s="458">
        <f>Taulukko9[[#This Row],[Uudistuksen mukainen osuus työmarkkinatuesta*]]-Taulukko9[[#This Row],[Nykytila, kuntien osuus työmarkkinatuesta]]</f>
        <v>467061.51250000007</v>
      </c>
      <c r="G170" s="458">
        <v>69695.111999999994</v>
      </c>
      <c r="H170" s="458">
        <v>271217.67413670802</v>
      </c>
      <c r="I170" s="459">
        <f>Taulukko9[[#This Row],[Uudistuksen mukainen osuus työmarkkinatuesta*]]+Taulukko9[[#This Row],[Uudistuksen mukainen osuus peruspäivärahasta]]+Taulukko9[[#This Row],[Uudistuksen mukainen osuus ansiopäivärahasta]]</f>
        <v>1331287.908636708</v>
      </c>
      <c r="J170" s="467">
        <f>Taulukko9[[#This Row],[Uudistuksen mukainen rahoitusvastuu yhteensä]]-Taulukko9[[#This Row],[Nykytila, kuntien osuus työmarkkinatuesta]]</f>
        <v>807974.29863670806</v>
      </c>
      <c r="M170" s="456">
        <v>529</v>
      </c>
      <c r="N170" s="456" t="s">
        <v>170</v>
      </c>
      <c r="O170" s="458">
        <v>1005837.355</v>
      </c>
      <c r="P170" s="458">
        <v>974912.89</v>
      </c>
      <c r="Q170" s="458">
        <f>AVERAGE(Taulukko919[[#This Row],[Uudistuksen mukainen osuus työmarkkinatuesta, kotoutujia ei poistettu]:[Uudistuksen mukainen osuus työmarkkinatuesta, kotoutujat poistettu]])</f>
        <v>990375.12250000006</v>
      </c>
      <c r="R170" s="458">
        <v>523313.61</v>
      </c>
      <c r="S170" s="467">
        <f>Taulukko919[[#This Row],[Uudistuksen mukainen osuus työmarkkinatuesta, keskiarvo]]-Taulukko919[[#This Row],[Nykytila, kuntien osuus työmarkkinatuesta]]</f>
        <v>467061.51250000007</v>
      </c>
    </row>
    <row r="171" spans="1:19">
      <c r="A171" s="456">
        <v>531</v>
      </c>
      <c r="B171" s="456" t="s">
        <v>171</v>
      </c>
      <c r="C171" s="457">
        <v>4966</v>
      </c>
      <c r="D171" s="458">
        <v>324509.12</v>
      </c>
      <c r="E171" s="458">
        <v>688430.16950000008</v>
      </c>
      <c r="F171" s="458">
        <f>Taulukko9[[#This Row],[Uudistuksen mukainen osuus työmarkkinatuesta*]]-Taulukko9[[#This Row],[Nykytila, kuntien osuus työmarkkinatuesta]]</f>
        <v>363921.04950000008</v>
      </c>
      <c r="G171" s="458">
        <v>16147.887000000001</v>
      </c>
      <c r="H171" s="458">
        <v>59400.042631757802</v>
      </c>
      <c r="I171" s="459">
        <f>Taulukko9[[#This Row],[Uudistuksen mukainen osuus työmarkkinatuesta*]]+Taulukko9[[#This Row],[Uudistuksen mukainen osuus peruspäivärahasta]]+Taulukko9[[#This Row],[Uudistuksen mukainen osuus ansiopäivärahasta]]</f>
        <v>763978.09913175786</v>
      </c>
      <c r="J171" s="467">
        <f>Taulukko9[[#This Row],[Uudistuksen mukainen rahoitusvastuu yhteensä]]-Taulukko9[[#This Row],[Nykytila, kuntien osuus työmarkkinatuesta]]</f>
        <v>439468.97913175786</v>
      </c>
      <c r="M171" s="456">
        <v>531</v>
      </c>
      <c r="N171" s="456" t="s">
        <v>171</v>
      </c>
      <c r="O171" s="458">
        <v>692807.353</v>
      </c>
      <c r="P171" s="458">
        <v>684052.98600000003</v>
      </c>
      <c r="Q171" s="458">
        <f>AVERAGE(Taulukko919[[#This Row],[Uudistuksen mukainen osuus työmarkkinatuesta, kotoutujia ei poistettu]:[Uudistuksen mukainen osuus työmarkkinatuesta, kotoutujat poistettu]])</f>
        <v>688430.16950000008</v>
      </c>
      <c r="R171" s="458">
        <v>324509.12</v>
      </c>
      <c r="S171" s="467">
        <f>Taulukko919[[#This Row],[Uudistuksen mukainen osuus työmarkkinatuesta, keskiarvo]]-Taulukko919[[#This Row],[Nykytila, kuntien osuus työmarkkinatuesta]]</f>
        <v>363921.04950000008</v>
      </c>
    </row>
    <row r="172" spans="1:19">
      <c r="A172" s="456">
        <v>535</v>
      </c>
      <c r="B172" s="456" t="s">
        <v>172</v>
      </c>
      <c r="C172" s="457">
        <v>10454</v>
      </c>
      <c r="D172" s="458">
        <v>389499.74</v>
      </c>
      <c r="E172" s="458">
        <v>519244.6875</v>
      </c>
      <c r="F172" s="458">
        <f>Taulukko9[[#This Row],[Uudistuksen mukainen osuus työmarkkinatuesta*]]-Taulukko9[[#This Row],[Nykytila, kuntien osuus työmarkkinatuesta]]</f>
        <v>129744.94750000001</v>
      </c>
      <c r="G172" s="458">
        <v>32367.788</v>
      </c>
      <c r="H172" s="458">
        <v>87677.202533099597</v>
      </c>
      <c r="I172" s="459">
        <f>Taulukko9[[#This Row],[Uudistuksen mukainen osuus työmarkkinatuesta*]]+Taulukko9[[#This Row],[Uudistuksen mukainen osuus peruspäivärahasta]]+Taulukko9[[#This Row],[Uudistuksen mukainen osuus ansiopäivärahasta]]</f>
        <v>639289.67803309951</v>
      </c>
      <c r="J172" s="467">
        <f>Taulukko9[[#This Row],[Uudistuksen mukainen rahoitusvastuu yhteensä]]-Taulukko9[[#This Row],[Nykytila, kuntien osuus työmarkkinatuesta]]</f>
        <v>249789.93803309952</v>
      </c>
      <c r="M172" s="456">
        <v>535</v>
      </c>
      <c r="N172" s="456" t="s">
        <v>172</v>
      </c>
      <c r="O172" s="458">
        <v>522142.67</v>
      </c>
      <c r="P172" s="458">
        <v>516346.70500000002</v>
      </c>
      <c r="Q172" s="458">
        <f>AVERAGE(Taulukko919[[#This Row],[Uudistuksen mukainen osuus työmarkkinatuesta, kotoutujia ei poistettu]:[Uudistuksen mukainen osuus työmarkkinatuesta, kotoutujat poistettu]])</f>
        <v>519244.6875</v>
      </c>
      <c r="R172" s="458">
        <v>389499.74</v>
      </c>
      <c r="S172" s="467">
        <f>Taulukko919[[#This Row],[Uudistuksen mukainen osuus työmarkkinatuesta, keskiarvo]]-Taulukko919[[#This Row],[Nykytila, kuntien osuus työmarkkinatuesta]]</f>
        <v>129744.94750000001</v>
      </c>
    </row>
    <row r="173" spans="1:19">
      <c r="A173" s="456">
        <v>536</v>
      </c>
      <c r="B173" s="456" t="s">
        <v>173</v>
      </c>
      <c r="C173" s="457">
        <v>35647</v>
      </c>
      <c r="D173" s="458">
        <v>1973615.24</v>
      </c>
      <c r="E173" s="458">
        <v>3152474.9069999997</v>
      </c>
      <c r="F173" s="458">
        <f>Taulukko9[[#This Row],[Uudistuksen mukainen osuus työmarkkinatuesta*]]-Taulukko9[[#This Row],[Nykytila, kuntien osuus työmarkkinatuesta]]</f>
        <v>1178859.6669999997</v>
      </c>
      <c r="G173" s="458">
        <v>87508.728000000003</v>
      </c>
      <c r="H173" s="458">
        <v>461093.40423063701</v>
      </c>
      <c r="I173" s="459">
        <f>Taulukko9[[#This Row],[Uudistuksen mukainen osuus työmarkkinatuesta*]]+Taulukko9[[#This Row],[Uudistuksen mukainen osuus peruspäivärahasta]]+Taulukko9[[#This Row],[Uudistuksen mukainen osuus ansiopäivärahasta]]</f>
        <v>3701077.0392306368</v>
      </c>
      <c r="J173" s="467">
        <f>Taulukko9[[#This Row],[Uudistuksen mukainen rahoitusvastuu yhteensä]]-Taulukko9[[#This Row],[Nykytila, kuntien osuus työmarkkinatuesta]]</f>
        <v>1727461.7992306368</v>
      </c>
      <c r="M173" s="456">
        <v>536</v>
      </c>
      <c r="N173" s="456" t="s">
        <v>173</v>
      </c>
      <c r="O173" s="458">
        <v>3184150.34</v>
      </c>
      <c r="P173" s="458">
        <v>3120799.4739999999</v>
      </c>
      <c r="Q173" s="458">
        <f>AVERAGE(Taulukko919[[#This Row],[Uudistuksen mukainen osuus työmarkkinatuesta, kotoutujia ei poistettu]:[Uudistuksen mukainen osuus työmarkkinatuesta, kotoutujat poistettu]])</f>
        <v>3152474.9069999997</v>
      </c>
      <c r="R173" s="458">
        <v>1973615.24</v>
      </c>
      <c r="S173" s="467">
        <f>Taulukko919[[#This Row],[Uudistuksen mukainen osuus työmarkkinatuesta, keskiarvo]]-Taulukko919[[#This Row],[Nykytila, kuntien osuus työmarkkinatuesta]]</f>
        <v>1178859.6669999997</v>
      </c>
    </row>
    <row r="174" spans="1:19">
      <c r="A174" s="456">
        <v>538</v>
      </c>
      <c r="B174" s="456" t="s">
        <v>174</v>
      </c>
      <c r="C174" s="457">
        <v>4695</v>
      </c>
      <c r="D174" s="458">
        <v>192713.14</v>
      </c>
      <c r="E174" s="458">
        <v>244710.7855</v>
      </c>
      <c r="F174" s="458">
        <f>Taulukko9[[#This Row],[Uudistuksen mukainen osuus työmarkkinatuesta*]]-Taulukko9[[#This Row],[Nykytila, kuntien osuus työmarkkinatuesta]]</f>
        <v>51997.645499999984</v>
      </c>
      <c r="G174" s="458">
        <v>9217.27</v>
      </c>
      <c r="H174" s="458">
        <v>39516.7912683752</v>
      </c>
      <c r="I174" s="459">
        <f>Taulukko9[[#This Row],[Uudistuksen mukainen osuus työmarkkinatuesta*]]+Taulukko9[[#This Row],[Uudistuksen mukainen osuus peruspäivärahasta]]+Taulukko9[[#This Row],[Uudistuksen mukainen osuus ansiopäivärahasta]]</f>
        <v>293444.8467683752</v>
      </c>
      <c r="J174" s="467">
        <f>Taulukko9[[#This Row],[Uudistuksen mukainen rahoitusvastuu yhteensä]]-Taulukko9[[#This Row],[Nykytila, kuntien osuus työmarkkinatuesta]]</f>
        <v>100731.70676837518</v>
      </c>
      <c r="M174" s="456">
        <v>538</v>
      </c>
      <c r="N174" s="456" t="s">
        <v>174</v>
      </c>
      <c r="O174" s="458">
        <v>246036.285</v>
      </c>
      <c r="P174" s="458">
        <v>243385.28599999999</v>
      </c>
      <c r="Q174" s="458">
        <f>AVERAGE(Taulukko919[[#This Row],[Uudistuksen mukainen osuus työmarkkinatuesta, kotoutujia ei poistettu]:[Uudistuksen mukainen osuus työmarkkinatuesta, kotoutujat poistettu]])</f>
        <v>244710.7855</v>
      </c>
      <c r="R174" s="458">
        <v>192713.14</v>
      </c>
      <c r="S174" s="467">
        <f>Taulukko919[[#This Row],[Uudistuksen mukainen osuus työmarkkinatuesta, keskiarvo]]-Taulukko919[[#This Row],[Nykytila, kuntien osuus työmarkkinatuesta]]</f>
        <v>51997.645499999984</v>
      </c>
    </row>
    <row r="175" spans="1:19">
      <c r="A175" s="456">
        <v>541</v>
      </c>
      <c r="B175" s="456" t="s">
        <v>175</v>
      </c>
      <c r="C175" s="457">
        <v>9130</v>
      </c>
      <c r="D175" s="458">
        <v>867205.68</v>
      </c>
      <c r="E175" s="458">
        <v>888286.32349999994</v>
      </c>
      <c r="F175" s="458">
        <f>Taulukko9[[#This Row],[Uudistuksen mukainen osuus työmarkkinatuesta*]]-Taulukko9[[#This Row],[Nykytila, kuntien osuus työmarkkinatuesta]]</f>
        <v>21080.643499999889</v>
      </c>
      <c r="G175" s="458">
        <v>41973.49</v>
      </c>
      <c r="H175" s="458">
        <v>179185.18011104901</v>
      </c>
      <c r="I175" s="459">
        <f>Taulukko9[[#This Row],[Uudistuksen mukainen osuus työmarkkinatuesta*]]+Taulukko9[[#This Row],[Uudistuksen mukainen osuus peruspäivärahasta]]+Taulukko9[[#This Row],[Uudistuksen mukainen osuus ansiopäivärahasta]]</f>
        <v>1109444.9936110489</v>
      </c>
      <c r="J175" s="467">
        <f>Taulukko9[[#This Row],[Uudistuksen mukainen rahoitusvastuu yhteensä]]-Taulukko9[[#This Row],[Nykytila, kuntien osuus työmarkkinatuesta]]</f>
        <v>242239.31361104886</v>
      </c>
      <c r="M175" s="456">
        <v>541</v>
      </c>
      <c r="N175" s="456" t="s">
        <v>175</v>
      </c>
      <c r="O175" s="458">
        <v>892755.76800000004</v>
      </c>
      <c r="P175" s="458">
        <v>883816.87899999996</v>
      </c>
      <c r="Q175" s="458">
        <f>AVERAGE(Taulukko919[[#This Row],[Uudistuksen mukainen osuus työmarkkinatuesta, kotoutujia ei poistettu]:[Uudistuksen mukainen osuus työmarkkinatuesta, kotoutujat poistettu]])</f>
        <v>888286.32349999994</v>
      </c>
      <c r="R175" s="458">
        <v>867205.68</v>
      </c>
      <c r="S175" s="467">
        <f>Taulukko919[[#This Row],[Uudistuksen mukainen osuus työmarkkinatuesta, keskiarvo]]-Taulukko919[[#This Row],[Nykytila, kuntien osuus työmarkkinatuesta]]</f>
        <v>21080.643499999889</v>
      </c>
    </row>
    <row r="176" spans="1:19">
      <c r="A176" s="456">
        <v>543</v>
      </c>
      <c r="B176" s="456" t="s">
        <v>176</v>
      </c>
      <c r="C176" s="457">
        <v>44785</v>
      </c>
      <c r="D176" s="458">
        <v>2648821</v>
      </c>
      <c r="E176" s="458">
        <v>3058345.395</v>
      </c>
      <c r="F176" s="458">
        <f>Taulukko9[[#This Row],[Uudistuksen mukainen osuus työmarkkinatuesta*]]-Taulukko9[[#This Row],[Nykytila, kuntien osuus työmarkkinatuesta]]</f>
        <v>409524.39500000002</v>
      </c>
      <c r="G176" s="458">
        <v>144100.63500000001</v>
      </c>
      <c r="H176" s="458">
        <v>515778.47950699</v>
      </c>
      <c r="I176" s="459">
        <f>Taulukko9[[#This Row],[Uudistuksen mukainen osuus työmarkkinatuesta*]]+Taulukko9[[#This Row],[Uudistuksen mukainen osuus peruspäivärahasta]]+Taulukko9[[#This Row],[Uudistuksen mukainen osuus ansiopäivärahasta]]</f>
        <v>3718224.5095069902</v>
      </c>
      <c r="J176" s="467">
        <f>Taulukko9[[#This Row],[Uudistuksen mukainen rahoitusvastuu yhteensä]]-Taulukko9[[#This Row],[Nykytila, kuntien osuus työmarkkinatuesta]]</f>
        <v>1069403.5095069902</v>
      </c>
      <c r="M176" s="456">
        <v>543</v>
      </c>
      <c r="N176" s="456" t="s">
        <v>176</v>
      </c>
      <c r="O176" s="458">
        <v>3125460.0580000002</v>
      </c>
      <c r="P176" s="458">
        <v>2991230.7319999998</v>
      </c>
      <c r="Q176" s="458">
        <f>AVERAGE(Taulukko919[[#This Row],[Uudistuksen mukainen osuus työmarkkinatuesta, kotoutujia ei poistettu]:[Uudistuksen mukainen osuus työmarkkinatuesta, kotoutujat poistettu]])</f>
        <v>3058345.395</v>
      </c>
      <c r="R176" s="458">
        <v>2648821</v>
      </c>
      <c r="S176" s="467">
        <f>Taulukko919[[#This Row],[Uudistuksen mukainen osuus työmarkkinatuesta, keskiarvo]]-Taulukko919[[#This Row],[Nykytila, kuntien osuus työmarkkinatuesta]]</f>
        <v>409524.39500000002</v>
      </c>
    </row>
    <row r="177" spans="1:19">
      <c r="A177" s="456">
        <v>545</v>
      </c>
      <c r="B177" s="456" t="s">
        <v>177</v>
      </c>
      <c r="C177" s="457">
        <v>9621</v>
      </c>
      <c r="D177" s="458">
        <v>94640.36</v>
      </c>
      <c r="E177" s="458">
        <v>231522.394</v>
      </c>
      <c r="F177" s="458">
        <f>Taulukko9[[#This Row],[Uudistuksen mukainen osuus työmarkkinatuesta*]]-Taulukko9[[#This Row],[Nykytila, kuntien osuus työmarkkinatuesta]]</f>
        <v>136882.03399999999</v>
      </c>
      <c r="G177" s="458">
        <v>31477.764999999999</v>
      </c>
      <c r="H177" s="458">
        <v>86367.624326461693</v>
      </c>
      <c r="I177" s="459">
        <f>Taulukko9[[#This Row],[Uudistuksen mukainen osuus työmarkkinatuesta*]]+Taulukko9[[#This Row],[Uudistuksen mukainen osuus peruspäivärahasta]]+Taulukko9[[#This Row],[Uudistuksen mukainen osuus ansiopäivärahasta]]</f>
        <v>349367.78332646168</v>
      </c>
      <c r="J177" s="467">
        <f>Taulukko9[[#This Row],[Uudistuksen mukainen rahoitusvastuu yhteensä]]-Taulukko9[[#This Row],[Nykytila, kuntien osuus työmarkkinatuesta]]</f>
        <v>254727.42332646169</v>
      </c>
      <c r="M177" s="456">
        <v>545</v>
      </c>
      <c r="N177" s="456" t="s">
        <v>177</v>
      </c>
      <c r="O177" s="458">
        <v>243534.73300000001</v>
      </c>
      <c r="P177" s="458">
        <v>219510.05499999999</v>
      </c>
      <c r="Q177" s="458">
        <f>AVERAGE(Taulukko919[[#This Row],[Uudistuksen mukainen osuus työmarkkinatuesta, kotoutujia ei poistettu]:[Uudistuksen mukainen osuus työmarkkinatuesta, kotoutujat poistettu]])</f>
        <v>231522.394</v>
      </c>
      <c r="R177" s="458">
        <v>94640.36</v>
      </c>
      <c r="S177" s="467">
        <f>Taulukko919[[#This Row],[Uudistuksen mukainen osuus työmarkkinatuesta, keskiarvo]]-Taulukko919[[#This Row],[Nykytila, kuntien osuus työmarkkinatuesta]]</f>
        <v>136882.03399999999</v>
      </c>
    </row>
    <row r="178" spans="1:19">
      <c r="A178" s="456">
        <v>560</v>
      </c>
      <c r="B178" s="456" t="s">
        <v>178</v>
      </c>
      <c r="C178" s="457">
        <v>15669</v>
      </c>
      <c r="D178" s="458">
        <v>1394473.8</v>
      </c>
      <c r="E178" s="458">
        <v>1465683.135</v>
      </c>
      <c r="F178" s="458">
        <f>Taulukko9[[#This Row],[Uudistuksen mukainen osuus työmarkkinatuesta*]]-Taulukko9[[#This Row],[Nykytila, kuntien osuus työmarkkinatuesta]]</f>
        <v>71209.334999999963</v>
      </c>
      <c r="G178" s="458">
        <v>57283.762999999999</v>
      </c>
      <c r="H178" s="458">
        <v>224787.71871553999</v>
      </c>
      <c r="I178" s="459">
        <f>Taulukko9[[#This Row],[Uudistuksen mukainen osuus työmarkkinatuesta*]]+Taulukko9[[#This Row],[Uudistuksen mukainen osuus peruspäivärahasta]]+Taulukko9[[#This Row],[Uudistuksen mukainen osuus ansiopäivärahasta]]</f>
        <v>1747754.6167155399</v>
      </c>
      <c r="J178" s="467">
        <f>Taulukko9[[#This Row],[Uudistuksen mukainen rahoitusvastuu yhteensä]]-Taulukko9[[#This Row],[Nykytila, kuntien osuus työmarkkinatuesta]]</f>
        <v>353280.8167155399</v>
      </c>
      <c r="M178" s="456">
        <v>560</v>
      </c>
      <c r="N178" s="456" t="s">
        <v>178</v>
      </c>
      <c r="O178" s="458">
        <v>1482707.8740000001</v>
      </c>
      <c r="P178" s="458">
        <v>1448658.3959999999</v>
      </c>
      <c r="Q178" s="458">
        <f>AVERAGE(Taulukko919[[#This Row],[Uudistuksen mukainen osuus työmarkkinatuesta, kotoutujia ei poistettu]:[Uudistuksen mukainen osuus työmarkkinatuesta, kotoutujat poistettu]])</f>
        <v>1465683.135</v>
      </c>
      <c r="R178" s="458">
        <v>1394473.8</v>
      </c>
      <c r="S178" s="467">
        <f>Taulukko919[[#This Row],[Uudistuksen mukainen osuus työmarkkinatuesta, keskiarvo]]-Taulukko919[[#This Row],[Nykytila, kuntien osuus työmarkkinatuesta]]</f>
        <v>71209.334999999963</v>
      </c>
    </row>
    <row r="179" spans="1:19">
      <c r="A179" s="456">
        <v>561</v>
      </c>
      <c r="B179" s="456" t="s">
        <v>179</v>
      </c>
      <c r="C179" s="457">
        <v>1315</v>
      </c>
      <c r="D179" s="458">
        <v>57668.34</v>
      </c>
      <c r="E179" s="458">
        <v>86496.448999999993</v>
      </c>
      <c r="F179" s="458">
        <f>Taulukko9[[#This Row],[Uudistuksen mukainen osuus työmarkkinatuesta*]]-Taulukko9[[#This Row],[Nykytila, kuntien osuus työmarkkinatuesta]]</f>
        <v>28828.108999999997</v>
      </c>
      <c r="G179" s="458">
        <v>6838.915</v>
      </c>
      <c r="H179" s="458">
        <v>22893.895115656</v>
      </c>
      <c r="I179" s="459">
        <f>Taulukko9[[#This Row],[Uudistuksen mukainen osuus työmarkkinatuesta*]]+Taulukko9[[#This Row],[Uudistuksen mukainen osuus peruspäivärahasta]]+Taulukko9[[#This Row],[Uudistuksen mukainen osuus ansiopäivärahasta]]</f>
        <v>116229.25911565599</v>
      </c>
      <c r="J179" s="467">
        <f>Taulukko9[[#This Row],[Uudistuksen mukainen rahoitusvastuu yhteensä]]-Taulukko9[[#This Row],[Nykytila, kuntien osuus työmarkkinatuesta]]</f>
        <v>58560.919115655997</v>
      </c>
      <c r="M179" s="456">
        <v>561</v>
      </c>
      <c r="N179" s="456" t="s">
        <v>179</v>
      </c>
      <c r="O179" s="458">
        <v>87728.092000000004</v>
      </c>
      <c r="P179" s="458">
        <v>85264.805999999997</v>
      </c>
      <c r="Q179" s="458">
        <f>AVERAGE(Taulukko919[[#This Row],[Uudistuksen mukainen osuus työmarkkinatuesta, kotoutujia ei poistettu]:[Uudistuksen mukainen osuus työmarkkinatuesta, kotoutujat poistettu]])</f>
        <v>86496.448999999993</v>
      </c>
      <c r="R179" s="458">
        <v>57668.34</v>
      </c>
      <c r="S179" s="467">
        <f>Taulukko919[[#This Row],[Uudistuksen mukainen osuus työmarkkinatuesta, keskiarvo]]-Taulukko919[[#This Row],[Nykytila, kuntien osuus työmarkkinatuesta]]</f>
        <v>28828.108999999997</v>
      </c>
    </row>
    <row r="180" spans="1:19">
      <c r="A180" s="456">
        <v>562</v>
      </c>
      <c r="B180" s="456" t="s">
        <v>180</v>
      </c>
      <c r="C180" s="457">
        <v>8839</v>
      </c>
      <c r="D180" s="458">
        <v>612580.18000000005</v>
      </c>
      <c r="E180" s="458">
        <v>699981.22500000009</v>
      </c>
      <c r="F180" s="458">
        <f>Taulukko9[[#This Row],[Uudistuksen mukainen osuus työmarkkinatuesta*]]-Taulukko9[[#This Row],[Nykytila, kuntien osuus työmarkkinatuesta]]</f>
        <v>87401.045000000042</v>
      </c>
      <c r="G180" s="458">
        <v>34308.25</v>
      </c>
      <c r="H180" s="458">
        <v>116171.86556241701</v>
      </c>
      <c r="I180" s="459">
        <f>Taulukko9[[#This Row],[Uudistuksen mukainen osuus työmarkkinatuesta*]]+Taulukko9[[#This Row],[Uudistuksen mukainen osuus peruspäivärahasta]]+Taulukko9[[#This Row],[Uudistuksen mukainen osuus ansiopäivärahasta]]</f>
        <v>850461.34056241706</v>
      </c>
      <c r="J180" s="467">
        <f>Taulukko9[[#This Row],[Uudistuksen mukainen rahoitusvastuu yhteensä]]-Taulukko9[[#This Row],[Nykytila, kuntien osuus työmarkkinatuesta]]</f>
        <v>237881.160562417</v>
      </c>
      <c r="M180" s="456">
        <v>562</v>
      </c>
      <c r="N180" s="456" t="s">
        <v>180</v>
      </c>
      <c r="O180" s="458">
        <v>702224.07400000002</v>
      </c>
      <c r="P180" s="458">
        <v>697738.37600000005</v>
      </c>
      <c r="Q180" s="458">
        <f>AVERAGE(Taulukko919[[#This Row],[Uudistuksen mukainen osuus työmarkkinatuesta, kotoutujia ei poistettu]:[Uudistuksen mukainen osuus työmarkkinatuesta, kotoutujat poistettu]])</f>
        <v>699981.22500000009</v>
      </c>
      <c r="R180" s="458">
        <v>612580.18000000005</v>
      </c>
      <c r="S180" s="467">
        <f>Taulukko919[[#This Row],[Uudistuksen mukainen osuus työmarkkinatuesta, keskiarvo]]-Taulukko919[[#This Row],[Nykytila, kuntien osuus työmarkkinatuesta]]</f>
        <v>87401.045000000042</v>
      </c>
    </row>
    <row r="181" spans="1:19">
      <c r="A181" s="456">
        <v>563</v>
      </c>
      <c r="B181" s="456" t="s">
        <v>181</v>
      </c>
      <c r="C181" s="457">
        <v>6978</v>
      </c>
      <c r="D181" s="458">
        <v>333981.23</v>
      </c>
      <c r="E181" s="458">
        <v>439490.38399999996</v>
      </c>
      <c r="F181" s="458">
        <f>Taulukko9[[#This Row],[Uudistuksen mukainen osuus työmarkkinatuesta*]]-Taulukko9[[#This Row],[Nykytila, kuntien osuus työmarkkinatuesta]]</f>
        <v>105509.15399999998</v>
      </c>
      <c r="G181" s="458">
        <v>29262.391</v>
      </c>
      <c r="H181" s="458">
        <v>93449.870076280393</v>
      </c>
      <c r="I181" s="459">
        <f>Taulukko9[[#This Row],[Uudistuksen mukainen osuus työmarkkinatuesta*]]+Taulukko9[[#This Row],[Uudistuksen mukainen osuus peruspäivärahasta]]+Taulukko9[[#This Row],[Uudistuksen mukainen osuus ansiopäivärahasta]]</f>
        <v>562202.64507628034</v>
      </c>
      <c r="J181" s="467">
        <f>Taulukko9[[#This Row],[Uudistuksen mukainen rahoitusvastuu yhteensä]]-Taulukko9[[#This Row],[Nykytila, kuntien osuus työmarkkinatuesta]]</f>
        <v>228221.41507628036</v>
      </c>
      <c r="M181" s="456">
        <v>563</v>
      </c>
      <c r="N181" s="456" t="s">
        <v>181</v>
      </c>
      <c r="O181" s="458">
        <v>443750.12</v>
      </c>
      <c r="P181" s="458">
        <v>435230.64799999999</v>
      </c>
      <c r="Q181" s="458">
        <f>AVERAGE(Taulukko919[[#This Row],[Uudistuksen mukainen osuus työmarkkinatuesta, kotoutujia ei poistettu]:[Uudistuksen mukainen osuus työmarkkinatuesta, kotoutujat poistettu]])</f>
        <v>439490.38399999996</v>
      </c>
      <c r="R181" s="458">
        <v>333981.23</v>
      </c>
      <c r="S181" s="467">
        <f>Taulukko919[[#This Row],[Uudistuksen mukainen osuus työmarkkinatuesta, keskiarvo]]-Taulukko919[[#This Row],[Nykytila, kuntien osuus työmarkkinatuesta]]</f>
        <v>105509.15399999998</v>
      </c>
    </row>
    <row r="182" spans="1:19">
      <c r="A182" s="456">
        <v>564</v>
      </c>
      <c r="B182" s="456" t="s">
        <v>182</v>
      </c>
      <c r="C182" s="457">
        <v>214633</v>
      </c>
      <c r="D182" s="458">
        <v>24604494.010000002</v>
      </c>
      <c r="E182" s="458">
        <v>27562585.112500001</v>
      </c>
      <c r="F182" s="458">
        <f>Taulukko9[[#This Row],[Uudistuksen mukainen osuus työmarkkinatuesta*]]-Taulukko9[[#This Row],[Nykytila, kuntien osuus työmarkkinatuesta]]</f>
        <v>2958091.1024999991</v>
      </c>
      <c r="G182" s="458">
        <v>986310.44</v>
      </c>
      <c r="H182" s="458">
        <v>3516438.61068185</v>
      </c>
      <c r="I182" s="459">
        <f>Taulukko9[[#This Row],[Uudistuksen mukainen osuus työmarkkinatuesta*]]+Taulukko9[[#This Row],[Uudistuksen mukainen osuus peruspäivärahasta]]+Taulukko9[[#This Row],[Uudistuksen mukainen osuus ansiopäivärahasta]]</f>
        <v>32065334.163181853</v>
      </c>
      <c r="J182" s="467">
        <f>Taulukko9[[#This Row],[Uudistuksen mukainen rahoitusvastuu yhteensä]]-Taulukko9[[#This Row],[Nykytila, kuntien osuus työmarkkinatuesta]]</f>
        <v>7460840.1531818509</v>
      </c>
      <c r="M182" s="456">
        <v>564</v>
      </c>
      <c r="N182" s="456" t="s">
        <v>182</v>
      </c>
      <c r="O182" s="458">
        <v>28237236.374000002</v>
      </c>
      <c r="P182" s="458">
        <v>26887933.851</v>
      </c>
      <c r="Q182" s="458">
        <f>AVERAGE(Taulukko919[[#This Row],[Uudistuksen mukainen osuus työmarkkinatuesta, kotoutujia ei poistettu]:[Uudistuksen mukainen osuus työmarkkinatuesta, kotoutujat poistettu]])</f>
        <v>27562585.112500001</v>
      </c>
      <c r="R182" s="458">
        <v>24604494.010000002</v>
      </c>
      <c r="S182" s="467">
        <f>Taulukko919[[#This Row],[Uudistuksen mukainen osuus työmarkkinatuesta, keskiarvo]]-Taulukko919[[#This Row],[Nykytila, kuntien osuus työmarkkinatuesta]]</f>
        <v>2958091.1024999991</v>
      </c>
    </row>
    <row r="183" spans="1:19">
      <c r="A183" s="456">
        <v>576</v>
      </c>
      <c r="B183" s="456" t="s">
        <v>183</v>
      </c>
      <c r="C183" s="457">
        <v>2726</v>
      </c>
      <c r="D183" s="458">
        <v>162567.12</v>
      </c>
      <c r="E183" s="458">
        <v>184107.45150000002</v>
      </c>
      <c r="F183" s="458">
        <f>Taulukko9[[#This Row],[Uudistuksen mukainen osuus työmarkkinatuesta*]]-Taulukko9[[#This Row],[Nykytila, kuntien osuus työmarkkinatuesta]]</f>
        <v>21540.331500000029</v>
      </c>
      <c r="G183" s="458">
        <v>21050.524000000001</v>
      </c>
      <c r="H183" s="458">
        <v>62778.925707056398</v>
      </c>
      <c r="I183" s="459">
        <f>Taulukko9[[#This Row],[Uudistuksen mukainen osuus työmarkkinatuesta*]]+Taulukko9[[#This Row],[Uudistuksen mukainen osuus peruspäivärahasta]]+Taulukko9[[#This Row],[Uudistuksen mukainen osuus ansiopäivärahasta]]</f>
        <v>267936.90120705642</v>
      </c>
      <c r="J183" s="467">
        <f>Taulukko9[[#This Row],[Uudistuksen mukainen rahoitusvastuu yhteensä]]-Taulukko9[[#This Row],[Nykytila, kuntien osuus työmarkkinatuesta]]</f>
        <v>105369.78120705643</v>
      </c>
      <c r="M183" s="456">
        <v>576</v>
      </c>
      <c r="N183" s="456" t="s">
        <v>183</v>
      </c>
      <c r="O183" s="458">
        <v>186381.05100000001</v>
      </c>
      <c r="P183" s="458">
        <v>181833.85200000001</v>
      </c>
      <c r="Q183" s="458">
        <f>AVERAGE(Taulukko919[[#This Row],[Uudistuksen mukainen osuus työmarkkinatuesta, kotoutujia ei poistettu]:[Uudistuksen mukainen osuus työmarkkinatuesta, kotoutujat poistettu]])</f>
        <v>184107.45150000002</v>
      </c>
      <c r="R183" s="458">
        <v>162567.12</v>
      </c>
      <c r="S183" s="467">
        <f>Taulukko919[[#This Row],[Uudistuksen mukainen osuus työmarkkinatuesta, keskiarvo]]-Taulukko919[[#This Row],[Nykytila, kuntien osuus työmarkkinatuesta]]</f>
        <v>21540.331500000029</v>
      </c>
    </row>
    <row r="184" spans="1:19">
      <c r="A184" s="456">
        <v>577</v>
      </c>
      <c r="B184" s="456" t="s">
        <v>184</v>
      </c>
      <c r="C184" s="457">
        <v>11236</v>
      </c>
      <c r="D184" s="458">
        <v>73574.86</v>
      </c>
      <c r="E184" s="458">
        <v>464413.91149999999</v>
      </c>
      <c r="F184" s="458">
        <f>Taulukko9[[#This Row],[Uudistuksen mukainen osuus työmarkkinatuesta*]]-Taulukko9[[#This Row],[Nykytila, kuntien osuus työmarkkinatuesta]]</f>
        <v>390839.0515</v>
      </c>
      <c r="G184" s="458">
        <v>29609.78</v>
      </c>
      <c r="H184" s="458">
        <v>103696.66931178801</v>
      </c>
      <c r="I184" s="459">
        <f>Taulukko9[[#This Row],[Uudistuksen mukainen osuus työmarkkinatuesta*]]+Taulukko9[[#This Row],[Uudistuksen mukainen osuus peruspäivärahasta]]+Taulukko9[[#This Row],[Uudistuksen mukainen osuus ansiopäivärahasta]]</f>
        <v>597720.36081178801</v>
      </c>
      <c r="J184" s="467">
        <f>Taulukko9[[#This Row],[Uudistuksen mukainen rahoitusvastuu yhteensä]]-Taulukko9[[#This Row],[Nykytila, kuntien osuus työmarkkinatuesta]]</f>
        <v>524145.50081178802</v>
      </c>
      <c r="M184" s="456">
        <v>577</v>
      </c>
      <c r="N184" s="456" t="s">
        <v>184</v>
      </c>
      <c r="O184" s="458">
        <v>475026.02899999998</v>
      </c>
      <c r="P184" s="458">
        <v>453801.79399999999</v>
      </c>
      <c r="Q184" s="458">
        <f>AVERAGE(Taulukko919[[#This Row],[Uudistuksen mukainen osuus työmarkkinatuesta, kotoutujia ei poistettu]:[Uudistuksen mukainen osuus työmarkkinatuesta, kotoutujat poistettu]])</f>
        <v>464413.91149999999</v>
      </c>
      <c r="R184" s="458">
        <v>73574.86</v>
      </c>
      <c r="S184" s="467">
        <f>Taulukko919[[#This Row],[Uudistuksen mukainen osuus työmarkkinatuesta, keskiarvo]]-Taulukko919[[#This Row],[Nykytila, kuntien osuus työmarkkinatuesta]]</f>
        <v>390839.0515</v>
      </c>
    </row>
    <row r="185" spans="1:19">
      <c r="A185" s="456">
        <v>578</v>
      </c>
      <c r="B185" s="456" t="s">
        <v>185</v>
      </c>
      <c r="C185" s="457">
        <v>3037</v>
      </c>
      <c r="D185" s="458">
        <v>121340</v>
      </c>
      <c r="E185" s="458">
        <v>164997.66200000001</v>
      </c>
      <c r="F185" s="458">
        <f>Taulukko9[[#This Row],[Uudistuksen mukainen osuus työmarkkinatuesta*]]-Taulukko9[[#This Row],[Nykytila, kuntien osuus työmarkkinatuesta]]</f>
        <v>43657.662000000011</v>
      </c>
      <c r="G185" s="458">
        <v>15236.455</v>
      </c>
      <c r="H185" s="458">
        <v>69470.603338471294</v>
      </c>
      <c r="I185" s="459">
        <f>Taulukko9[[#This Row],[Uudistuksen mukainen osuus työmarkkinatuesta*]]+Taulukko9[[#This Row],[Uudistuksen mukainen osuus peruspäivärahasta]]+Taulukko9[[#This Row],[Uudistuksen mukainen osuus ansiopäivärahasta]]</f>
        <v>249704.72033847129</v>
      </c>
      <c r="J185" s="467">
        <f>Taulukko9[[#This Row],[Uudistuksen mukainen rahoitusvastuu yhteensä]]-Taulukko9[[#This Row],[Nykytila, kuntien osuus työmarkkinatuesta]]</f>
        <v>128364.72033847129</v>
      </c>
      <c r="M185" s="456">
        <v>578</v>
      </c>
      <c r="N185" s="456" t="s">
        <v>185</v>
      </c>
      <c r="O185" s="458">
        <v>165070.13800000001</v>
      </c>
      <c r="P185" s="458">
        <v>164925.18599999999</v>
      </c>
      <c r="Q185" s="458">
        <f>AVERAGE(Taulukko919[[#This Row],[Uudistuksen mukainen osuus työmarkkinatuesta, kotoutujia ei poistettu]:[Uudistuksen mukainen osuus työmarkkinatuesta, kotoutujat poistettu]])</f>
        <v>164997.66200000001</v>
      </c>
      <c r="R185" s="458">
        <v>121340</v>
      </c>
      <c r="S185" s="467">
        <f>Taulukko919[[#This Row],[Uudistuksen mukainen osuus työmarkkinatuesta, keskiarvo]]-Taulukko919[[#This Row],[Nykytila, kuntien osuus työmarkkinatuesta]]</f>
        <v>43657.662000000011</v>
      </c>
    </row>
    <row r="186" spans="1:19">
      <c r="A186" s="456">
        <v>580</v>
      </c>
      <c r="B186" s="456" t="s">
        <v>186</v>
      </c>
      <c r="C186" s="457">
        <v>4366</v>
      </c>
      <c r="D186" s="458">
        <v>277147</v>
      </c>
      <c r="E186" s="458">
        <v>315536.65150000004</v>
      </c>
      <c r="F186" s="458">
        <f>Taulukko9[[#This Row],[Uudistuksen mukainen osuus työmarkkinatuesta*]]-Taulukko9[[#This Row],[Nykytila, kuntien osuus työmarkkinatuesta]]</f>
        <v>38389.651500000036</v>
      </c>
      <c r="G186" s="458">
        <v>17661.776999999998</v>
      </c>
      <c r="H186" s="458">
        <v>73156.245689238</v>
      </c>
      <c r="I186" s="459">
        <f>Taulukko9[[#This Row],[Uudistuksen mukainen osuus työmarkkinatuesta*]]+Taulukko9[[#This Row],[Uudistuksen mukainen osuus peruspäivärahasta]]+Taulukko9[[#This Row],[Uudistuksen mukainen osuus ansiopäivärahasta]]</f>
        <v>406354.67418923805</v>
      </c>
      <c r="J186" s="467">
        <f>Taulukko9[[#This Row],[Uudistuksen mukainen rahoitusvastuu yhteensä]]-Taulukko9[[#This Row],[Nykytila, kuntien osuus työmarkkinatuesta]]</f>
        <v>129207.67418923805</v>
      </c>
      <c r="M186" s="456">
        <v>580</v>
      </c>
      <c r="N186" s="456" t="s">
        <v>186</v>
      </c>
      <c r="O186" s="458">
        <v>319161.00099999999</v>
      </c>
      <c r="P186" s="458">
        <v>311912.30200000003</v>
      </c>
      <c r="Q186" s="458">
        <f>AVERAGE(Taulukko919[[#This Row],[Uudistuksen mukainen osuus työmarkkinatuesta, kotoutujia ei poistettu]:[Uudistuksen mukainen osuus työmarkkinatuesta, kotoutujat poistettu]])</f>
        <v>315536.65150000004</v>
      </c>
      <c r="R186" s="458">
        <v>277147</v>
      </c>
      <c r="S186" s="467">
        <f>Taulukko919[[#This Row],[Uudistuksen mukainen osuus työmarkkinatuesta, keskiarvo]]-Taulukko919[[#This Row],[Nykytila, kuntien osuus työmarkkinatuesta]]</f>
        <v>38389.651500000036</v>
      </c>
    </row>
    <row r="187" spans="1:19">
      <c r="A187" s="456">
        <v>581</v>
      </c>
      <c r="B187" s="456" t="s">
        <v>187</v>
      </c>
      <c r="C187" s="457">
        <v>6123</v>
      </c>
      <c r="D187" s="458">
        <v>270535.34000000003</v>
      </c>
      <c r="E187" s="458">
        <v>575214.23</v>
      </c>
      <c r="F187" s="458">
        <f>Taulukko9[[#This Row],[Uudistuksen mukainen osuus työmarkkinatuesta*]]-Taulukko9[[#This Row],[Nykytila, kuntien osuus työmarkkinatuesta]]</f>
        <v>304678.88999999996</v>
      </c>
      <c r="G187" s="458">
        <v>23767.594000000001</v>
      </c>
      <c r="H187" s="458">
        <v>99423.3831292994</v>
      </c>
      <c r="I187" s="459">
        <f>Taulukko9[[#This Row],[Uudistuksen mukainen osuus työmarkkinatuesta*]]+Taulukko9[[#This Row],[Uudistuksen mukainen osuus peruspäivärahasta]]+Taulukko9[[#This Row],[Uudistuksen mukainen osuus ansiopäivärahasta]]</f>
        <v>698405.20712929941</v>
      </c>
      <c r="J187" s="467">
        <f>Taulukko9[[#This Row],[Uudistuksen mukainen rahoitusvastuu yhteensä]]-Taulukko9[[#This Row],[Nykytila, kuntien osuus työmarkkinatuesta]]</f>
        <v>427869.86712929938</v>
      </c>
      <c r="M187" s="456">
        <v>581</v>
      </c>
      <c r="N187" s="456" t="s">
        <v>187</v>
      </c>
      <c r="O187" s="458">
        <v>577115.80599999998</v>
      </c>
      <c r="P187" s="458">
        <v>573312.65399999998</v>
      </c>
      <c r="Q187" s="458">
        <f>AVERAGE(Taulukko919[[#This Row],[Uudistuksen mukainen osuus työmarkkinatuesta, kotoutujia ei poistettu]:[Uudistuksen mukainen osuus työmarkkinatuesta, kotoutujat poistettu]])</f>
        <v>575214.23</v>
      </c>
      <c r="R187" s="458">
        <v>270535.34000000003</v>
      </c>
      <c r="S187" s="467">
        <f>Taulukko919[[#This Row],[Uudistuksen mukainen osuus työmarkkinatuesta, keskiarvo]]-Taulukko919[[#This Row],[Nykytila, kuntien osuus työmarkkinatuesta]]</f>
        <v>304678.88999999996</v>
      </c>
    </row>
    <row r="188" spans="1:19">
      <c r="A188" s="456">
        <v>583</v>
      </c>
      <c r="B188" s="456" t="s">
        <v>188</v>
      </c>
      <c r="C188" s="457">
        <v>912</v>
      </c>
      <c r="D188" s="458">
        <v>30673.759999999998</v>
      </c>
      <c r="E188" s="458">
        <v>24896.674999999999</v>
      </c>
      <c r="F188" s="458">
        <f>Taulukko9[[#This Row],[Uudistuksen mukainen osuus työmarkkinatuesta*]]-Taulukko9[[#This Row],[Nykytila, kuntien osuus työmarkkinatuesta]]</f>
        <v>-5777.0849999999991</v>
      </c>
      <c r="G188" s="458">
        <v>3171.4989999999998</v>
      </c>
      <c r="H188" s="458">
        <v>29848.013337981301</v>
      </c>
      <c r="I188" s="459">
        <f>Taulukko9[[#This Row],[Uudistuksen mukainen osuus työmarkkinatuesta*]]+Taulukko9[[#This Row],[Uudistuksen mukainen osuus peruspäivärahasta]]+Taulukko9[[#This Row],[Uudistuksen mukainen osuus ansiopäivärahasta]]</f>
        <v>57916.187337981304</v>
      </c>
      <c r="J188" s="467">
        <f>Taulukko9[[#This Row],[Uudistuksen mukainen rahoitusvastuu yhteensä]]-Taulukko9[[#This Row],[Nykytila, kuntien osuus työmarkkinatuesta]]</f>
        <v>27242.427337981306</v>
      </c>
      <c r="M188" s="456">
        <v>583</v>
      </c>
      <c r="N188" s="456" t="s">
        <v>188</v>
      </c>
      <c r="O188" s="458">
        <v>24896.674999999999</v>
      </c>
      <c r="P188" s="458">
        <v>24896.674999999999</v>
      </c>
      <c r="Q188" s="458">
        <f>AVERAGE(Taulukko919[[#This Row],[Uudistuksen mukainen osuus työmarkkinatuesta, kotoutujia ei poistettu]:[Uudistuksen mukainen osuus työmarkkinatuesta, kotoutujat poistettu]])</f>
        <v>24896.674999999999</v>
      </c>
      <c r="R188" s="458">
        <v>30673.759999999998</v>
      </c>
      <c r="S188" s="467">
        <f>Taulukko919[[#This Row],[Uudistuksen mukainen osuus työmarkkinatuesta, keskiarvo]]-Taulukko919[[#This Row],[Nykytila, kuntien osuus työmarkkinatuesta]]</f>
        <v>-5777.0849999999991</v>
      </c>
    </row>
    <row r="189" spans="1:19">
      <c r="A189" s="456">
        <v>584</v>
      </c>
      <c r="B189" s="456" t="s">
        <v>189</v>
      </c>
      <c r="C189" s="457">
        <v>2578</v>
      </c>
      <c r="D189" s="458">
        <v>127238.99</v>
      </c>
      <c r="E189" s="458">
        <v>182409.08799999999</v>
      </c>
      <c r="F189" s="458">
        <f>Taulukko9[[#This Row],[Uudistuksen mukainen osuus työmarkkinatuesta*]]-Taulukko9[[#This Row],[Nykytila, kuntien osuus työmarkkinatuesta]]</f>
        <v>55170.097999999984</v>
      </c>
      <c r="G189" s="458">
        <v>6804.0619999999999</v>
      </c>
      <c r="H189" s="458">
        <v>20819.0666954392</v>
      </c>
      <c r="I189" s="459">
        <f>Taulukko9[[#This Row],[Uudistuksen mukainen osuus työmarkkinatuesta*]]+Taulukko9[[#This Row],[Uudistuksen mukainen osuus peruspäivärahasta]]+Taulukko9[[#This Row],[Uudistuksen mukainen osuus ansiopäivärahasta]]</f>
        <v>210032.21669543919</v>
      </c>
      <c r="J189" s="467">
        <f>Taulukko9[[#This Row],[Uudistuksen mukainen rahoitusvastuu yhteensä]]-Taulukko9[[#This Row],[Nykytila, kuntien osuus työmarkkinatuesta]]</f>
        <v>82793.226695439182</v>
      </c>
      <c r="M189" s="456">
        <v>584</v>
      </c>
      <c r="N189" s="456" t="s">
        <v>189</v>
      </c>
      <c r="O189" s="458">
        <v>182409.08799999999</v>
      </c>
      <c r="P189" s="458">
        <v>182409.08799999999</v>
      </c>
      <c r="Q189" s="458">
        <f>AVERAGE(Taulukko919[[#This Row],[Uudistuksen mukainen osuus työmarkkinatuesta, kotoutujia ei poistettu]:[Uudistuksen mukainen osuus työmarkkinatuesta, kotoutujat poistettu]])</f>
        <v>182409.08799999999</v>
      </c>
      <c r="R189" s="458">
        <v>127238.99</v>
      </c>
      <c r="S189" s="467">
        <f>Taulukko919[[#This Row],[Uudistuksen mukainen osuus työmarkkinatuesta, keskiarvo]]-Taulukko919[[#This Row],[Nykytila, kuntien osuus työmarkkinatuesta]]</f>
        <v>55170.097999999984</v>
      </c>
    </row>
    <row r="190" spans="1:19">
      <c r="A190" s="456">
        <v>588</v>
      </c>
      <c r="B190" s="456" t="s">
        <v>190</v>
      </c>
      <c r="C190" s="457">
        <v>1577</v>
      </c>
      <c r="D190" s="458">
        <v>99681.3</v>
      </c>
      <c r="E190" s="458">
        <v>140977.09850000002</v>
      </c>
      <c r="F190" s="458">
        <f>Taulukko9[[#This Row],[Uudistuksen mukainen osuus työmarkkinatuesta*]]-Taulukko9[[#This Row],[Nykytila, kuntien osuus työmarkkinatuesta]]</f>
        <v>41295.798500000019</v>
      </c>
      <c r="G190" s="458">
        <v>5323.03</v>
      </c>
      <c r="H190" s="458">
        <v>13323.4517367851</v>
      </c>
      <c r="I190" s="459">
        <f>Taulukko9[[#This Row],[Uudistuksen mukainen osuus työmarkkinatuesta*]]+Taulukko9[[#This Row],[Uudistuksen mukainen osuus peruspäivärahasta]]+Taulukko9[[#This Row],[Uudistuksen mukainen osuus ansiopäivärahasta]]</f>
        <v>159623.58023678511</v>
      </c>
      <c r="J190" s="467">
        <f>Taulukko9[[#This Row],[Uudistuksen mukainen rahoitusvastuu yhteensä]]-Taulukko9[[#This Row],[Nykytila, kuntien osuus työmarkkinatuesta]]</f>
        <v>59942.280236785111</v>
      </c>
      <c r="M190" s="456">
        <v>588</v>
      </c>
      <c r="N190" s="456" t="s">
        <v>190</v>
      </c>
      <c r="O190" s="458">
        <v>141710.23300000001</v>
      </c>
      <c r="P190" s="458">
        <v>140243.96400000001</v>
      </c>
      <c r="Q190" s="458">
        <f>AVERAGE(Taulukko919[[#This Row],[Uudistuksen mukainen osuus työmarkkinatuesta, kotoutujia ei poistettu]:[Uudistuksen mukainen osuus työmarkkinatuesta, kotoutujat poistettu]])</f>
        <v>140977.09850000002</v>
      </c>
      <c r="R190" s="458">
        <v>99681.3</v>
      </c>
      <c r="S190" s="467">
        <f>Taulukko919[[#This Row],[Uudistuksen mukainen osuus työmarkkinatuesta, keskiarvo]]-Taulukko919[[#This Row],[Nykytila, kuntien osuus työmarkkinatuesta]]</f>
        <v>41295.798500000019</v>
      </c>
    </row>
    <row r="191" spans="1:19">
      <c r="A191" s="456">
        <v>592</v>
      </c>
      <c r="B191" s="456" t="s">
        <v>191</v>
      </c>
      <c r="C191" s="457">
        <v>3596</v>
      </c>
      <c r="D191" s="458">
        <v>264241.98</v>
      </c>
      <c r="E191" s="458">
        <v>363294.76</v>
      </c>
      <c r="F191" s="458">
        <f>Taulukko9[[#This Row],[Uudistuksen mukainen osuus työmarkkinatuesta*]]-Taulukko9[[#This Row],[Nykytila, kuntien osuus työmarkkinatuesta]]</f>
        <v>99052.780000000028</v>
      </c>
      <c r="G191" s="458">
        <v>19757.535</v>
      </c>
      <c r="H191" s="458">
        <v>53580.155683997698</v>
      </c>
      <c r="I191" s="459">
        <f>Taulukko9[[#This Row],[Uudistuksen mukainen osuus työmarkkinatuesta*]]+Taulukko9[[#This Row],[Uudistuksen mukainen osuus peruspäivärahasta]]+Taulukko9[[#This Row],[Uudistuksen mukainen osuus ansiopäivärahasta]]</f>
        <v>436632.45068399771</v>
      </c>
      <c r="J191" s="467">
        <f>Taulukko9[[#This Row],[Uudistuksen mukainen rahoitusvastuu yhteensä]]-Taulukko9[[#This Row],[Nykytila, kuntien osuus työmarkkinatuesta]]</f>
        <v>172390.47068399773</v>
      </c>
      <c r="M191" s="456">
        <v>592</v>
      </c>
      <c r="N191" s="456" t="s">
        <v>191</v>
      </c>
      <c r="O191" s="458">
        <v>364299.43</v>
      </c>
      <c r="P191" s="458">
        <v>362290.09</v>
      </c>
      <c r="Q191" s="458">
        <f>AVERAGE(Taulukko919[[#This Row],[Uudistuksen mukainen osuus työmarkkinatuesta, kotoutujia ei poistettu]:[Uudistuksen mukainen osuus työmarkkinatuesta, kotoutujat poistettu]])</f>
        <v>363294.76</v>
      </c>
      <c r="R191" s="458">
        <v>264241.98</v>
      </c>
      <c r="S191" s="467">
        <f>Taulukko919[[#This Row],[Uudistuksen mukainen osuus työmarkkinatuesta, keskiarvo]]-Taulukko919[[#This Row],[Nykytila, kuntien osuus työmarkkinatuesta]]</f>
        <v>99052.780000000028</v>
      </c>
    </row>
    <row r="192" spans="1:19">
      <c r="A192" s="456">
        <v>593</v>
      </c>
      <c r="B192" s="456" t="s">
        <v>192</v>
      </c>
      <c r="C192" s="457">
        <v>17050</v>
      </c>
      <c r="D192" s="458">
        <v>986527.25</v>
      </c>
      <c r="E192" s="458">
        <v>1716671.8</v>
      </c>
      <c r="F192" s="458">
        <f>Taulukko9[[#This Row],[Uudistuksen mukainen osuus työmarkkinatuesta*]]-Taulukko9[[#This Row],[Nykytila, kuntien osuus työmarkkinatuesta]]</f>
        <v>730144.55</v>
      </c>
      <c r="G192" s="458">
        <v>54202.614999999998</v>
      </c>
      <c r="H192" s="458">
        <v>194260.083306335</v>
      </c>
      <c r="I192" s="459">
        <f>Taulukko9[[#This Row],[Uudistuksen mukainen osuus työmarkkinatuesta*]]+Taulukko9[[#This Row],[Uudistuksen mukainen osuus peruspäivärahasta]]+Taulukko9[[#This Row],[Uudistuksen mukainen osuus ansiopäivärahasta]]</f>
        <v>1965134.498306335</v>
      </c>
      <c r="J192" s="467">
        <f>Taulukko9[[#This Row],[Uudistuksen mukainen rahoitusvastuu yhteensä]]-Taulukko9[[#This Row],[Nykytila, kuntien osuus työmarkkinatuesta]]</f>
        <v>978607.24830633495</v>
      </c>
      <c r="M192" s="456">
        <v>593</v>
      </c>
      <c r="N192" s="456" t="s">
        <v>192</v>
      </c>
      <c r="O192" s="458">
        <v>1743101.273</v>
      </c>
      <c r="P192" s="458">
        <v>1690242.327</v>
      </c>
      <c r="Q192" s="458">
        <f>AVERAGE(Taulukko919[[#This Row],[Uudistuksen mukainen osuus työmarkkinatuesta, kotoutujia ei poistettu]:[Uudistuksen mukainen osuus työmarkkinatuesta, kotoutujat poistettu]])</f>
        <v>1716671.8</v>
      </c>
      <c r="R192" s="458">
        <v>986527.25</v>
      </c>
      <c r="S192" s="467">
        <f>Taulukko919[[#This Row],[Uudistuksen mukainen osuus työmarkkinatuesta, keskiarvo]]-Taulukko919[[#This Row],[Nykytila, kuntien osuus työmarkkinatuesta]]</f>
        <v>730144.55</v>
      </c>
    </row>
    <row r="193" spans="1:19">
      <c r="A193" s="456">
        <v>595</v>
      </c>
      <c r="B193" s="456" t="s">
        <v>193</v>
      </c>
      <c r="C193" s="457">
        <v>4073</v>
      </c>
      <c r="D193" s="458">
        <v>215047.83</v>
      </c>
      <c r="E193" s="458">
        <v>275649.28249999997</v>
      </c>
      <c r="F193" s="458">
        <f>Taulukko9[[#This Row],[Uudistuksen mukainen osuus työmarkkinatuesta*]]-Taulukko9[[#This Row],[Nykytila, kuntien osuus työmarkkinatuesta]]</f>
        <v>60601.452499999985</v>
      </c>
      <c r="G193" s="458">
        <v>15053.084000000001</v>
      </c>
      <c r="H193" s="458">
        <v>42649.535557797499</v>
      </c>
      <c r="I193" s="459">
        <f>Taulukko9[[#This Row],[Uudistuksen mukainen osuus työmarkkinatuesta*]]+Taulukko9[[#This Row],[Uudistuksen mukainen osuus peruspäivärahasta]]+Taulukko9[[#This Row],[Uudistuksen mukainen osuus ansiopäivärahasta]]</f>
        <v>333351.90205779742</v>
      </c>
      <c r="J193" s="467">
        <f>Taulukko9[[#This Row],[Uudistuksen mukainen rahoitusvastuu yhteensä]]-Taulukko9[[#This Row],[Nykytila, kuntien osuus työmarkkinatuesta]]</f>
        <v>118304.07205779743</v>
      </c>
      <c r="M193" s="456">
        <v>595</v>
      </c>
      <c r="N193" s="456" t="s">
        <v>193</v>
      </c>
      <c r="O193" s="458">
        <v>278950.174</v>
      </c>
      <c r="P193" s="458">
        <v>272348.391</v>
      </c>
      <c r="Q193" s="458">
        <f>AVERAGE(Taulukko919[[#This Row],[Uudistuksen mukainen osuus työmarkkinatuesta, kotoutujia ei poistettu]:[Uudistuksen mukainen osuus työmarkkinatuesta, kotoutujat poistettu]])</f>
        <v>275649.28249999997</v>
      </c>
      <c r="R193" s="458">
        <v>215047.83</v>
      </c>
      <c r="S193" s="467">
        <f>Taulukko919[[#This Row],[Uudistuksen mukainen osuus työmarkkinatuesta, keskiarvo]]-Taulukko919[[#This Row],[Nykytila, kuntien osuus työmarkkinatuesta]]</f>
        <v>60601.452499999985</v>
      </c>
    </row>
    <row r="194" spans="1:19">
      <c r="A194" s="456">
        <v>598</v>
      </c>
      <c r="B194" s="456" t="s">
        <v>194</v>
      </c>
      <c r="C194" s="457">
        <v>19475</v>
      </c>
      <c r="D194" s="458">
        <v>958185.73</v>
      </c>
      <c r="E194" s="458">
        <v>1983209.9645</v>
      </c>
      <c r="F194" s="458">
        <f>Taulukko9[[#This Row],[Uudistuksen mukainen osuus työmarkkinatuesta*]]-Taulukko9[[#This Row],[Nykytila, kuntien osuus työmarkkinatuesta]]</f>
        <v>1025024.2345</v>
      </c>
      <c r="G194" s="458">
        <v>69693.880999999994</v>
      </c>
      <c r="H194" s="458">
        <v>200993.58091489601</v>
      </c>
      <c r="I194" s="459">
        <f>Taulukko9[[#This Row],[Uudistuksen mukainen osuus työmarkkinatuesta*]]+Taulukko9[[#This Row],[Uudistuksen mukainen osuus peruspäivärahasta]]+Taulukko9[[#This Row],[Uudistuksen mukainen osuus ansiopäivärahasta]]</f>
        <v>2253897.4264148963</v>
      </c>
      <c r="J194" s="467">
        <f>Taulukko9[[#This Row],[Uudistuksen mukainen rahoitusvastuu yhteensä]]-Taulukko9[[#This Row],[Nykytila, kuntien osuus työmarkkinatuesta]]</f>
        <v>1295711.6964148963</v>
      </c>
      <c r="M194" s="456">
        <v>598</v>
      </c>
      <c r="N194" s="456" t="s">
        <v>194</v>
      </c>
      <c r="O194" s="458">
        <v>2084659.1270000001</v>
      </c>
      <c r="P194" s="458">
        <v>1881760.8019999999</v>
      </c>
      <c r="Q194" s="458">
        <f>AVERAGE(Taulukko919[[#This Row],[Uudistuksen mukainen osuus työmarkkinatuesta, kotoutujia ei poistettu]:[Uudistuksen mukainen osuus työmarkkinatuesta, kotoutujat poistettu]])</f>
        <v>1983209.9645</v>
      </c>
      <c r="R194" s="458">
        <v>958185.73</v>
      </c>
      <c r="S194" s="467">
        <f>Taulukko919[[#This Row],[Uudistuksen mukainen osuus työmarkkinatuesta, keskiarvo]]-Taulukko919[[#This Row],[Nykytila, kuntien osuus työmarkkinatuesta]]</f>
        <v>1025024.2345</v>
      </c>
    </row>
    <row r="195" spans="1:19">
      <c r="A195" s="456">
        <v>599</v>
      </c>
      <c r="B195" s="456" t="s">
        <v>195</v>
      </c>
      <c r="C195" s="457">
        <v>11225</v>
      </c>
      <c r="D195" s="458">
        <v>172136.47</v>
      </c>
      <c r="E195" s="458">
        <v>285973.67099999997</v>
      </c>
      <c r="F195" s="458">
        <f>Taulukko9[[#This Row],[Uudistuksen mukainen osuus työmarkkinatuesta*]]-Taulukko9[[#This Row],[Nykytila, kuntien osuus työmarkkinatuesta]]</f>
        <v>113837.20099999997</v>
      </c>
      <c r="G195" s="458">
        <v>17684.952000000001</v>
      </c>
      <c r="H195" s="458">
        <v>37170.069205054999</v>
      </c>
      <c r="I195" s="459">
        <f>Taulukko9[[#This Row],[Uudistuksen mukainen osuus työmarkkinatuesta*]]+Taulukko9[[#This Row],[Uudistuksen mukainen osuus peruspäivärahasta]]+Taulukko9[[#This Row],[Uudistuksen mukainen osuus ansiopäivärahasta]]</f>
        <v>340828.69220505498</v>
      </c>
      <c r="J195" s="467">
        <f>Taulukko9[[#This Row],[Uudistuksen mukainen rahoitusvastuu yhteensä]]-Taulukko9[[#This Row],[Nykytila, kuntien osuus työmarkkinatuesta]]</f>
        <v>168692.22220505498</v>
      </c>
      <c r="M195" s="456">
        <v>599</v>
      </c>
      <c r="N195" s="456" t="s">
        <v>195</v>
      </c>
      <c r="O195" s="458">
        <v>298310.64899999998</v>
      </c>
      <c r="P195" s="458">
        <v>273636.69300000003</v>
      </c>
      <c r="Q195" s="458">
        <f>AVERAGE(Taulukko919[[#This Row],[Uudistuksen mukainen osuus työmarkkinatuesta, kotoutujia ei poistettu]:[Uudistuksen mukainen osuus työmarkkinatuesta, kotoutujat poistettu]])</f>
        <v>285973.67099999997</v>
      </c>
      <c r="R195" s="458">
        <v>172136.47</v>
      </c>
      <c r="S195" s="467">
        <f>Taulukko919[[#This Row],[Uudistuksen mukainen osuus työmarkkinatuesta, keskiarvo]]-Taulukko919[[#This Row],[Nykytila, kuntien osuus työmarkkinatuesta]]</f>
        <v>113837.20099999997</v>
      </c>
    </row>
    <row r="196" spans="1:19">
      <c r="A196" s="456">
        <v>601</v>
      </c>
      <c r="B196" s="456" t="s">
        <v>196</v>
      </c>
      <c r="C196" s="457">
        <v>3739</v>
      </c>
      <c r="D196" s="458">
        <v>192928.21</v>
      </c>
      <c r="E196" s="458">
        <v>218723.84899999999</v>
      </c>
      <c r="F196" s="458">
        <f>Taulukko9[[#This Row],[Uudistuksen mukainen osuus työmarkkinatuesta*]]-Taulukko9[[#This Row],[Nykytila, kuntien osuus työmarkkinatuesta]]</f>
        <v>25795.638999999996</v>
      </c>
      <c r="G196" s="458">
        <v>23271.911</v>
      </c>
      <c r="H196" s="458">
        <v>76884.249146843897</v>
      </c>
      <c r="I196" s="459">
        <f>Taulukko9[[#This Row],[Uudistuksen mukainen osuus työmarkkinatuesta*]]+Taulukko9[[#This Row],[Uudistuksen mukainen osuus peruspäivärahasta]]+Taulukko9[[#This Row],[Uudistuksen mukainen osuus ansiopäivärahasta]]</f>
        <v>318880.00914684386</v>
      </c>
      <c r="J196" s="467">
        <f>Taulukko9[[#This Row],[Uudistuksen mukainen rahoitusvastuu yhteensä]]-Taulukko9[[#This Row],[Nykytila, kuntien osuus työmarkkinatuesta]]</f>
        <v>125951.79914684387</v>
      </c>
      <c r="M196" s="456">
        <v>601</v>
      </c>
      <c r="N196" s="456" t="s">
        <v>196</v>
      </c>
      <c r="O196" s="458">
        <v>220437.02900000001</v>
      </c>
      <c r="P196" s="458">
        <v>217010.66899999999</v>
      </c>
      <c r="Q196" s="458">
        <f>AVERAGE(Taulukko919[[#This Row],[Uudistuksen mukainen osuus työmarkkinatuesta, kotoutujia ei poistettu]:[Uudistuksen mukainen osuus työmarkkinatuesta, kotoutujat poistettu]])</f>
        <v>218723.84899999999</v>
      </c>
      <c r="R196" s="458">
        <v>192928.21</v>
      </c>
      <c r="S196" s="467">
        <f>Taulukko919[[#This Row],[Uudistuksen mukainen osuus työmarkkinatuesta, keskiarvo]]-Taulukko919[[#This Row],[Nykytila, kuntien osuus työmarkkinatuesta]]</f>
        <v>25795.638999999996</v>
      </c>
    </row>
    <row r="197" spans="1:19">
      <c r="A197" s="456">
        <v>604</v>
      </c>
      <c r="B197" s="456" t="s">
        <v>197</v>
      </c>
      <c r="C197" s="457">
        <v>20763</v>
      </c>
      <c r="D197" s="458">
        <v>989756.41</v>
      </c>
      <c r="E197" s="458">
        <v>1411682.1465</v>
      </c>
      <c r="F197" s="458">
        <f>Taulukko9[[#This Row],[Uudistuksen mukainen osuus työmarkkinatuesta*]]-Taulukko9[[#This Row],[Nykytila, kuntien osuus työmarkkinatuesta]]</f>
        <v>421925.7365</v>
      </c>
      <c r="G197" s="458">
        <v>51444.794999999998</v>
      </c>
      <c r="H197" s="458">
        <v>244959.288750304</v>
      </c>
      <c r="I197" s="459">
        <f>Taulukko9[[#This Row],[Uudistuksen mukainen osuus työmarkkinatuesta*]]+Taulukko9[[#This Row],[Uudistuksen mukainen osuus peruspäivärahasta]]+Taulukko9[[#This Row],[Uudistuksen mukainen osuus ansiopäivärahasta]]</f>
        <v>1708086.2302503039</v>
      </c>
      <c r="J197" s="467">
        <f>Taulukko9[[#This Row],[Uudistuksen mukainen rahoitusvastuu yhteensä]]-Taulukko9[[#This Row],[Nykytila, kuntien osuus työmarkkinatuesta]]</f>
        <v>718329.82025030383</v>
      </c>
      <c r="M197" s="456">
        <v>604</v>
      </c>
      <c r="N197" s="456" t="s">
        <v>197</v>
      </c>
      <c r="O197" s="458">
        <v>1439411.8060000001</v>
      </c>
      <c r="P197" s="458">
        <v>1383952.487</v>
      </c>
      <c r="Q197" s="458">
        <f>AVERAGE(Taulukko919[[#This Row],[Uudistuksen mukainen osuus työmarkkinatuesta, kotoutujia ei poistettu]:[Uudistuksen mukainen osuus työmarkkinatuesta, kotoutujat poistettu]])</f>
        <v>1411682.1465</v>
      </c>
      <c r="R197" s="458">
        <v>989756.41</v>
      </c>
      <c r="S197" s="467">
        <f>Taulukko919[[#This Row],[Uudistuksen mukainen osuus työmarkkinatuesta, keskiarvo]]-Taulukko919[[#This Row],[Nykytila, kuntien osuus työmarkkinatuesta]]</f>
        <v>421925.7365</v>
      </c>
    </row>
    <row r="198" spans="1:19">
      <c r="A198" s="456">
        <v>607</v>
      </c>
      <c r="B198" s="456" t="s">
        <v>198</v>
      </c>
      <c r="C198" s="457">
        <v>4064</v>
      </c>
      <c r="D198" s="458">
        <v>447739.6</v>
      </c>
      <c r="E198" s="458">
        <v>464986.56699999998</v>
      </c>
      <c r="F198" s="458">
        <f>Taulukko9[[#This Row],[Uudistuksen mukainen osuus työmarkkinatuesta*]]-Taulukko9[[#This Row],[Nykytila, kuntien osuus työmarkkinatuesta]]</f>
        <v>17246.967000000004</v>
      </c>
      <c r="G198" s="458">
        <v>22164.107</v>
      </c>
      <c r="H198" s="458">
        <v>88324.023874763006</v>
      </c>
      <c r="I198" s="459">
        <f>Taulukko9[[#This Row],[Uudistuksen mukainen osuus työmarkkinatuesta*]]+Taulukko9[[#This Row],[Uudistuksen mukainen osuus peruspäivärahasta]]+Taulukko9[[#This Row],[Uudistuksen mukainen osuus ansiopäivärahasta]]</f>
        <v>575474.69787476305</v>
      </c>
      <c r="J198" s="467">
        <f>Taulukko9[[#This Row],[Uudistuksen mukainen rahoitusvastuu yhteensä]]-Taulukko9[[#This Row],[Nykytila, kuntien osuus työmarkkinatuesta]]</f>
        <v>127735.09787476307</v>
      </c>
      <c r="M198" s="456">
        <v>607</v>
      </c>
      <c r="N198" s="456" t="s">
        <v>198</v>
      </c>
      <c r="O198" s="458">
        <v>465552.15899999999</v>
      </c>
      <c r="P198" s="458">
        <v>464420.97499999998</v>
      </c>
      <c r="Q198" s="458">
        <f>AVERAGE(Taulukko919[[#This Row],[Uudistuksen mukainen osuus työmarkkinatuesta, kotoutujia ei poistettu]:[Uudistuksen mukainen osuus työmarkkinatuesta, kotoutujat poistettu]])</f>
        <v>464986.56699999998</v>
      </c>
      <c r="R198" s="458">
        <v>447739.6</v>
      </c>
      <c r="S198" s="467">
        <f>Taulukko919[[#This Row],[Uudistuksen mukainen osuus työmarkkinatuesta, keskiarvo]]-Taulukko919[[#This Row],[Nykytila, kuntien osuus työmarkkinatuesta]]</f>
        <v>17246.967000000004</v>
      </c>
    </row>
    <row r="199" spans="1:19">
      <c r="A199" s="456">
        <v>608</v>
      </c>
      <c r="B199" s="456" t="s">
        <v>199</v>
      </c>
      <c r="C199" s="457">
        <v>1943</v>
      </c>
      <c r="D199" s="458">
        <v>76791.899999999994</v>
      </c>
      <c r="E199" s="458">
        <v>140710.09450000001</v>
      </c>
      <c r="F199" s="458">
        <f>Taulukko9[[#This Row],[Uudistuksen mukainen osuus työmarkkinatuesta*]]-Taulukko9[[#This Row],[Nykytila, kuntien osuus työmarkkinatuesta]]</f>
        <v>63918.194500000012</v>
      </c>
      <c r="G199" s="458">
        <v>2401.8110000000001</v>
      </c>
      <c r="H199" s="458">
        <v>33615.995541662502</v>
      </c>
      <c r="I199" s="459">
        <f>Taulukko9[[#This Row],[Uudistuksen mukainen osuus työmarkkinatuesta*]]+Taulukko9[[#This Row],[Uudistuksen mukainen osuus peruspäivärahasta]]+Taulukko9[[#This Row],[Uudistuksen mukainen osuus ansiopäivärahasta]]</f>
        <v>176727.9010416625</v>
      </c>
      <c r="J199" s="467">
        <f>Taulukko9[[#This Row],[Uudistuksen mukainen rahoitusvastuu yhteensä]]-Taulukko9[[#This Row],[Nykytila, kuntien osuus työmarkkinatuesta]]</f>
        <v>99936.001041662501</v>
      </c>
      <c r="M199" s="456">
        <v>608</v>
      </c>
      <c r="N199" s="456" t="s">
        <v>199</v>
      </c>
      <c r="O199" s="458">
        <v>141397.35999999999</v>
      </c>
      <c r="P199" s="458">
        <v>140022.829</v>
      </c>
      <c r="Q199" s="458">
        <f>AVERAGE(Taulukko919[[#This Row],[Uudistuksen mukainen osuus työmarkkinatuesta, kotoutujia ei poistettu]:[Uudistuksen mukainen osuus työmarkkinatuesta, kotoutujat poistettu]])</f>
        <v>140710.09450000001</v>
      </c>
      <c r="R199" s="458">
        <v>76791.899999999994</v>
      </c>
      <c r="S199" s="467">
        <f>Taulukko919[[#This Row],[Uudistuksen mukainen osuus työmarkkinatuesta, keskiarvo]]-Taulukko919[[#This Row],[Nykytila, kuntien osuus työmarkkinatuesta]]</f>
        <v>63918.194500000012</v>
      </c>
    </row>
    <row r="200" spans="1:19">
      <c r="A200" s="456">
        <v>609</v>
      </c>
      <c r="B200" s="456" t="s">
        <v>200</v>
      </c>
      <c r="C200" s="457">
        <v>83106</v>
      </c>
      <c r="D200" s="458">
        <v>6633297.7599999998</v>
      </c>
      <c r="E200" s="458">
        <v>9281735.6420000009</v>
      </c>
      <c r="F200" s="458">
        <f>Taulukko9[[#This Row],[Uudistuksen mukainen osuus työmarkkinatuesta*]]-Taulukko9[[#This Row],[Nykytila, kuntien osuus työmarkkinatuesta]]</f>
        <v>2648437.8820000011</v>
      </c>
      <c r="G200" s="458">
        <v>373387.891</v>
      </c>
      <c r="H200" s="458">
        <v>1673884.8628370201</v>
      </c>
      <c r="I200" s="459">
        <f>Taulukko9[[#This Row],[Uudistuksen mukainen osuus työmarkkinatuesta*]]+Taulukko9[[#This Row],[Uudistuksen mukainen osuus peruspäivärahasta]]+Taulukko9[[#This Row],[Uudistuksen mukainen osuus ansiopäivärahasta]]</f>
        <v>11329008.395837022</v>
      </c>
      <c r="J200" s="467">
        <f>Taulukko9[[#This Row],[Uudistuksen mukainen rahoitusvastuu yhteensä]]-Taulukko9[[#This Row],[Nykytila, kuntien osuus työmarkkinatuesta]]</f>
        <v>4695710.6358370222</v>
      </c>
      <c r="M200" s="456">
        <v>609</v>
      </c>
      <c r="N200" s="456" t="s">
        <v>200</v>
      </c>
      <c r="O200" s="458">
        <v>9475486.5480000004</v>
      </c>
      <c r="P200" s="458">
        <v>9087984.7359999996</v>
      </c>
      <c r="Q200" s="458">
        <f>AVERAGE(Taulukko919[[#This Row],[Uudistuksen mukainen osuus työmarkkinatuesta, kotoutujia ei poistettu]:[Uudistuksen mukainen osuus työmarkkinatuesta, kotoutujat poistettu]])</f>
        <v>9281735.6420000009</v>
      </c>
      <c r="R200" s="458">
        <v>6633297.7599999998</v>
      </c>
      <c r="S200" s="467">
        <f>Taulukko919[[#This Row],[Uudistuksen mukainen osuus työmarkkinatuesta, keskiarvo]]-Taulukko919[[#This Row],[Nykytila, kuntien osuus työmarkkinatuesta]]</f>
        <v>2648437.8820000011</v>
      </c>
    </row>
    <row r="201" spans="1:19">
      <c r="A201" s="456">
        <v>611</v>
      </c>
      <c r="B201" s="456" t="s">
        <v>201</v>
      </c>
      <c r="C201" s="457">
        <v>4973</v>
      </c>
      <c r="D201" s="458">
        <v>248552.21</v>
      </c>
      <c r="E201" s="458">
        <v>262650.33549999999</v>
      </c>
      <c r="F201" s="458">
        <f>Taulukko9[[#This Row],[Uudistuksen mukainen osuus työmarkkinatuesta*]]-Taulukko9[[#This Row],[Nykytila, kuntien osuus työmarkkinatuesta]]</f>
        <v>14098.125499999995</v>
      </c>
      <c r="G201" s="458">
        <v>13923.525</v>
      </c>
      <c r="H201" s="458">
        <v>51769.6535387943</v>
      </c>
      <c r="I201" s="459">
        <f>Taulukko9[[#This Row],[Uudistuksen mukainen osuus työmarkkinatuesta*]]+Taulukko9[[#This Row],[Uudistuksen mukainen osuus peruspäivärahasta]]+Taulukko9[[#This Row],[Uudistuksen mukainen osuus ansiopäivärahasta]]</f>
        <v>328343.51403879432</v>
      </c>
      <c r="J201" s="467">
        <f>Taulukko9[[#This Row],[Uudistuksen mukainen rahoitusvastuu yhteensä]]-Taulukko9[[#This Row],[Nykytila, kuntien osuus työmarkkinatuesta]]</f>
        <v>79791.304038794333</v>
      </c>
      <c r="M201" s="456">
        <v>611</v>
      </c>
      <c r="N201" s="456" t="s">
        <v>201</v>
      </c>
      <c r="O201" s="458">
        <v>266285.97399999999</v>
      </c>
      <c r="P201" s="458">
        <v>259014.69699999999</v>
      </c>
      <c r="Q201" s="458">
        <f>AVERAGE(Taulukko919[[#This Row],[Uudistuksen mukainen osuus työmarkkinatuesta, kotoutujia ei poistettu]:[Uudistuksen mukainen osuus työmarkkinatuesta, kotoutujat poistettu]])</f>
        <v>262650.33549999999</v>
      </c>
      <c r="R201" s="458">
        <v>248552.21</v>
      </c>
      <c r="S201" s="467">
        <f>Taulukko919[[#This Row],[Uudistuksen mukainen osuus työmarkkinatuesta, keskiarvo]]-Taulukko919[[#This Row],[Nykytila, kuntien osuus työmarkkinatuesta]]</f>
        <v>14098.125499999995</v>
      </c>
    </row>
    <row r="202" spans="1:19">
      <c r="A202" s="456">
        <v>614</v>
      </c>
      <c r="B202" s="456" t="s">
        <v>202</v>
      </c>
      <c r="C202" s="457">
        <v>2923</v>
      </c>
      <c r="D202" s="458">
        <v>159079.87</v>
      </c>
      <c r="E202" s="458">
        <v>224256.60200000001</v>
      </c>
      <c r="F202" s="458">
        <f>Taulukko9[[#This Row],[Uudistuksen mukainen osuus työmarkkinatuesta*]]-Taulukko9[[#This Row],[Nykytila, kuntien osuus työmarkkinatuesta]]</f>
        <v>65176.732000000018</v>
      </c>
      <c r="G202" s="458">
        <v>9344.5419999999995</v>
      </c>
      <c r="H202" s="458">
        <v>96700.265125027596</v>
      </c>
      <c r="I202" s="459">
        <f>Taulukko9[[#This Row],[Uudistuksen mukainen osuus työmarkkinatuesta*]]+Taulukko9[[#This Row],[Uudistuksen mukainen osuus peruspäivärahasta]]+Taulukko9[[#This Row],[Uudistuksen mukainen osuus ansiopäivärahasta]]</f>
        <v>330301.4091250276</v>
      </c>
      <c r="J202" s="467">
        <f>Taulukko9[[#This Row],[Uudistuksen mukainen rahoitusvastuu yhteensä]]-Taulukko9[[#This Row],[Nykytila, kuntien osuus työmarkkinatuesta]]</f>
        <v>171221.5391250276</v>
      </c>
      <c r="M202" s="456">
        <v>614</v>
      </c>
      <c r="N202" s="456" t="s">
        <v>202</v>
      </c>
      <c r="O202" s="458">
        <v>224256.60200000001</v>
      </c>
      <c r="P202" s="458">
        <v>224256.60200000001</v>
      </c>
      <c r="Q202" s="458">
        <f>AVERAGE(Taulukko919[[#This Row],[Uudistuksen mukainen osuus työmarkkinatuesta, kotoutujia ei poistettu]:[Uudistuksen mukainen osuus työmarkkinatuesta, kotoutujat poistettu]])</f>
        <v>224256.60200000001</v>
      </c>
      <c r="R202" s="458">
        <v>159079.87</v>
      </c>
      <c r="S202" s="467">
        <f>Taulukko919[[#This Row],[Uudistuksen mukainen osuus työmarkkinatuesta, keskiarvo]]-Taulukko919[[#This Row],[Nykytila, kuntien osuus työmarkkinatuesta]]</f>
        <v>65176.732000000018</v>
      </c>
    </row>
    <row r="203" spans="1:19">
      <c r="A203" s="456">
        <v>615</v>
      </c>
      <c r="B203" s="456" t="s">
        <v>203</v>
      </c>
      <c r="C203" s="457">
        <v>7479</v>
      </c>
      <c r="D203" s="458">
        <v>504244.22</v>
      </c>
      <c r="E203" s="458">
        <v>635918.76699999999</v>
      </c>
      <c r="F203" s="458">
        <f>Taulukko9[[#This Row],[Uudistuksen mukainen osuus työmarkkinatuesta*]]-Taulukko9[[#This Row],[Nykytila, kuntien osuus työmarkkinatuesta]]</f>
        <v>131674.54700000002</v>
      </c>
      <c r="G203" s="458">
        <v>37739.044999999998</v>
      </c>
      <c r="H203" s="458">
        <v>191880.504439293</v>
      </c>
      <c r="I203" s="459">
        <f>Taulukko9[[#This Row],[Uudistuksen mukainen osuus työmarkkinatuesta*]]+Taulukko9[[#This Row],[Uudistuksen mukainen osuus peruspäivärahasta]]+Taulukko9[[#This Row],[Uudistuksen mukainen osuus ansiopäivärahasta]]</f>
        <v>865538.31643929309</v>
      </c>
      <c r="J203" s="467">
        <f>Taulukko9[[#This Row],[Uudistuksen mukainen rahoitusvastuu yhteensä]]-Taulukko9[[#This Row],[Nykytila, kuntien osuus työmarkkinatuesta]]</f>
        <v>361294.09643929312</v>
      </c>
      <c r="M203" s="456">
        <v>615</v>
      </c>
      <c r="N203" s="456" t="s">
        <v>203</v>
      </c>
      <c r="O203" s="458">
        <v>662600.103</v>
      </c>
      <c r="P203" s="458">
        <v>609237.43099999998</v>
      </c>
      <c r="Q203" s="458">
        <f>AVERAGE(Taulukko919[[#This Row],[Uudistuksen mukainen osuus työmarkkinatuesta, kotoutujia ei poistettu]:[Uudistuksen mukainen osuus työmarkkinatuesta, kotoutujat poistettu]])</f>
        <v>635918.76699999999</v>
      </c>
      <c r="R203" s="458">
        <v>504244.22</v>
      </c>
      <c r="S203" s="467">
        <f>Taulukko919[[#This Row],[Uudistuksen mukainen osuus työmarkkinatuesta, keskiarvo]]-Taulukko919[[#This Row],[Nykytila, kuntien osuus työmarkkinatuesta]]</f>
        <v>131674.54700000002</v>
      </c>
    </row>
    <row r="204" spans="1:19">
      <c r="A204" s="456">
        <v>616</v>
      </c>
      <c r="B204" s="456" t="s">
        <v>204</v>
      </c>
      <c r="C204" s="457">
        <v>1781</v>
      </c>
      <c r="D204" s="458">
        <v>152967.76999999999</v>
      </c>
      <c r="E204" s="458">
        <v>159270.40649999998</v>
      </c>
      <c r="F204" s="458">
        <f>Taulukko9[[#This Row],[Uudistuksen mukainen osuus työmarkkinatuesta*]]-Taulukko9[[#This Row],[Nykytila, kuntien osuus työmarkkinatuesta]]</f>
        <v>6302.6364999999932</v>
      </c>
      <c r="G204" s="458">
        <v>4787.1660000000002</v>
      </c>
      <c r="H204" s="458">
        <v>25457.378345823901</v>
      </c>
      <c r="I204" s="459">
        <f>Taulukko9[[#This Row],[Uudistuksen mukainen osuus työmarkkinatuesta*]]+Taulukko9[[#This Row],[Uudistuksen mukainen osuus peruspäivärahasta]]+Taulukko9[[#This Row],[Uudistuksen mukainen osuus ansiopäivärahasta]]</f>
        <v>189514.95084582389</v>
      </c>
      <c r="J204" s="467">
        <f>Taulukko9[[#This Row],[Uudistuksen mukainen rahoitusvastuu yhteensä]]-Taulukko9[[#This Row],[Nykytila, kuntien osuus työmarkkinatuesta]]</f>
        <v>36547.180845823896</v>
      </c>
      <c r="M204" s="456">
        <v>616</v>
      </c>
      <c r="N204" s="456" t="s">
        <v>204</v>
      </c>
      <c r="O204" s="458">
        <v>161544.94</v>
      </c>
      <c r="P204" s="458">
        <v>156995.87299999999</v>
      </c>
      <c r="Q204" s="458">
        <f>AVERAGE(Taulukko919[[#This Row],[Uudistuksen mukainen osuus työmarkkinatuesta, kotoutujia ei poistettu]:[Uudistuksen mukainen osuus työmarkkinatuesta, kotoutujat poistettu]])</f>
        <v>159270.40649999998</v>
      </c>
      <c r="R204" s="458">
        <v>152967.76999999999</v>
      </c>
      <c r="S204" s="467">
        <f>Taulukko919[[#This Row],[Uudistuksen mukainen osuus työmarkkinatuesta, keskiarvo]]-Taulukko919[[#This Row],[Nykytila, kuntien osuus työmarkkinatuesta]]</f>
        <v>6302.6364999999932</v>
      </c>
    </row>
    <row r="205" spans="1:19">
      <c r="A205" s="456">
        <v>619</v>
      </c>
      <c r="B205" s="456" t="s">
        <v>205</v>
      </c>
      <c r="C205" s="457">
        <v>2650</v>
      </c>
      <c r="D205" s="458">
        <v>33988.839999999997</v>
      </c>
      <c r="E205" s="458">
        <v>174875.359</v>
      </c>
      <c r="F205" s="458">
        <f>Taulukko9[[#This Row],[Uudistuksen mukainen osuus työmarkkinatuesta*]]-Taulukko9[[#This Row],[Nykytila, kuntien osuus työmarkkinatuesta]]</f>
        <v>140886.519</v>
      </c>
      <c r="G205" s="458">
        <v>7634.0010000000002</v>
      </c>
      <c r="H205" s="458">
        <v>28136.666247024099</v>
      </c>
      <c r="I205" s="459">
        <f>Taulukko9[[#This Row],[Uudistuksen mukainen osuus työmarkkinatuesta*]]+Taulukko9[[#This Row],[Uudistuksen mukainen osuus peruspäivärahasta]]+Taulukko9[[#This Row],[Uudistuksen mukainen osuus ansiopäivärahasta]]</f>
        <v>210646.02624702407</v>
      </c>
      <c r="J205" s="467">
        <f>Taulukko9[[#This Row],[Uudistuksen mukainen rahoitusvastuu yhteensä]]-Taulukko9[[#This Row],[Nykytila, kuntien osuus työmarkkinatuesta]]</f>
        <v>176657.18624702407</v>
      </c>
      <c r="M205" s="456">
        <v>619</v>
      </c>
      <c r="N205" s="456" t="s">
        <v>205</v>
      </c>
      <c r="O205" s="458">
        <v>174875.359</v>
      </c>
      <c r="P205" s="458">
        <v>174875.359</v>
      </c>
      <c r="Q205" s="458">
        <f>AVERAGE(Taulukko919[[#This Row],[Uudistuksen mukainen osuus työmarkkinatuesta, kotoutujia ei poistettu]:[Uudistuksen mukainen osuus työmarkkinatuesta, kotoutujat poistettu]])</f>
        <v>174875.359</v>
      </c>
      <c r="R205" s="458">
        <v>33988.839999999997</v>
      </c>
      <c r="S205" s="467">
        <f>Taulukko919[[#This Row],[Uudistuksen mukainen osuus työmarkkinatuesta, keskiarvo]]-Taulukko919[[#This Row],[Nykytila, kuntien osuus työmarkkinatuesta]]</f>
        <v>140886.519</v>
      </c>
    </row>
    <row r="206" spans="1:19">
      <c r="A206" s="456">
        <v>620</v>
      </c>
      <c r="B206" s="456" t="s">
        <v>206</v>
      </c>
      <c r="C206" s="457">
        <v>2359</v>
      </c>
      <c r="D206" s="458">
        <v>201131.25</v>
      </c>
      <c r="E206" s="458">
        <v>279440.95500000002</v>
      </c>
      <c r="F206" s="458">
        <f>Taulukko9[[#This Row],[Uudistuksen mukainen osuus työmarkkinatuesta*]]-Taulukko9[[#This Row],[Nykytila, kuntien osuus työmarkkinatuesta]]</f>
        <v>78309.705000000016</v>
      </c>
      <c r="G206" s="458">
        <v>16192.111000000001</v>
      </c>
      <c r="H206" s="458">
        <v>64617.640011820797</v>
      </c>
      <c r="I206" s="459">
        <f>Taulukko9[[#This Row],[Uudistuksen mukainen osuus työmarkkinatuesta*]]+Taulukko9[[#This Row],[Uudistuksen mukainen osuus peruspäivärahasta]]+Taulukko9[[#This Row],[Uudistuksen mukainen osuus ansiopäivärahasta]]</f>
        <v>360250.70601182082</v>
      </c>
      <c r="J206" s="467">
        <f>Taulukko9[[#This Row],[Uudistuksen mukainen rahoitusvastuu yhteensä]]-Taulukko9[[#This Row],[Nykytila, kuntien osuus työmarkkinatuesta]]</f>
        <v>159119.45601182082</v>
      </c>
      <c r="M206" s="456">
        <v>620</v>
      </c>
      <c r="N206" s="456" t="s">
        <v>206</v>
      </c>
      <c r="O206" s="458">
        <v>280181.86800000002</v>
      </c>
      <c r="P206" s="458">
        <v>278700.04200000002</v>
      </c>
      <c r="Q206" s="458">
        <f>AVERAGE(Taulukko919[[#This Row],[Uudistuksen mukainen osuus työmarkkinatuesta, kotoutujia ei poistettu]:[Uudistuksen mukainen osuus työmarkkinatuesta, kotoutujat poistettu]])</f>
        <v>279440.95500000002</v>
      </c>
      <c r="R206" s="458">
        <v>201131.25</v>
      </c>
      <c r="S206" s="467">
        <f>Taulukko919[[#This Row],[Uudistuksen mukainen osuus työmarkkinatuesta, keskiarvo]]-Taulukko919[[#This Row],[Nykytila, kuntien osuus työmarkkinatuesta]]</f>
        <v>78309.705000000016</v>
      </c>
    </row>
    <row r="207" spans="1:19">
      <c r="A207" s="456">
        <v>623</v>
      </c>
      <c r="B207" s="456" t="s">
        <v>207</v>
      </c>
      <c r="C207" s="457">
        <v>2108</v>
      </c>
      <c r="D207" s="458">
        <v>113557.13</v>
      </c>
      <c r="E207" s="458">
        <v>149449.72100000002</v>
      </c>
      <c r="F207" s="458">
        <f>Taulukko9[[#This Row],[Uudistuksen mukainen osuus työmarkkinatuesta*]]-Taulukko9[[#This Row],[Nykytila, kuntien osuus työmarkkinatuesta]]</f>
        <v>35892.591000000015</v>
      </c>
      <c r="G207" s="458">
        <v>2251.7930000000001</v>
      </c>
      <c r="H207" s="458">
        <v>24830.6370160025</v>
      </c>
      <c r="I207" s="459">
        <f>Taulukko9[[#This Row],[Uudistuksen mukainen osuus työmarkkinatuesta*]]+Taulukko9[[#This Row],[Uudistuksen mukainen osuus peruspäivärahasta]]+Taulukko9[[#This Row],[Uudistuksen mukainen osuus ansiopäivärahasta]]</f>
        <v>176532.15101600252</v>
      </c>
      <c r="J207" s="467">
        <f>Taulukko9[[#This Row],[Uudistuksen mukainen rahoitusvastuu yhteensä]]-Taulukko9[[#This Row],[Nykytila, kuntien osuus työmarkkinatuesta]]</f>
        <v>62975.021016002516</v>
      </c>
      <c r="M207" s="456">
        <v>623</v>
      </c>
      <c r="N207" s="456" t="s">
        <v>207</v>
      </c>
      <c r="O207" s="458">
        <v>150969.37100000001</v>
      </c>
      <c r="P207" s="458">
        <v>147930.071</v>
      </c>
      <c r="Q207" s="458">
        <f>AVERAGE(Taulukko919[[#This Row],[Uudistuksen mukainen osuus työmarkkinatuesta, kotoutujia ei poistettu]:[Uudistuksen mukainen osuus työmarkkinatuesta, kotoutujat poistettu]])</f>
        <v>149449.72100000002</v>
      </c>
      <c r="R207" s="458">
        <v>113557.13</v>
      </c>
      <c r="S207" s="467">
        <f>Taulukko919[[#This Row],[Uudistuksen mukainen osuus työmarkkinatuesta, keskiarvo]]-Taulukko919[[#This Row],[Nykytila, kuntien osuus työmarkkinatuesta]]</f>
        <v>35892.591000000015</v>
      </c>
    </row>
    <row r="208" spans="1:19">
      <c r="A208" s="456">
        <v>624</v>
      </c>
      <c r="B208" s="456" t="s">
        <v>208</v>
      </c>
      <c r="C208" s="457">
        <v>5065</v>
      </c>
      <c r="D208" s="458">
        <v>378160.26</v>
      </c>
      <c r="E208" s="458">
        <v>413155.22499999998</v>
      </c>
      <c r="F208" s="458">
        <f>Taulukko9[[#This Row],[Uudistuksen mukainen osuus työmarkkinatuesta*]]-Taulukko9[[#This Row],[Nykytila, kuntien osuus työmarkkinatuesta]]</f>
        <v>34994.964999999967</v>
      </c>
      <c r="G208" s="458">
        <v>22884.491000000002</v>
      </c>
      <c r="H208" s="458">
        <v>76833.472138857702</v>
      </c>
      <c r="I208" s="459">
        <f>Taulukko9[[#This Row],[Uudistuksen mukainen osuus työmarkkinatuesta*]]+Taulukko9[[#This Row],[Uudistuksen mukainen osuus peruspäivärahasta]]+Taulukko9[[#This Row],[Uudistuksen mukainen osuus ansiopäivärahasta]]</f>
        <v>512873.18813885766</v>
      </c>
      <c r="J208" s="467">
        <f>Taulukko9[[#This Row],[Uudistuksen mukainen rahoitusvastuu yhteensä]]-Taulukko9[[#This Row],[Nykytila, kuntien osuus työmarkkinatuesta]]</f>
        <v>134712.92813885765</v>
      </c>
      <c r="M208" s="456">
        <v>624</v>
      </c>
      <c r="N208" s="456" t="s">
        <v>208</v>
      </c>
      <c r="O208" s="458">
        <v>418743.13199999998</v>
      </c>
      <c r="P208" s="458">
        <v>407567.31800000003</v>
      </c>
      <c r="Q208" s="458">
        <f>AVERAGE(Taulukko919[[#This Row],[Uudistuksen mukainen osuus työmarkkinatuesta, kotoutujia ei poistettu]:[Uudistuksen mukainen osuus työmarkkinatuesta, kotoutujat poistettu]])</f>
        <v>413155.22499999998</v>
      </c>
      <c r="R208" s="458">
        <v>378160.26</v>
      </c>
      <c r="S208" s="467">
        <f>Taulukko919[[#This Row],[Uudistuksen mukainen osuus työmarkkinatuesta, keskiarvo]]-Taulukko919[[#This Row],[Nykytila, kuntien osuus työmarkkinatuesta]]</f>
        <v>34994.964999999967</v>
      </c>
    </row>
    <row r="209" spans="1:19">
      <c r="A209" s="456">
        <v>625</v>
      </c>
      <c r="B209" s="456" t="s">
        <v>209</v>
      </c>
      <c r="C209" s="457">
        <v>2980</v>
      </c>
      <c r="D209" s="458">
        <v>227316.07</v>
      </c>
      <c r="E209" s="458">
        <v>252199.48550000001</v>
      </c>
      <c r="F209" s="458">
        <f>Taulukko9[[#This Row],[Uudistuksen mukainen osuus työmarkkinatuesta*]]-Taulukko9[[#This Row],[Nykytila, kuntien osuus työmarkkinatuesta]]</f>
        <v>24883.415500000003</v>
      </c>
      <c r="G209" s="458">
        <v>13730.213</v>
      </c>
      <c r="H209" s="458">
        <v>31642.677788046101</v>
      </c>
      <c r="I209" s="459">
        <f>Taulukko9[[#This Row],[Uudistuksen mukainen osuus työmarkkinatuesta*]]+Taulukko9[[#This Row],[Uudistuksen mukainen osuus peruspäivärahasta]]+Taulukko9[[#This Row],[Uudistuksen mukainen osuus ansiopäivärahasta]]</f>
        <v>297572.37628804613</v>
      </c>
      <c r="J209" s="467">
        <f>Taulukko9[[#This Row],[Uudistuksen mukainen rahoitusvastuu yhteensä]]-Taulukko9[[#This Row],[Nykytila, kuntien osuus työmarkkinatuesta]]</f>
        <v>70256.306288046122</v>
      </c>
      <c r="M209" s="456">
        <v>625</v>
      </c>
      <c r="N209" s="456" t="s">
        <v>209</v>
      </c>
      <c r="O209" s="458">
        <v>255925.59299999999</v>
      </c>
      <c r="P209" s="458">
        <v>248473.378</v>
      </c>
      <c r="Q209" s="458">
        <f>AVERAGE(Taulukko919[[#This Row],[Uudistuksen mukainen osuus työmarkkinatuesta, kotoutujia ei poistettu]:[Uudistuksen mukainen osuus työmarkkinatuesta, kotoutujat poistettu]])</f>
        <v>252199.48550000001</v>
      </c>
      <c r="R209" s="458">
        <v>227316.07</v>
      </c>
      <c r="S209" s="467">
        <f>Taulukko919[[#This Row],[Uudistuksen mukainen osuus työmarkkinatuesta, keskiarvo]]-Taulukko919[[#This Row],[Nykytila, kuntien osuus työmarkkinatuesta]]</f>
        <v>24883.415500000003</v>
      </c>
    </row>
    <row r="210" spans="1:19">
      <c r="A210" s="456">
        <v>626</v>
      </c>
      <c r="B210" s="456" t="s">
        <v>210</v>
      </c>
      <c r="C210" s="457">
        <v>4756</v>
      </c>
      <c r="D210" s="458">
        <v>251474.86</v>
      </c>
      <c r="E210" s="458">
        <v>398579.89300000004</v>
      </c>
      <c r="F210" s="458">
        <f>Taulukko9[[#This Row],[Uudistuksen mukainen osuus työmarkkinatuesta*]]-Taulukko9[[#This Row],[Nykytila, kuntien osuus työmarkkinatuesta]]</f>
        <v>147105.03300000005</v>
      </c>
      <c r="G210" s="458">
        <v>24417.038</v>
      </c>
      <c r="H210" s="458">
        <v>108808.55620259</v>
      </c>
      <c r="I210" s="459">
        <f>Taulukko9[[#This Row],[Uudistuksen mukainen osuus työmarkkinatuesta*]]+Taulukko9[[#This Row],[Uudistuksen mukainen osuus peruspäivärahasta]]+Taulukko9[[#This Row],[Uudistuksen mukainen osuus ansiopäivärahasta]]</f>
        <v>531805.4872025901</v>
      </c>
      <c r="J210" s="467">
        <f>Taulukko9[[#This Row],[Uudistuksen mukainen rahoitusvastuu yhteensä]]-Taulukko9[[#This Row],[Nykytila, kuntien osuus työmarkkinatuesta]]</f>
        <v>280330.62720259011</v>
      </c>
      <c r="M210" s="456">
        <v>626</v>
      </c>
      <c r="N210" s="456" t="s">
        <v>210</v>
      </c>
      <c r="O210" s="458">
        <v>400144.95699999999</v>
      </c>
      <c r="P210" s="458">
        <v>397014.82900000003</v>
      </c>
      <c r="Q210" s="458">
        <f>AVERAGE(Taulukko919[[#This Row],[Uudistuksen mukainen osuus työmarkkinatuesta, kotoutujia ei poistettu]:[Uudistuksen mukainen osuus työmarkkinatuesta, kotoutujat poistettu]])</f>
        <v>398579.89300000004</v>
      </c>
      <c r="R210" s="458">
        <v>251474.86</v>
      </c>
      <c r="S210" s="467">
        <f>Taulukko919[[#This Row],[Uudistuksen mukainen osuus työmarkkinatuesta, keskiarvo]]-Taulukko919[[#This Row],[Nykytila, kuntien osuus työmarkkinatuesta]]</f>
        <v>147105.03300000005</v>
      </c>
    </row>
    <row r="211" spans="1:19">
      <c r="A211" s="456">
        <v>630</v>
      </c>
      <c r="B211" s="456" t="s">
        <v>211</v>
      </c>
      <c r="C211" s="457">
        <v>1646</v>
      </c>
      <c r="D211" s="458">
        <v>68008.009999999995</v>
      </c>
      <c r="E211" s="458">
        <v>73649.293999999994</v>
      </c>
      <c r="F211" s="458">
        <f>Taulukko9[[#This Row],[Uudistuksen mukainen osuus työmarkkinatuesta*]]-Taulukko9[[#This Row],[Nykytila, kuntien osuus työmarkkinatuesta]]</f>
        <v>5641.2839999999997</v>
      </c>
      <c r="G211" s="458">
        <v>3876.0070000000001</v>
      </c>
      <c r="H211" s="458">
        <v>22700.586101606401</v>
      </c>
      <c r="I211" s="459">
        <f>Taulukko9[[#This Row],[Uudistuksen mukainen osuus työmarkkinatuesta*]]+Taulukko9[[#This Row],[Uudistuksen mukainen osuus peruspäivärahasta]]+Taulukko9[[#This Row],[Uudistuksen mukainen osuus ansiopäivärahasta]]</f>
        <v>100225.88710160639</v>
      </c>
      <c r="J211" s="467">
        <f>Taulukko9[[#This Row],[Uudistuksen mukainen rahoitusvastuu yhteensä]]-Taulukko9[[#This Row],[Nykytila, kuntien osuus työmarkkinatuesta]]</f>
        <v>32217.877101606398</v>
      </c>
      <c r="M211" s="456">
        <v>630</v>
      </c>
      <c r="N211" s="456" t="s">
        <v>211</v>
      </c>
      <c r="O211" s="458">
        <v>73649.293999999994</v>
      </c>
      <c r="P211" s="458">
        <v>73649.293999999994</v>
      </c>
      <c r="Q211" s="458">
        <f>AVERAGE(Taulukko919[[#This Row],[Uudistuksen mukainen osuus työmarkkinatuesta, kotoutujia ei poistettu]:[Uudistuksen mukainen osuus työmarkkinatuesta, kotoutujat poistettu]])</f>
        <v>73649.293999999994</v>
      </c>
      <c r="R211" s="458">
        <v>68008.009999999995</v>
      </c>
      <c r="S211" s="467">
        <f>Taulukko919[[#This Row],[Uudistuksen mukainen osuus työmarkkinatuesta, keskiarvo]]-Taulukko919[[#This Row],[Nykytila, kuntien osuus työmarkkinatuesta]]</f>
        <v>5641.2839999999997</v>
      </c>
    </row>
    <row r="212" spans="1:19">
      <c r="A212" s="456">
        <v>631</v>
      </c>
      <c r="B212" s="456" t="s">
        <v>212</v>
      </c>
      <c r="C212" s="457">
        <v>1930</v>
      </c>
      <c r="D212" s="458">
        <v>96976.73</v>
      </c>
      <c r="E212" s="458">
        <v>139350.10500000001</v>
      </c>
      <c r="F212" s="458">
        <f>Taulukko9[[#This Row],[Uudistuksen mukainen osuus työmarkkinatuesta*]]-Taulukko9[[#This Row],[Nykytila, kuntien osuus työmarkkinatuesta]]</f>
        <v>42373.375000000015</v>
      </c>
      <c r="G212" s="458">
        <v>4904.3519999999999</v>
      </c>
      <c r="H212" s="458">
        <v>33701.874978083397</v>
      </c>
      <c r="I212" s="459">
        <f>Taulukko9[[#This Row],[Uudistuksen mukainen osuus työmarkkinatuesta*]]+Taulukko9[[#This Row],[Uudistuksen mukainen osuus peruspäivärahasta]]+Taulukko9[[#This Row],[Uudistuksen mukainen osuus ansiopäivärahasta]]</f>
        <v>177956.33197808341</v>
      </c>
      <c r="J212" s="467">
        <f>Taulukko9[[#This Row],[Uudistuksen mukainen rahoitusvastuu yhteensä]]-Taulukko9[[#This Row],[Nykytila, kuntien osuus työmarkkinatuesta]]</f>
        <v>80979.601978083418</v>
      </c>
      <c r="M212" s="456">
        <v>631</v>
      </c>
      <c r="N212" s="456" t="s">
        <v>212</v>
      </c>
      <c r="O212" s="458">
        <v>139350.10500000001</v>
      </c>
      <c r="P212" s="458">
        <v>139350.10500000001</v>
      </c>
      <c r="Q212" s="458">
        <f>AVERAGE(Taulukko919[[#This Row],[Uudistuksen mukainen osuus työmarkkinatuesta, kotoutujia ei poistettu]:[Uudistuksen mukainen osuus työmarkkinatuesta, kotoutujat poistettu]])</f>
        <v>139350.10500000001</v>
      </c>
      <c r="R212" s="458">
        <v>96976.73</v>
      </c>
      <c r="S212" s="467">
        <f>Taulukko919[[#This Row],[Uudistuksen mukainen osuus työmarkkinatuesta, keskiarvo]]-Taulukko919[[#This Row],[Nykytila, kuntien osuus työmarkkinatuesta]]</f>
        <v>42373.375000000015</v>
      </c>
    </row>
    <row r="213" spans="1:19">
      <c r="A213" s="456">
        <v>635</v>
      </c>
      <c r="B213" s="456" t="s">
        <v>213</v>
      </c>
      <c r="C213" s="457">
        <v>6337</v>
      </c>
      <c r="D213" s="458">
        <v>112821.77</v>
      </c>
      <c r="E213" s="458">
        <v>318620.18449999997</v>
      </c>
      <c r="F213" s="458">
        <f>Taulukko9[[#This Row],[Uudistuksen mukainen osuus työmarkkinatuesta*]]-Taulukko9[[#This Row],[Nykytila, kuntien osuus työmarkkinatuesta]]</f>
        <v>205798.41449999996</v>
      </c>
      <c r="G213" s="458">
        <v>8044.83</v>
      </c>
      <c r="H213" s="458">
        <v>94463.775272222396</v>
      </c>
      <c r="I213" s="459">
        <f>Taulukko9[[#This Row],[Uudistuksen mukainen osuus työmarkkinatuesta*]]+Taulukko9[[#This Row],[Uudistuksen mukainen osuus peruspäivärahasta]]+Taulukko9[[#This Row],[Uudistuksen mukainen osuus ansiopäivärahasta]]</f>
        <v>421128.7897722224</v>
      </c>
      <c r="J213" s="467">
        <f>Taulukko9[[#This Row],[Uudistuksen mukainen rahoitusvastuu yhteensä]]-Taulukko9[[#This Row],[Nykytila, kuntien osuus työmarkkinatuesta]]</f>
        <v>308307.01977222238</v>
      </c>
      <c r="M213" s="456">
        <v>635</v>
      </c>
      <c r="N213" s="456" t="s">
        <v>213</v>
      </c>
      <c r="O213" s="458">
        <v>322058.01699999999</v>
      </c>
      <c r="P213" s="458">
        <v>315182.35200000001</v>
      </c>
      <c r="Q213" s="458">
        <f>AVERAGE(Taulukko919[[#This Row],[Uudistuksen mukainen osuus työmarkkinatuesta, kotoutujia ei poistettu]:[Uudistuksen mukainen osuus työmarkkinatuesta, kotoutujat poistettu]])</f>
        <v>318620.18449999997</v>
      </c>
      <c r="R213" s="458">
        <v>112821.77</v>
      </c>
      <c r="S213" s="467">
        <f>Taulukko919[[#This Row],[Uudistuksen mukainen osuus työmarkkinatuesta, keskiarvo]]-Taulukko919[[#This Row],[Nykytila, kuntien osuus työmarkkinatuesta]]</f>
        <v>205798.41449999996</v>
      </c>
    </row>
    <row r="214" spans="1:19">
      <c r="A214" s="456">
        <v>636</v>
      </c>
      <c r="B214" s="456" t="s">
        <v>214</v>
      </c>
      <c r="C214" s="457">
        <v>8130</v>
      </c>
      <c r="D214" s="458">
        <v>417223.95</v>
      </c>
      <c r="E214" s="458">
        <v>451560.223</v>
      </c>
      <c r="F214" s="458">
        <f>Taulukko9[[#This Row],[Uudistuksen mukainen osuus työmarkkinatuesta*]]-Taulukko9[[#This Row],[Nykytila, kuntien osuus työmarkkinatuesta]]</f>
        <v>34336.272999999986</v>
      </c>
      <c r="G214" s="458">
        <v>22095.643</v>
      </c>
      <c r="H214" s="458">
        <v>100653.497842774</v>
      </c>
      <c r="I214" s="459">
        <f>Taulukko9[[#This Row],[Uudistuksen mukainen osuus työmarkkinatuesta*]]+Taulukko9[[#This Row],[Uudistuksen mukainen osuus peruspäivärahasta]]+Taulukko9[[#This Row],[Uudistuksen mukainen osuus ansiopäivärahasta]]</f>
        <v>574309.36384277395</v>
      </c>
      <c r="J214" s="467">
        <f>Taulukko9[[#This Row],[Uudistuksen mukainen rahoitusvastuu yhteensä]]-Taulukko9[[#This Row],[Nykytila, kuntien osuus työmarkkinatuesta]]</f>
        <v>157085.41384277394</v>
      </c>
      <c r="M214" s="456">
        <v>636</v>
      </c>
      <c r="N214" s="456" t="s">
        <v>214</v>
      </c>
      <c r="O214" s="458">
        <v>456633.31599999999</v>
      </c>
      <c r="P214" s="458">
        <v>446487.13</v>
      </c>
      <c r="Q214" s="458">
        <f>AVERAGE(Taulukko919[[#This Row],[Uudistuksen mukainen osuus työmarkkinatuesta, kotoutujia ei poistettu]:[Uudistuksen mukainen osuus työmarkkinatuesta, kotoutujat poistettu]])</f>
        <v>451560.223</v>
      </c>
      <c r="R214" s="458">
        <v>417223.95</v>
      </c>
      <c r="S214" s="467">
        <f>Taulukko919[[#This Row],[Uudistuksen mukainen osuus työmarkkinatuesta, keskiarvo]]-Taulukko919[[#This Row],[Nykytila, kuntien osuus työmarkkinatuesta]]</f>
        <v>34336.272999999986</v>
      </c>
    </row>
    <row r="215" spans="1:19">
      <c r="A215" s="456">
        <v>638</v>
      </c>
      <c r="B215" s="456" t="s">
        <v>215</v>
      </c>
      <c r="C215" s="457">
        <v>51289</v>
      </c>
      <c r="D215" s="458">
        <v>5111274.3899999997</v>
      </c>
      <c r="E215" s="458">
        <v>5611518.2220000001</v>
      </c>
      <c r="F215" s="458">
        <f>Taulukko9[[#This Row],[Uudistuksen mukainen osuus työmarkkinatuesta*]]-Taulukko9[[#This Row],[Nykytila, kuntien osuus työmarkkinatuesta]]</f>
        <v>500243.8320000004</v>
      </c>
      <c r="G215" s="458">
        <v>184498.45499999999</v>
      </c>
      <c r="H215" s="458">
        <v>570675.27683029103</v>
      </c>
      <c r="I215" s="459">
        <f>Taulukko9[[#This Row],[Uudistuksen mukainen osuus työmarkkinatuesta*]]+Taulukko9[[#This Row],[Uudistuksen mukainen osuus peruspäivärahasta]]+Taulukko9[[#This Row],[Uudistuksen mukainen osuus ansiopäivärahasta]]</f>
        <v>6366691.9538302915</v>
      </c>
      <c r="J215" s="467">
        <f>Taulukko9[[#This Row],[Uudistuksen mukainen rahoitusvastuu yhteensä]]-Taulukko9[[#This Row],[Nykytila, kuntien osuus työmarkkinatuesta]]</f>
        <v>1255417.5638302919</v>
      </c>
      <c r="M215" s="456">
        <v>638</v>
      </c>
      <c r="N215" s="456" t="s">
        <v>215</v>
      </c>
      <c r="O215" s="458">
        <v>5783677.8959999997</v>
      </c>
      <c r="P215" s="458">
        <v>5439358.5480000004</v>
      </c>
      <c r="Q215" s="458">
        <f>AVERAGE(Taulukko919[[#This Row],[Uudistuksen mukainen osuus työmarkkinatuesta, kotoutujia ei poistettu]:[Uudistuksen mukainen osuus työmarkkinatuesta, kotoutujat poistettu]])</f>
        <v>5611518.2220000001</v>
      </c>
      <c r="R215" s="458">
        <v>5111274.3899999997</v>
      </c>
      <c r="S215" s="467">
        <f>Taulukko919[[#This Row],[Uudistuksen mukainen osuus työmarkkinatuesta, keskiarvo]]-Taulukko919[[#This Row],[Nykytila, kuntien osuus työmarkkinatuesta]]</f>
        <v>500243.8320000004</v>
      </c>
    </row>
    <row r="216" spans="1:19">
      <c r="A216" s="456">
        <v>678</v>
      </c>
      <c r="B216" s="456" t="s">
        <v>216</v>
      </c>
      <c r="C216" s="457">
        <v>23797</v>
      </c>
      <c r="D216" s="458">
        <v>2138828.04</v>
      </c>
      <c r="E216" s="458">
        <v>2664801.5010000002</v>
      </c>
      <c r="F216" s="458">
        <f>Taulukko9[[#This Row],[Uudistuksen mukainen osuus työmarkkinatuesta*]]-Taulukko9[[#This Row],[Nykytila, kuntien osuus työmarkkinatuesta]]</f>
        <v>525973.46100000013</v>
      </c>
      <c r="G216" s="458">
        <v>78196.641000000003</v>
      </c>
      <c r="H216" s="458">
        <v>416324.661785579</v>
      </c>
      <c r="I216" s="459">
        <f>Taulukko9[[#This Row],[Uudistuksen mukainen osuus työmarkkinatuesta*]]+Taulukko9[[#This Row],[Uudistuksen mukainen osuus peruspäivärahasta]]+Taulukko9[[#This Row],[Uudistuksen mukainen osuus ansiopäivärahasta]]</f>
        <v>3159322.8037855788</v>
      </c>
      <c r="J216" s="467">
        <f>Taulukko9[[#This Row],[Uudistuksen mukainen rahoitusvastuu yhteensä]]-Taulukko9[[#This Row],[Nykytila, kuntien osuus työmarkkinatuesta]]</f>
        <v>1020494.7637855788</v>
      </c>
      <c r="M216" s="456">
        <v>678</v>
      </c>
      <c r="N216" s="456" t="s">
        <v>216</v>
      </c>
      <c r="O216" s="458">
        <v>2709042.577</v>
      </c>
      <c r="P216" s="458">
        <v>2620560.4249999998</v>
      </c>
      <c r="Q216" s="458">
        <f>AVERAGE(Taulukko919[[#This Row],[Uudistuksen mukainen osuus työmarkkinatuesta, kotoutujia ei poistettu]:[Uudistuksen mukainen osuus työmarkkinatuesta, kotoutujat poistettu]])</f>
        <v>2664801.5010000002</v>
      </c>
      <c r="R216" s="458">
        <v>2138828.04</v>
      </c>
      <c r="S216" s="467">
        <f>Taulukko919[[#This Row],[Uudistuksen mukainen osuus työmarkkinatuesta, keskiarvo]]-Taulukko919[[#This Row],[Nykytila, kuntien osuus työmarkkinatuesta]]</f>
        <v>525973.46100000013</v>
      </c>
    </row>
    <row r="217" spans="1:19">
      <c r="A217" s="456">
        <v>680</v>
      </c>
      <c r="B217" s="456" t="s">
        <v>217</v>
      </c>
      <c r="C217" s="457">
        <v>25331</v>
      </c>
      <c r="D217" s="458">
        <v>789960.67</v>
      </c>
      <c r="E217" s="458">
        <v>1712496.2555</v>
      </c>
      <c r="F217" s="458">
        <f>Taulukko9[[#This Row],[Uudistuksen mukainen osuus työmarkkinatuesta*]]-Taulukko9[[#This Row],[Nykytila, kuntien osuus työmarkkinatuesta]]</f>
        <v>922535.58549999993</v>
      </c>
      <c r="G217" s="458">
        <v>109884.371</v>
      </c>
      <c r="H217" s="458">
        <v>350812.52733485401</v>
      </c>
      <c r="I217" s="459">
        <f>Taulukko9[[#This Row],[Uudistuksen mukainen osuus työmarkkinatuesta*]]+Taulukko9[[#This Row],[Uudistuksen mukainen osuus peruspäivärahasta]]+Taulukko9[[#This Row],[Uudistuksen mukainen osuus ansiopäivärahasta]]</f>
        <v>2173193.1538348543</v>
      </c>
      <c r="J217" s="467">
        <f>Taulukko9[[#This Row],[Uudistuksen mukainen rahoitusvastuu yhteensä]]-Taulukko9[[#This Row],[Nykytila, kuntien osuus työmarkkinatuesta]]</f>
        <v>1383232.4838348543</v>
      </c>
      <c r="M217" s="456">
        <v>680</v>
      </c>
      <c r="N217" s="456" t="s">
        <v>217</v>
      </c>
      <c r="O217" s="458">
        <v>1825002.6740000001</v>
      </c>
      <c r="P217" s="458">
        <v>1599989.8370000001</v>
      </c>
      <c r="Q217" s="458">
        <f>AVERAGE(Taulukko919[[#This Row],[Uudistuksen mukainen osuus työmarkkinatuesta, kotoutujia ei poistettu]:[Uudistuksen mukainen osuus työmarkkinatuesta, kotoutujat poistettu]])</f>
        <v>1712496.2555</v>
      </c>
      <c r="R217" s="458">
        <v>789960.67</v>
      </c>
      <c r="S217" s="467">
        <f>Taulukko919[[#This Row],[Uudistuksen mukainen osuus työmarkkinatuesta, keskiarvo]]-Taulukko919[[#This Row],[Nykytila, kuntien osuus työmarkkinatuesta]]</f>
        <v>922535.58549999993</v>
      </c>
    </row>
    <row r="218" spans="1:19">
      <c r="A218" s="456">
        <v>681</v>
      </c>
      <c r="B218" s="456" t="s">
        <v>218</v>
      </c>
      <c r="C218" s="457">
        <v>3297</v>
      </c>
      <c r="D218" s="458">
        <v>166078.43</v>
      </c>
      <c r="E218" s="458">
        <v>224150.7335</v>
      </c>
      <c r="F218" s="458">
        <f>Taulukko9[[#This Row],[Uudistuksen mukainen osuus työmarkkinatuesta*]]-Taulukko9[[#This Row],[Nykytila, kuntien osuus työmarkkinatuesta]]</f>
        <v>58072.303500000009</v>
      </c>
      <c r="G218" s="458">
        <v>13942.704</v>
      </c>
      <c r="H218" s="458">
        <v>36711.098771461002</v>
      </c>
      <c r="I218" s="459">
        <f>Taulukko9[[#This Row],[Uudistuksen mukainen osuus työmarkkinatuesta*]]+Taulukko9[[#This Row],[Uudistuksen mukainen osuus peruspäivärahasta]]+Taulukko9[[#This Row],[Uudistuksen mukainen osuus ansiopäivärahasta]]</f>
        <v>274804.53627146099</v>
      </c>
      <c r="J218" s="467">
        <f>Taulukko9[[#This Row],[Uudistuksen mukainen rahoitusvastuu yhteensä]]-Taulukko9[[#This Row],[Nykytila, kuntien osuus työmarkkinatuesta]]</f>
        <v>108726.106271461</v>
      </c>
      <c r="M218" s="456">
        <v>681</v>
      </c>
      <c r="N218" s="456" t="s">
        <v>218</v>
      </c>
      <c r="O218" s="458">
        <v>226793.22899999999</v>
      </c>
      <c r="P218" s="458">
        <v>221508.23800000001</v>
      </c>
      <c r="Q218" s="458">
        <f>AVERAGE(Taulukko919[[#This Row],[Uudistuksen mukainen osuus työmarkkinatuesta, kotoutujia ei poistettu]:[Uudistuksen mukainen osuus työmarkkinatuesta, kotoutujat poistettu]])</f>
        <v>224150.7335</v>
      </c>
      <c r="R218" s="458">
        <v>166078.43</v>
      </c>
      <c r="S218" s="467">
        <f>Taulukko919[[#This Row],[Uudistuksen mukainen osuus työmarkkinatuesta, keskiarvo]]-Taulukko919[[#This Row],[Nykytila, kuntien osuus työmarkkinatuesta]]</f>
        <v>58072.303500000009</v>
      </c>
    </row>
    <row r="219" spans="1:19">
      <c r="A219" s="456">
        <v>683</v>
      </c>
      <c r="B219" s="456" t="s">
        <v>219</v>
      </c>
      <c r="C219" s="457">
        <v>3599</v>
      </c>
      <c r="D219" s="458">
        <v>150654.10999999999</v>
      </c>
      <c r="E219" s="458">
        <v>247366.90399999998</v>
      </c>
      <c r="F219" s="458">
        <f>Taulukko9[[#This Row],[Uudistuksen mukainen osuus työmarkkinatuesta*]]-Taulukko9[[#This Row],[Nykytila, kuntien osuus työmarkkinatuesta]]</f>
        <v>96712.793999999994</v>
      </c>
      <c r="G219" s="458">
        <v>10843.838</v>
      </c>
      <c r="H219" s="458">
        <v>65617.310645371705</v>
      </c>
      <c r="I219" s="459">
        <f>Taulukko9[[#This Row],[Uudistuksen mukainen osuus työmarkkinatuesta*]]+Taulukko9[[#This Row],[Uudistuksen mukainen osuus peruspäivärahasta]]+Taulukko9[[#This Row],[Uudistuksen mukainen osuus ansiopäivärahasta]]</f>
        <v>323828.05264537164</v>
      </c>
      <c r="J219" s="467">
        <f>Taulukko9[[#This Row],[Uudistuksen mukainen rahoitusvastuu yhteensä]]-Taulukko9[[#This Row],[Nykytila, kuntien osuus työmarkkinatuesta]]</f>
        <v>173173.94264537166</v>
      </c>
      <c r="M219" s="456">
        <v>683</v>
      </c>
      <c r="N219" s="456" t="s">
        <v>219</v>
      </c>
      <c r="O219" s="458">
        <v>247962.264</v>
      </c>
      <c r="P219" s="458">
        <v>246771.54399999999</v>
      </c>
      <c r="Q219" s="458">
        <f>AVERAGE(Taulukko919[[#This Row],[Uudistuksen mukainen osuus työmarkkinatuesta, kotoutujia ei poistettu]:[Uudistuksen mukainen osuus työmarkkinatuesta, kotoutujat poistettu]])</f>
        <v>247366.90399999998</v>
      </c>
      <c r="R219" s="458">
        <v>150654.10999999999</v>
      </c>
      <c r="S219" s="467">
        <f>Taulukko919[[#This Row],[Uudistuksen mukainen osuus työmarkkinatuesta, keskiarvo]]-Taulukko919[[#This Row],[Nykytila, kuntien osuus työmarkkinatuesta]]</f>
        <v>96712.793999999994</v>
      </c>
    </row>
    <row r="220" spans="1:19">
      <c r="A220" s="456">
        <v>684</v>
      </c>
      <c r="B220" s="456" t="s">
        <v>220</v>
      </c>
      <c r="C220" s="457">
        <v>38832</v>
      </c>
      <c r="D220" s="458">
        <v>2323639.0299999998</v>
      </c>
      <c r="E220" s="458">
        <v>3369334.2524999999</v>
      </c>
      <c r="F220" s="458">
        <f>Taulukko9[[#This Row],[Uudistuksen mukainen osuus työmarkkinatuesta*]]-Taulukko9[[#This Row],[Nykytila, kuntien osuus työmarkkinatuesta]]</f>
        <v>1045695.2225000001</v>
      </c>
      <c r="G220" s="458">
        <v>145398.848</v>
      </c>
      <c r="H220" s="458">
        <v>677891.23642478697</v>
      </c>
      <c r="I220" s="459">
        <f>Taulukko9[[#This Row],[Uudistuksen mukainen osuus työmarkkinatuesta*]]+Taulukko9[[#This Row],[Uudistuksen mukainen osuus peruspäivärahasta]]+Taulukko9[[#This Row],[Uudistuksen mukainen osuus ansiopäivärahasta]]</f>
        <v>4192624.3369247867</v>
      </c>
      <c r="J220" s="467">
        <f>Taulukko9[[#This Row],[Uudistuksen mukainen rahoitusvastuu yhteensä]]-Taulukko9[[#This Row],[Nykytila, kuntien osuus työmarkkinatuesta]]</f>
        <v>1868985.3069247869</v>
      </c>
      <c r="M220" s="456">
        <v>684</v>
      </c>
      <c r="N220" s="456" t="s">
        <v>220</v>
      </c>
      <c r="O220" s="458">
        <v>3468030.1359999999</v>
      </c>
      <c r="P220" s="458">
        <v>3270638.3689999999</v>
      </c>
      <c r="Q220" s="458">
        <f>AVERAGE(Taulukko919[[#This Row],[Uudistuksen mukainen osuus työmarkkinatuesta, kotoutujia ei poistettu]:[Uudistuksen mukainen osuus työmarkkinatuesta, kotoutujat poistettu]])</f>
        <v>3369334.2524999999</v>
      </c>
      <c r="R220" s="458">
        <v>2323639.0299999998</v>
      </c>
      <c r="S220" s="467">
        <f>Taulukko919[[#This Row],[Uudistuksen mukainen osuus työmarkkinatuesta, keskiarvo]]-Taulukko919[[#This Row],[Nykytila, kuntien osuus työmarkkinatuesta]]</f>
        <v>1045695.2225000001</v>
      </c>
    </row>
    <row r="221" spans="1:19">
      <c r="A221" s="456">
        <v>686</v>
      </c>
      <c r="B221" s="456" t="s">
        <v>221</v>
      </c>
      <c r="C221" s="457">
        <v>2933</v>
      </c>
      <c r="D221" s="458">
        <v>99685.51</v>
      </c>
      <c r="E221" s="458">
        <v>119242.803</v>
      </c>
      <c r="F221" s="458">
        <f>Taulukko9[[#This Row],[Uudistuksen mukainen osuus työmarkkinatuesta*]]-Taulukko9[[#This Row],[Nykytila, kuntien osuus työmarkkinatuesta]]</f>
        <v>19557.293000000005</v>
      </c>
      <c r="G221" s="458">
        <v>9297.4030000000002</v>
      </c>
      <c r="H221" s="458">
        <v>49381.830261392097</v>
      </c>
      <c r="I221" s="459">
        <f>Taulukko9[[#This Row],[Uudistuksen mukainen osuus työmarkkinatuesta*]]+Taulukko9[[#This Row],[Uudistuksen mukainen osuus peruspäivärahasta]]+Taulukko9[[#This Row],[Uudistuksen mukainen osuus ansiopäivärahasta]]</f>
        <v>177922.03626139212</v>
      </c>
      <c r="J221" s="467">
        <f>Taulukko9[[#This Row],[Uudistuksen mukainen rahoitusvastuu yhteensä]]-Taulukko9[[#This Row],[Nykytila, kuntien osuus työmarkkinatuesta]]</f>
        <v>78236.526261392122</v>
      </c>
      <c r="M221" s="456">
        <v>686</v>
      </c>
      <c r="N221" s="456" t="s">
        <v>221</v>
      </c>
      <c r="O221" s="458">
        <v>122057.50599999999</v>
      </c>
      <c r="P221" s="458">
        <v>116428.1</v>
      </c>
      <c r="Q221" s="458">
        <f>AVERAGE(Taulukko919[[#This Row],[Uudistuksen mukainen osuus työmarkkinatuesta, kotoutujia ei poistettu]:[Uudistuksen mukainen osuus työmarkkinatuesta, kotoutujat poistettu]])</f>
        <v>119242.803</v>
      </c>
      <c r="R221" s="458">
        <v>99685.51</v>
      </c>
      <c r="S221" s="467">
        <f>Taulukko919[[#This Row],[Uudistuksen mukainen osuus työmarkkinatuesta, keskiarvo]]-Taulukko919[[#This Row],[Nykytila, kuntien osuus työmarkkinatuesta]]</f>
        <v>19557.293000000005</v>
      </c>
    </row>
    <row r="222" spans="1:19">
      <c r="A222" s="456">
        <v>687</v>
      </c>
      <c r="B222" s="456" t="s">
        <v>222</v>
      </c>
      <c r="C222" s="457">
        <v>1424</v>
      </c>
      <c r="D222" s="458">
        <v>73330.259999999995</v>
      </c>
      <c r="E222" s="458">
        <v>134762.73300000001</v>
      </c>
      <c r="F222" s="458">
        <f>Taulukko9[[#This Row],[Uudistuksen mukainen osuus työmarkkinatuesta*]]-Taulukko9[[#This Row],[Nykytila, kuntien osuus työmarkkinatuesta]]</f>
        <v>61432.473000000013</v>
      </c>
      <c r="G222" s="458">
        <v>6204.7020000000002</v>
      </c>
      <c r="H222" s="458">
        <v>26991.318958858399</v>
      </c>
      <c r="I222" s="459">
        <f>Taulukko9[[#This Row],[Uudistuksen mukainen osuus työmarkkinatuesta*]]+Taulukko9[[#This Row],[Uudistuksen mukainen osuus peruspäivärahasta]]+Taulukko9[[#This Row],[Uudistuksen mukainen osuus ansiopäivärahasta]]</f>
        <v>167958.7539588584</v>
      </c>
      <c r="J222" s="467">
        <f>Taulukko9[[#This Row],[Uudistuksen mukainen rahoitusvastuu yhteensä]]-Taulukko9[[#This Row],[Nykytila, kuntien osuus työmarkkinatuesta]]</f>
        <v>94628.493958858409</v>
      </c>
      <c r="M222" s="456">
        <v>687</v>
      </c>
      <c r="N222" s="456" t="s">
        <v>222</v>
      </c>
      <c r="O222" s="458">
        <v>134762.73300000001</v>
      </c>
      <c r="P222" s="458">
        <v>134762.73300000001</v>
      </c>
      <c r="Q222" s="458">
        <f>AVERAGE(Taulukko919[[#This Row],[Uudistuksen mukainen osuus työmarkkinatuesta, kotoutujia ei poistettu]:[Uudistuksen mukainen osuus työmarkkinatuesta, kotoutujat poistettu]])</f>
        <v>134762.73300000001</v>
      </c>
      <c r="R222" s="458">
        <v>73330.259999999995</v>
      </c>
      <c r="S222" s="467">
        <f>Taulukko919[[#This Row],[Uudistuksen mukainen osuus työmarkkinatuesta, keskiarvo]]-Taulukko919[[#This Row],[Nykytila, kuntien osuus työmarkkinatuesta]]</f>
        <v>61432.473000000013</v>
      </c>
    </row>
    <row r="223" spans="1:19">
      <c r="A223" s="456">
        <v>689</v>
      </c>
      <c r="B223" s="456" t="s">
        <v>223</v>
      </c>
      <c r="C223" s="457">
        <v>3032</v>
      </c>
      <c r="D223" s="458">
        <v>255395.45</v>
      </c>
      <c r="E223" s="458">
        <v>332307.52399999998</v>
      </c>
      <c r="F223" s="458">
        <f>Taulukko9[[#This Row],[Uudistuksen mukainen osuus työmarkkinatuesta*]]-Taulukko9[[#This Row],[Nykytila, kuntien osuus työmarkkinatuesta]]</f>
        <v>76912.073999999964</v>
      </c>
      <c r="G223" s="458">
        <v>19980.566999999999</v>
      </c>
      <c r="H223" s="458">
        <v>88192.929988970602</v>
      </c>
      <c r="I223" s="459">
        <f>Taulukko9[[#This Row],[Uudistuksen mukainen osuus työmarkkinatuesta*]]+Taulukko9[[#This Row],[Uudistuksen mukainen osuus peruspäivärahasta]]+Taulukko9[[#This Row],[Uudistuksen mukainen osuus ansiopäivärahasta]]</f>
        <v>440481.02098897053</v>
      </c>
      <c r="J223" s="467">
        <f>Taulukko9[[#This Row],[Uudistuksen mukainen rahoitusvastuu yhteensä]]-Taulukko9[[#This Row],[Nykytila, kuntien osuus työmarkkinatuesta]]</f>
        <v>185085.57098897052</v>
      </c>
      <c r="M223" s="456">
        <v>689</v>
      </c>
      <c r="N223" s="456" t="s">
        <v>223</v>
      </c>
      <c r="O223" s="458">
        <v>342490.26299999998</v>
      </c>
      <c r="P223" s="458">
        <v>322124.78499999997</v>
      </c>
      <c r="Q223" s="458">
        <f>AVERAGE(Taulukko919[[#This Row],[Uudistuksen mukainen osuus työmarkkinatuesta, kotoutujia ei poistettu]:[Uudistuksen mukainen osuus työmarkkinatuesta, kotoutujat poistettu]])</f>
        <v>332307.52399999998</v>
      </c>
      <c r="R223" s="458">
        <v>255395.45</v>
      </c>
      <c r="S223" s="467">
        <f>Taulukko919[[#This Row],[Uudistuksen mukainen osuus työmarkkinatuesta, keskiarvo]]-Taulukko919[[#This Row],[Nykytila, kuntien osuus työmarkkinatuesta]]</f>
        <v>76912.073999999964</v>
      </c>
    </row>
    <row r="224" spans="1:19">
      <c r="A224" s="456">
        <v>691</v>
      </c>
      <c r="B224" s="456" t="s">
        <v>224</v>
      </c>
      <c r="C224" s="457">
        <v>2598</v>
      </c>
      <c r="D224" s="458">
        <v>102428.02</v>
      </c>
      <c r="E224" s="458">
        <v>170026.00200000001</v>
      </c>
      <c r="F224" s="458">
        <f>Taulukko9[[#This Row],[Uudistuksen mukainen osuus työmarkkinatuesta*]]-Taulukko9[[#This Row],[Nykytila, kuntien osuus työmarkkinatuesta]]</f>
        <v>67597.982000000004</v>
      </c>
      <c r="G224" s="458">
        <v>4001.3029999999999</v>
      </c>
      <c r="H224" s="458">
        <v>20890.206500818</v>
      </c>
      <c r="I224" s="459">
        <f>Taulukko9[[#This Row],[Uudistuksen mukainen osuus työmarkkinatuesta*]]+Taulukko9[[#This Row],[Uudistuksen mukainen osuus peruspäivärahasta]]+Taulukko9[[#This Row],[Uudistuksen mukainen osuus ansiopäivärahasta]]</f>
        <v>194917.51150081799</v>
      </c>
      <c r="J224" s="467">
        <f>Taulukko9[[#This Row],[Uudistuksen mukainen rahoitusvastuu yhteensä]]-Taulukko9[[#This Row],[Nykytila, kuntien osuus työmarkkinatuesta]]</f>
        <v>92489.491500817981</v>
      </c>
      <c r="M224" s="456">
        <v>691</v>
      </c>
      <c r="N224" s="456" t="s">
        <v>224</v>
      </c>
      <c r="O224" s="458">
        <v>170267.71400000001</v>
      </c>
      <c r="P224" s="458">
        <v>169784.29</v>
      </c>
      <c r="Q224" s="458">
        <f>AVERAGE(Taulukko919[[#This Row],[Uudistuksen mukainen osuus työmarkkinatuesta, kotoutujia ei poistettu]:[Uudistuksen mukainen osuus työmarkkinatuesta, kotoutujat poistettu]])</f>
        <v>170026.00200000001</v>
      </c>
      <c r="R224" s="458">
        <v>102428.02</v>
      </c>
      <c r="S224" s="467">
        <f>Taulukko919[[#This Row],[Uudistuksen mukainen osuus työmarkkinatuesta, keskiarvo]]-Taulukko919[[#This Row],[Nykytila, kuntien osuus työmarkkinatuesta]]</f>
        <v>67597.982000000004</v>
      </c>
    </row>
    <row r="225" spans="1:19">
      <c r="A225" s="456">
        <v>694</v>
      </c>
      <c r="B225" s="456" t="s">
        <v>225</v>
      </c>
      <c r="C225" s="457">
        <v>28483</v>
      </c>
      <c r="D225" s="458">
        <v>1912407.11</v>
      </c>
      <c r="E225" s="458">
        <v>3251774.3569999998</v>
      </c>
      <c r="F225" s="458">
        <f>Taulukko9[[#This Row],[Uudistuksen mukainen osuus työmarkkinatuesta*]]-Taulukko9[[#This Row],[Nykytila, kuntien osuus työmarkkinatuesta]]</f>
        <v>1339367.2469999997</v>
      </c>
      <c r="G225" s="458">
        <v>126184.992</v>
      </c>
      <c r="H225" s="458">
        <v>346565.88538347301</v>
      </c>
      <c r="I225" s="459">
        <f>Taulukko9[[#This Row],[Uudistuksen mukainen osuus työmarkkinatuesta*]]+Taulukko9[[#This Row],[Uudistuksen mukainen osuus peruspäivärahasta]]+Taulukko9[[#This Row],[Uudistuksen mukainen osuus ansiopäivärahasta]]</f>
        <v>3724525.2343834732</v>
      </c>
      <c r="J225" s="467">
        <f>Taulukko9[[#This Row],[Uudistuksen mukainen rahoitusvastuu yhteensä]]-Taulukko9[[#This Row],[Nykytila, kuntien osuus työmarkkinatuesta]]</f>
        <v>1812118.1243834731</v>
      </c>
      <c r="M225" s="456">
        <v>694</v>
      </c>
      <c r="N225" s="456" t="s">
        <v>225</v>
      </c>
      <c r="O225" s="458">
        <v>3309839.6880000001</v>
      </c>
      <c r="P225" s="458">
        <v>3193709.0260000001</v>
      </c>
      <c r="Q225" s="458">
        <f>AVERAGE(Taulukko919[[#This Row],[Uudistuksen mukainen osuus työmarkkinatuesta, kotoutujia ei poistettu]:[Uudistuksen mukainen osuus työmarkkinatuesta, kotoutujat poistettu]])</f>
        <v>3251774.3569999998</v>
      </c>
      <c r="R225" s="458">
        <v>1912407.11</v>
      </c>
      <c r="S225" s="467">
        <f>Taulukko919[[#This Row],[Uudistuksen mukainen osuus työmarkkinatuesta, keskiarvo]]-Taulukko919[[#This Row],[Nykytila, kuntien osuus työmarkkinatuesta]]</f>
        <v>1339367.2469999997</v>
      </c>
    </row>
    <row r="226" spans="1:19">
      <c r="A226" s="456">
        <v>697</v>
      </c>
      <c r="B226" s="456" t="s">
        <v>226</v>
      </c>
      <c r="C226" s="457">
        <v>1164</v>
      </c>
      <c r="D226" s="458">
        <v>89609.86</v>
      </c>
      <c r="E226" s="458">
        <v>97211.356499999994</v>
      </c>
      <c r="F226" s="458">
        <f>Taulukko9[[#This Row],[Uudistuksen mukainen osuus työmarkkinatuesta*]]-Taulukko9[[#This Row],[Nykytila, kuntien osuus työmarkkinatuesta]]</f>
        <v>7601.4964999999938</v>
      </c>
      <c r="G226" s="458">
        <v>799.673</v>
      </c>
      <c r="H226" s="458">
        <v>22717.283418584298</v>
      </c>
      <c r="I226" s="459">
        <f>Taulukko9[[#This Row],[Uudistuksen mukainen osuus työmarkkinatuesta*]]+Taulukko9[[#This Row],[Uudistuksen mukainen osuus peruspäivärahasta]]+Taulukko9[[#This Row],[Uudistuksen mukainen osuus ansiopäivärahasta]]</f>
        <v>120728.31291858428</v>
      </c>
      <c r="J226" s="467">
        <f>Taulukko9[[#This Row],[Uudistuksen mukainen rahoitusvastuu yhteensä]]-Taulukko9[[#This Row],[Nykytila, kuntien osuus työmarkkinatuesta]]</f>
        <v>31118.452918584284</v>
      </c>
      <c r="M226" s="456">
        <v>697</v>
      </c>
      <c r="N226" s="456" t="s">
        <v>226</v>
      </c>
      <c r="O226" s="458">
        <v>99382.555999999997</v>
      </c>
      <c r="P226" s="458">
        <v>95040.157000000007</v>
      </c>
      <c r="Q226" s="458">
        <f>AVERAGE(Taulukko919[[#This Row],[Uudistuksen mukainen osuus työmarkkinatuesta, kotoutujia ei poistettu]:[Uudistuksen mukainen osuus työmarkkinatuesta, kotoutujat poistettu]])</f>
        <v>97211.356499999994</v>
      </c>
      <c r="R226" s="458">
        <v>89609.86</v>
      </c>
      <c r="S226" s="467">
        <f>Taulukko919[[#This Row],[Uudistuksen mukainen osuus työmarkkinatuesta, keskiarvo]]-Taulukko919[[#This Row],[Nykytila, kuntien osuus työmarkkinatuesta]]</f>
        <v>7601.4964999999938</v>
      </c>
    </row>
    <row r="227" spans="1:19">
      <c r="A227" s="456">
        <v>698</v>
      </c>
      <c r="B227" s="456" t="s">
        <v>227</v>
      </c>
      <c r="C227" s="457">
        <v>65286</v>
      </c>
      <c r="D227" s="458">
        <v>4587169.58</v>
      </c>
      <c r="E227" s="458">
        <v>5135103.6780000003</v>
      </c>
      <c r="F227" s="458">
        <f>Taulukko9[[#This Row],[Uudistuksen mukainen osuus työmarkkinatuesta*]]-Taulukko9[[#This Row],[Nykytila, kuntien osuus työmarkkinatuesta]]</f>
        <v>547934.09800000023</v>
      </c>
      <c r="G227" s="458">
        <v>244106.731</v>
      </c>
      <c r="H227" s="458">
        <v>1058192.09227489</v>
      </c>
      <c r="I227" s="459">
        <f>Taulukko9[[#This Row],[Uudistuksen mukainen osuus työmarkkinatuesta*]]+Taulukko9[[#This Row],[Uudistuksen mukainen osuus peruspäivärahasta]]+Taulukko9[[#This Row],[Uudistuksen mukainen osuus ansiopäivärahasta]]</f>
        <v>6437402.5012748903</v>
      </c>
      <c r="J227" s="467">
        <f>Taulukko9[[#This Row],[Uudistuksen mukainen rahoitusvastuu yhteensä]]-Taulukko9[[#This Row],[Nykytila, kuntien osuus työmarkkinatuesta]]</f>
        <v>1850232.9212748902</v>
      </c>
      <c r="M227" s="456">
        <v>698</v>
      </c>
      <c r="N227" s="456" t="s">
        <v>227</v>
      </c>
      <c r="O227" s="458">
        <v>5302263.82</v>
      </c>
      <c r="P227" s="458">
        <v>4967943.5360000003</v>
      </c>
      <c r="Q227" s="458">
        <f>AVERAGE(Taulukko919[[#This Row],[Uudistuksen mukainen osuus työmarkkinatuesta, kotoutujia ei poistettu]:[Uudistuksen mukainen osuus työmarkkinatuesta, kotoutujat poistettu]])</f>
        <v>5135103.6780000003</v>
      </c>
      <c r="R227" s="458">
        <v>4587169.58</v>
      </c>
      <c r="S227" s="467">
        <f>Taulukko919[[#This Row],[Uudistuksen mukainen osuus työmarkkinatuesta, keskiarvo]]-Taulukko919[[#This Row],[Nykytila, kuntien osuus työmarkkinatuesta]]</f>
        <v>547934.09800000023</v>
      </c>
    </row>
    <row r="228" spans="1:19">
      <c r="A228" s="456">
        <v>700</v>
      </c>
      <c r="B228" s="456" t="s">
        <v>228</v>
      </c>
      <c r="C228" s="457">
        <v>4758</v>
      </c>
      <c r="D228" s="458">
        <v>199065.37</v>
      </c>
      <c r="E228" s="458">
        <v>350014.13199999998</v>
      </c>
      <c r="F228" s="458">
        <f>Taulukko9[[#This Row],[Uudistuksen mukainen osuus työmarkkinatuesta*]]-Taulukko9[[#This Row],[Nykytila, kuntien osuus työmarkkinatuesta]]</f>
        <v>150948.76199999999</v>
      </c>
      <c r="G228" s="458">
        <v>15066.448</v>
      </c>
      <c r="H228" s="458">
        <v>80236.822264854098</v>
      </c>
      <c r="I228" s="459">
        <f>Taulukko9[[#This Row],[Uudistuksen mukainen osuus työmarkkinatuesta*]]+Taulukko9[[#This Row],[Uudistuksen mukainen osuus peruspäivärahasta]]+Taulukko9[[#This Row],[Uudistuksen mukainen osuus ansiopäivärahasta]]</f>
        <v>445317.40226485406</v>
      </c>
      <c r="J228" s="467">
        <f>Taulukko9[[#This Row],[Uudistuksen mukainen rahoitusvastuu yhteensä]]-Taulukko9[[#This Row],[Nykytila, kuntien osuus työmarkkinatuesta]]</f>
        <v>246252.03226485406</v>
      </c>
      <c r="M228" s="456">
        <v>700</v>
      </c>
      <c r="N228" s="456" t="s">
        <v>228</v>
      </c>
      <c r="O228" s="458">
        <v>356669.69</v>
      </c>
      <c r="P228" s="458">
        <v>343358.57400000002</v>
      </c>
      <c r="Q228" s="458">
        <f>AVERAGE(Taulukko919[[#This Row],[Uudistuksen mukainen osuus työmarkkinatuesta, kotoutujia ei poistettu]:[Uudistuksen mukainen osuus työmarkkinatuesta, kotoutujat poistettu]])</f>
        <v>350014.13199999998</v>
      </c>
      <c r="R228" s="458">
        <v>199065.37</v>
      </c>
      <c r="S228" s="467">
        <f>Taulukko919[[#This Row],[Uudistuksen mukainen osuus työmarkkinatuesta, keskiarvo]]-Taulukko919[[#This Row],[Nykytila, kuntien osuus työmarkkinatuesta]]</f>
        <v>150948.76199999999</v>
      </c>
    </row>
    <row r="229" spans="1:19">
      <c r="A229" s="456">
        <v>702</v>
      </c>
      <c r="B229" s="456" t="s">
        <v>229</v>
      </c>
      <c r="C229" s="457">
        <v>4124</v>
      </c>
      <c r="D229" s="458">
        <v>161960.89000000001</v>
      </c>
      <c r="E229" s="458">
        <v>315536.79399999999</v>
      </c>
      <c r="F229" s="458">
        <f>Taulukko9[[#This Row],[Uudistuksen mukainen osuus työmarkkinatuesta*]]-Taulukko9[[#This Row],[Nykytila, kuntien osuus työmarkkinatuesta]]</f>
        <v>153575.90399999998</v>
      </c>
      <c r="G229" s="458">
        <v>17764.606</v>
      </c>
      <c r="H229" s="458">
        <v>69732.580035013205</v>
      </c>
      <c r="I229" s="459">
        <f>Taulukko9[[#This Row],[Uudistuksen mukainen osuus työmarkkinatuesta*]]+Taulukko9[[#This Row],[Uudistuksen mukainen osuus peruspäivärahasta]]+Taulukko9[[#This Row],[Uudistuksen mukainen osuus ansiopäivärahasta]]</f>
        <v>403033.98003501323</v>
      </c>
      <c r="J229" s="467">
        <f>Taulukko9[[#This Row],[Uudistuksen mukainen rahoitusvastuu yhteensä]]-Taulukko9[[#This Row],[Nykytila, kuntien osuus työmarkkinatuesta]]</f>
        <v>241073.09003501321</v>
      </c>
      <c r="M229" s="456">
        <v>702</v>
      </c>
      <c r="N229" s="456" t="s">
        <v>229</v>
      </c>
      <c r="O229" s="458">
        <v>317649.62800000003</v>
      </c>
      <c r="P229" s="458">
        <v>313423.96000000002</v>
      </c>
      <c r="Q229" s="458">
        <f>AVERAGE(Taulukko919[[#This Row],[Uudistuksen mukainen osuus työmarkkinatuesta, kotoutujia ei poistettu]:[Uudistuksen mukainen osuus työmarkkinatuesta, kotoutujat poistettu]])</f>
        <v>315536.79399999999</v>
      </c>
      <c r="R229" s="458">
        <v>161960.89000000001</v>
      </c>
      <c r="S229" s="467">
        <f>Taulukko919[[#This Row],[Uudistuksen mukainen osuus työmarkkinatuesta, keskiarvo]]-Taulukko919[[#This Row],[Nykytila, kuntien osuus työmarkkinatuesta]]</f>
        <v>153575.90399999998</v>
      </c>
    </row>
    <row r="230" spans="1:19">
      <c r="A230" s="456">
        <v>704</v>
      </c>
      <c r="B230" s="456" t="s">
        <v>230</v>
      </c>
      <c r="C230" s="457">
        <v>6436</v>
      </c>
      <c r="D230" s="458">
        <v>139507</v>
      </c>
      <c r="E230" s="458">
        <v>168993.47</v>
      </c>
      <c r="F230" s="458">
        <f>Taulukko9[[#This Row],[Uudistuksen mukainen osuus työmarkkinatuesta*]]-Taulukko9[[#This Row],[Nykytila, kuntien osuus työmarkkinatuesta]]</f>
        <v>29486.47</v>
      </c>
      <c r="G230" s="458">
        <v>21672.625</v>
      </c>
      <c r="H230" s="458">
        <v>53518.533654327097</v>
      </c>
      <c r="I230" s="459">
        <f>Taulukko9[[#This Row],[Uudistuksen mukainen osuus työmarkkinatuesta*]]+Taulukko9[[#This Row],[Uudistuksen mukainen osuus peruspäivärahasta]]+Taulukko9[[#This Row],[Uudistuksen mukainen osuus ansiopäivärahasta]]</f>
        <v>244184.6286543271</v>
      </c>
      <c r="J230" s="467">
        <f>Taulukko9[[#This Row],[Uudistuksen mukainen rahoitusvastuu yhteensä]]-Taulukko9[[#This Row],[Nykytila, kuntien osuus työmarkkinatuesta]]</f>
        <v>104677.6286543271</v>
      </c>
      <c r="M230" s="456">
        <v>704</v>
      </c>
      <c r="N230" s="456" t="s">
        <v>230</v>
      </c>
      <c r="O230" s="458">
        <v>169813.91899999999</v>
      </c>
      <c r="P230" s="458">
        <v>168173.02100000001</v>
      </c>
      <c r="Q230" s="458">
        <f>AVERAGE(Taulukko919[[#This Row],[Uudistuksen mukainen osuus työmarkkinatuesta, kotoutujia ei poistettu]:[Uudistuksen mukainen osuus työmarkkinatuesta, kotoutujat poistettu]])</f>
        <v>168993.47</v>
      </c>
      <c r="R230" s="458">
        <v>139507</v>
      </c>
      <c r="S230" s="467">
        <f>Taulukko919[[#This Row],[Uudistuksen mukainen osuus työmarkkinatuesta, keskiarvo]]-Taulukko919[[#This Row],[Nykytila, kuntien osuus työmarkkinatuesta]]</f>
        <v>29486.47</v>
      </c>
    </row>
    <row r="231" spans="1:19">
      <c r="A231" s="456">
        <v>707</v>
      </c>
      <c r="B231" s="456" t="s">
        <v>231</v>
      </c>
      <c r="C231" s="457">
        <v>1902</v>
      </c>
      <c r="D231" s="458">
        <v>196332.7</v>
      </c>
      <c r="E231" s="458">
        <v>263207.47100000002</v>
      </c>
      <c r="F231" s="458">
        <f>Taulukko9[[#This Row],[Uudistuksen mukainen osuus työmarkkinatuesta*]]-Taulukko9[[#This Row],[Nykytila, kuntien osuus työmarkkinatuesta]]</f>
        <v>66874.771000000008</v>
      </c>
      <c r="G231" s="458">
        <v>9869.68</v>
      </c>
      <c r="H231" s="458">
        <v>44218.1820740279</v>
      </c>
      <c r="I231" s="459">
        <f>Taulukko9[[#This Row],[Uudistuksen mukainen osuus työmarkkinatuesta*]]+Taulukko9[[#This Row],[Uudistuksen mukainen osuus peruspäivärahasta]]+Taulukko9[[#This Row],[Uudistuksen mukainen osuus ansiopäivärahasta]]</f>
        <v>317295.33307402791</v>
      </c>
      <c r="J231" s="467">
        <f>Taulukko9[[#This Row],[Uudistuksen mukainen rahoitusvastuu yhteensä]]-Taulukko9[[#This Row],[Nykytila, kuntien osuus työmarkkinatuesta]]</f>
        <v>120962.63307402789</v>
      </c>
      <c r="M231" s="456">
        <v>707</v>
      </c>
      <c r="N231" s="456" t="s">
        <v>231</v>
      </c>
      <c r="O231" s="458">
        <v>263911.777</v>
      </c>
      <c r="P231" s="458">
        <v>262503.16499999998</v>
      </c>
      <c r="Q231" s="458">
        <f>AVERAGE(Taulukko919[[#This Row],[Uudistuksen mukainen osuus työmarkkinatuesta, kotoutujia ei poistettu]:[Uudistuksen mukainen osuus työmarkkinatuesta, kotoutujat poistettu]])</f>
        <v>263207.47100000002</v>
      </c>
      <c r="R231" s="458">
        <v>196332.7</v>
      </c>
      <c r="S231" s="467">
        <f>Taulukko919[[#This Row],[Uudistuksen mukainen osuus työmarkkinatuesta, keskiarvo]]-Taulukko919[[#This Row],[Nykytila, kuntien osuus työmarkkinatuesta]]</f>
        <v>66874.771000000008</v>
      </c>
    </row>
    <row r="232" spans="1:19">
      <c r="A232" s="456">
        <v>710</v>
      </c>
      <c r="B232" s="456" t="s">
        <v>232</v>
      </c>
      <c r="C232" s="457">
        <v>27209</v>
      </c>
      <c r="D232" s="458">
        <v>2601497.17</v>
      </c>
      <c r="E232" s="458">
        <v>2876581.5449999999</v>
      </c>
      <c r="F232" s="458">
        <f>Taulukko9[[#This Row],[Uudistuksen mukainen osuus työmarkkinatuesta*]]-Taulukko9[[#This Row],[Nykytila, kuntien osuus työmarkkinatuesta]]</f>
        <v>275084.375</v>
      </c>
      <c r="G232" s="458">
        <v>109303.89</v>
      </c>
      <c r="H232" s="458">
        <v>269893.65765551198</v>
      </c>
      <c r="I232" s="459">
        <f>Taulukko9[[#This Row],[Uudistuksen mukainen osuus työmarkkinatuesta*]]+Taulukko9[[#This Row],[Uudistuksen mukainen osuus peruspäivärahasta]]+Taulukko9[[#This Row],[Uudistuksen mukainen osuus ansiopäivärahasta]]</f>
        <v>3255779.092655512</v>
      </c>
      <c r="J232" s="467">
        <f>Taulukko9[[#This Row],[Uudistuksen mukainen rahoitusvastuu yhteensä]]-Taulukko9[[#This Row],[Nykytila, kuntien osuus työmarkkinatuesta]]</f>
        <v>654281.92265551211</v>
      </c>
      <c r="M232" s="456">
        <v>710</v>
      </c>
      <c r="N232" s="456" t="s">
        <v>232</v>
      </c>
      <c r="O232" s="458">
        <v>2944154.0589999999</v>
      </c>
      <c r="P232" s="458">
        <v>2809009.031</v>
      </c>
      <c r="Q232" s="458">
        <f>AVERAGE(Taulukko919[[#This Row],[Uudistuksen mukainen osuus työmarkkinatuesta, kotoutujia ei poistettu]:[Uudistuksen mukainen osuus työmarkkinatuesta, kotoutujat poistettu]])</f>
        <v>2876581.5449999999</v>
      </c>
      <c r="R232" s="458">
        <v>2601497.17</v>
      </c>
      <c r="S232" s="467">
        <f>Taulukko919[[#This Row],[Uudistuksen mukainen osuus työmarkkinatuesta, keskiarvo]]-Taulukko919[[#This Row],[Nykytila, kuntien osuus työmarkkinatuesta]]</f>
        <v>275084.375</v>
      </c>
    </row>
    <row r="233" spans="1:19">
      <c r="A233" s="456">
        <v>729</v>
      </c>
      <c r="B233" s="456" t="s">
        <v>233</v>
      </c>
      <c r="C233" s="457">
        <v>8847</v>
      </c>
      <c r="D233" s="458">
        <v>712515.18</v>
      </c>
      <c r="E233" s="458">
        <v>1017450.9180000001</v>
      </c>
      <c r="F233" s="458">
        <f>Taulukko9[[#This Row],[Uudistuksen mukainen osuus työmarkkinatuesta*]]-Taulukko9[[#This Row],[Nykytila, kuntien osuus työmarkkinatuesta]]</f>
        <v>304935.73800000001</v>
      </c>
      <c r="G233" s="458">
        <v>48348.366000000002</v>
      </c>
      <c r="H233" s="458">
        <v>216370.29342835199</v>
      </c>
      <c r="I233" s="459">
        <f>Taulukko9[[#This Row],[Uudistuksen mukainen osuus työmarkkinatuesta*]]+Taulukko9[[#This Row],[Uudistuksen mukainen osuus peruspäivärahasta]]+Taulukko9[[#This Row],[Uudistuksen mukainen osuus ansiopäivärahasta]]</f>
        <v>1282169.5774283521</v>
      </c>
      <c r="J233" s="467">
        <f>Taulukko9[[#This Row],[Uudistuksen mukainen rahoitusvastuu yhteensä]]-Taulukko9[[#This Row],[Nykytila, kuntien osuus työmarkkinatuesta]]</f>
        <v>569654.39742835204</v>
      </c>
      <c r="M233" s="456">
        <v>729</v>
      </c>
      <c r="N233" s="456" t="s">
        <v>233</v>
      </c>
      <c r="O233" s="458">
        <v>1022439.323</v>
      </c>
      <c r="P233" s="458">
        <v>1012462.513</v>
      </c>
      <c r="Q233" s="458">
        <f>AVERAGE(Taulukko919[[#This Row],[Uudistuksen mukainen osuus työmarkkinatuesta, kotoutujia ei poistettu]:[Uudistuksen mukainen osuus työmarkkinatuesta, kotoutujat poistettu]])</f>
        <v>1017450.9180000001</v>
      </c>
      <c r="R233" s="458">
        <v>712515.18</v>
      </c>
      <c r="S233" s="467">
        <f>Taulukko919[[#This Row],[Uudistuksen mukainen osuus työmarkkinatuesta, keskiarvo]]-Taulukko919[[#This Row],[Nykytila, kuntien osuus työmarkkinatuesta]]</f>
        <v>304935.73800000001</v>
      </c>
    </row>
    <row r="234" spans="1:19">
      <c r="A234" s="456">
        <v>732</v>
      </c>
      <c r="B234" s="456" t="s">
        <v>234</v>
      </c>
      <c r="C234" s="457">
        <v>3344</v>
      </c>
      <c r="D234" s="458">
        <v>225040.7</v>
      </c>
      <c r="E234" s="458">
        <v>273358.96250000002</v>
      </c>
      <c r="F234" s="458">
        <f>Taulukko9[[#This Row],[Uudistuksen mukainen osuus työmarkkinatuesta*]]-Taulukko9[[#This Row],[Nykytila, kuntien osuus työmarkkinatuesta]]</f>
        <v>48318.262500000012</v>
      </c>
      <c r="G234" s="458">
        <v>11424.947</v>
      </c>
      <c r="H234" s="458">
        <v>102115.64436017899</v>
      </c>
      <c r="I234" s="459">
        <f>Taulukko9[[#This Row],[Uudistuksen mukainen osuus työmarkkinatuesta*]]+Taulukko9[[#This Row],[Uudistuksen mukainen osuus peruspäivärahasta]]+Taulukko9[[#This Row],[Uudistuksen mukainen osuus ansiopäivärahasta]]</f>
        <v>386899.55386017903</v>
      </c>
      <c r="J234" s="467">
        <f>Taulukko9[[#This Row],[Uudistuksen mukainen rahoitusvastuu yhteensä]]-Taulukko9[[#This Row],[Nykytila, kuntien osuus työmarkkinatuesta]]</f>
        <v>161858.85386017902</v>
      </c>
      <c r="M234" s="456">
        <v>732</v>
      </c>
      <c r="N234" s="456" t="s">
        <v>234</v>
      </c>
      <c r="O234" s="458">
        <v>273569.495</v>
      </c>
      <c r="P234" s="458">
        <v>273148.43</v>
      </c>
      <c r="Q234" s="458">
        <f>AVERAGE(Taulukko919[[#This Row],[Uudistuksen mukainen osuus työmarkkinatuesta, kotoutujia ei poistettu]:[Uudistuksen mukainen osuus työmarkkinatuesta, kotoutujat poistettu]])</f>
        <v>273358.96250000002</v>
      </c>
      <c r="R234" s="458">
        <v>225040.7</v>
      </c>
      <c r="S234" s="467">
        <f>Taulukko919[[#This Row],[Uudistuksen mukainen osuus työmarkkinatuesta, keskiarvo]]-Taulukko919[[#This Row],[Nykytila, kuntien osuus työmarkkinatuesta]]</f>
        <v>48318.262500000012</v>
      </c>
    </row>
    <row r="235" spans="1:19">
      <c r="A235" s="456">
        <v>734</v>
      </c>
      <c r="B235" s="456" t="s">
        <v>235</v>
      </c>
      <c r="C235" s="457">
        <v>51100</v>
      </c>
      <c r="D235" s="458">
        <v>3026720.92</v>
      </c>
      <c r="E235" s="458">
        <v>4495866.9205</v>
      </c>
      <c r="F235" s="458">
        <f>Taulukko9[[#This Row],[Uudistuksen mukainen osuus työmarkkinatuesta*]]-Taulukko9[[#This Row],[Nykytila, kuntien osuus työmarkkinatuesta]]</f>
        <v>1469146.0005000001</v>
      </c>
      <c r="G235" s="458">
        <v>198404.359</v>
      </c>
      <c r="H235" s="458">
        <v>824804.68099308899</v>
      </c>
      <c r="I235" s="459">
        <f>Taulukko9[[#This Row],[Uudistuksen mukainen osuus työmarkkinatuesta*]]+Taulukko9[[#This Row],[Uudistuksen mukainen osuus peruspäivärahasta]]+Taulukko9[[#This Row],[Uudistuksen mukainen osuus ansiopäivärahasta]]</f>
        <v>5519075.9604930896</v>
      </c>
      <c r="J235" s="467">
        <f>Taulukko9[[#This Row],[Uudistuksen mukainen rahoitusvastuu yhteensä]]-Taulukko9[[#This Row],[Nykytila, kuntien osuus työmarkkinatuesta]]</f>
        <v>2492355.0404930897</v>
      </c>
      <c r="M235" s="456">
        <v>734</v>
      </c>
      <c r="N235" s="456" t="s">
        <v>235</v>
      </c>
      <c r="O235" s="458">
        <v>4660973.1830000002</v>
      </c>
      <c r="P235" s="458">
        <v>4330760.6579999998</v>
      </c>
      <c r="Q235" s="458">
        <f>AVERAGE(Taulukko919[[#This Row],[Uudistuksen mukainen osuus työmarkkinatuesta, kotoutujia ei poistettu]:[Uudistuksen mukainen osuus työmarkkinatuesta, kotoutujat poistettu]])</f>
        <v>4495866.9205</v>
      </c>
      <c r="R235" s="458">
        <v>3026720.92</v>
      </c>
      <c r="S235" s="467">
        <f>Taulukko919[[#This Row],[Uudistuksen mukainen osuus työmarkkinatuesta, keskiarvo]]-Taulukko919[[#This Row],[Nykytila, kuntien osuus työmarkkinatuesta]]</f>
        <v>1469146.0005000001</v>
      </c>
    </row>
    <row r="236" spans="1:19">
      <c r="A236" s="456">
        <v>738</v>
      </c>
      <c r="B236" s="456" t="s">
        <v>236</v>
      </c>
      <c r="C236" s="457">
        <v>2974</v>
      </c>
      <c r="D236" s="458">
        <v>17545.419999999998</v>
      </c>
      <c r="E236" s="458">
        <v>108051.823</v>
      </c>
      <c r="F236" s="458">
        <f>Taulukko9[[#This Row],[Uudistuksen mukainen osuus työmarkkinatuesta*]]-Taulukko9[[#This Row],[Nykytila, kuntien osuus työmarkkinatuesta]]</f>
        <v>90506.403000000006</v>
      </c>
      <c r="G236" s="458">
        <v>4680.4830000000002</v>
      </c>
      <c r="H236" s="458">
        <v>26818.5729675531</v>
      </c>
      <c r="I236" s="459">
        <f>Taulukko9[[#This Row],[Uudistuksen mukainen osuus työmarkkinatuesta*]]+Taulukko9[[#This Row],[Uudistuksen mukainen osuus peruspäivärahasta]]+Taulukko9[[#This Row],[Uudistuksen mukainen osuus ansiopäivärahasta]]</f>
        <v>139550.87896755312</v>
      </c>
      <c r="J236" s="467">
        <f>Taulukko9[[#This Row],[Uudistuksen mukainen rahoitusvastuu yhteensä]]-Taulukko9[[#This Row],[Nykytila, kuntien osuus työmarkkinatuesta]]</f>
        <v>122005.45896755312</v>
      </c>
      <c r="M236" s="456">
        <v>738</v>
      </c>
      <c r="N236" s="456" t="s">
        <v>236</v>
      </c>
      <c r="O236" s="458">
        <v>108500.323</v>
      </c>
      <c r="P236" s="458">
        <v>107603.323</v>
      </c>
      <c r="Q236" s="458">
        <f>AVERAGE(Taulukko919[[#This Row],[Uudistuksen mukainen osuus työmarkkinatuesta, kotoutujia ei poistettu]:[Uudistuksen mukainen osuus työmarkkinatuesta, kotoutujat poistettu]])</f>
        <v>108051.823</v>
      </c>
      <c r="R236" s="458">
        <v>17545.419999999998</v>
      </c>
      <c r="S236" s="467">
        <f>Taulukko919[[#This Row],[Uudistuksen mukainen osuus työmarkkinatuesta, keskiarvo]]-Taulukko919[[#This Row],[Nykytila, kuntien osuus työmarkkinatuesta]]</f>
        <v>90506.403000000006</v>
      </c>
    </row>
    <row r="237" spans="1:19">
      <c r="A237" s="456">
        <v>739</v>
      </c>
      <c r="B237" s="456" t="s">
        <v>237</v>
      </c>
      <c r="C237" s="457">
        <v>3216</v>
      </c>
      <c r="D237" s="458">
        <v>132752.01999999999</v>
      </c>
      <c r="E237" s="458">
        <v>160958.89000000001</v>
      </c>
      <c r="F237" s="458">
        <f>Taulukko9[[#This Row],[Uudistuksen mukainen osuus työmarkkinatuesta*]]-Taulukko9[[#This Row],[Nykytila, kuntien osuus työmarkkinatuesta]]</f>
        <v>28206.870000000024</v>
      </c>
      <c r="G237" s="458">
        <v>15811.403</v>
      </c>
      <c r="H237" s="458">
        <v>65483.514046974102</v>
      </c>
      <c r="I237" s="459">
        <f>Taulukko9[[#This Row],[Uudistuksen mukainen osuus työmarkkinatuesta*]]+Taulukko9[[#This Row],[Uudistuksen mukainen osuus peruspäivärahasta]]+Taulukko9[[#This Row],[Uudistuksen mukainen osuus ansiopäivärahasta]]</f>
        <v>242253.80704697411</v>
      </c>
      <c r="J237" s="467">
        <f>Taulukko9[[#This Row],[Uudistuksen mukainen rahoitusvastuu yhteensä]]-Taulukko9[[#This Row],[Nykytila, kuntien osuus työmarkkinatuesta]]</f>
        <v>109501.78704697412</v>
      </c>
      <c r="M237" s="456">
        <v>739</v>
      </c>
      <c r="N237" s="456" t="s">
        <v>237</v>
      </c>
      <c r="O237" s="458">
        <v>164130.42000000001</v>
      </c>
      <c r="P237" s="458">
        <v>157787.35999999999</v>
      </c>
      <c r="Q237" s="458">
        <f>AVERAGE(Taulukko919[[#This Row],[Uudistuksen mukainen osuus työmarkkinatuesta, kotoutujia ei poistettu]:[Uudistuksen mukainen osuus työmarkkinatuesta, kotoutujat poistettu]])</f>
        <v>160958.89000000001</v>
      </c>
      <c r="R237" s="458">
        <v>132752.01999999999</v>
      </c>
      <c r="S237" s="467">
        <f>Taulukko919[[#This Row],[Uudistuksen mukainen osuus työmarkkinatuesta, keskiarvo]]-Taulukko919[[#This Row],[Nykytila, kuntien osuus työmarkkinatuesta]]</f>
        <v>28206.870000000024</v>
      </c>
    </row>
    <row r="238" spans="1:19">
      <c r="A238" s="456">
        <v>740</v>
      </c>
      <c r="B238" s="456" t="s">
        <v>238</v>
      </c>
      <c r="C238" s="457">
        <v>31843</v>
      </c>
      <c r="D238" s="458">
        <v>2432244.34</v>
      </c>
      <c r="E238" s="458">
        <v>3396470.3135000002</v>
      </c>
      <c r="F238" s="458">
        <f>Taulukko9[[#This Row],[Uudistuksen mukainen osuus työmarkkinatuesta*]]-Taulukko9[[#This Row],[Nykytila, kuntien osuus työmarkkinatuesta]]</f>
        <v>964225.97350000031</v>
      </c>
      <c r="G238" s="458">
        <v>166374.497</v>
      </c>
      <c r="H238" s="458">
        <v>585685.56381125899</v>
      </c>
      <c r="I238" s="459">
        <f>Taulukko9[[#This Row],[Uudistuksen mukainen osuus työmarkkinatuesta*]]+Taulukko9[[#This Row],[Uudistuksen mukainen osuus peruspäivärahasta]]+Taulukko9[[#This Row],[Uudistuksen mukainen osuus ansiopäivärahasta]]</f>
        <v>4148530.374311259</v>
      </c>
      <c r="J238" s="467">
        <f>Taulukko9[[#This Row],[Uudistuksen mukainen rahoitusvastuu yhteensä]]-Taulukko9[[#This Row],[Nykytila, kuntien osuus työmarkkinatuesta]]</f>
        <v>1716286.0343112592</v>
      </c>
      <c r="M238" s="456">
        <v>740</v>
      </c>
      <c r="N238" s="456" t="s">
        <v>238</v>
      </c>
      <c r="O238" s="458">
        <v>3444035.3849999998</v>
      </c>
      <c r="P238" s="458">
        <v>3348905.2420000001</v>
      </c>
      <c r="Q238" s="458">
        <f>AVERAGE(Taulukko919[[#This Row],[Uudistuksen mukainen osuus työmarkkinatuesta, kotoutujia ei poistettu]:[Uudistuksen mukainen osuus työmarkkinatuesta, kotoutujat poistettu]])</f>
        <v>3396470.3135000002</v>
      </c>
      <c r="R238" s="458">
        <v>2432244.34</v>
      </c>
      <c r="S238" s="467">
        <f>Taulukko919[[#This Row],[Uudistuksen mukainen osuus työmarkkinatuesta, keskiarvo]]-Taulukko919[[#This Row],[Nykytila, kuntien osuus työmarkkinatuesta]]</f>
        <v>964225.97350000031</v>
      </c>
    </row>
    <row r="239" spans="1:19">
      <c r="A239" s="456">
        <v>742</v>
      </c>
      <c r="B239" s="456" t="s">
        <v>239</v>
      </c>
      <c r="C239" s="457">
        <v>978</v>
      </c>
      <c r="D239" s="458">
        <v>68627.23</v>
      </c>
      <c r="E239" s="458">
        <v>96808.051500000001</v>
      </c>
      <c r="F239" s="458">
        <f>Taulukko9[[#This Row],[Uudistuksen mukainen osuus työmarkkinatuesta*]]-Taulukko9[[#This Row],[Nykytila, kuntien osuus työmarkkinatuesta]]</f>
        <v>28180.821500000005</v>
      </c>
      <c r="G239" s="458">
        <v>5046.3890000000001</v>
      </c>
      <c r="H239" s="458">
        <v>35793.115918453797</v>
      </c>
      <c r="I239" s="459">
        <f>Taulukko9[[#This Row],[Uudistuksen mukainen osuus työmarkkinatuesta*]]+Taulukko9[[#This Row],[Uudistuksen mukainen osuus peruspäivärahasta]]+Taulukko9[[#This Row],[Uudistuksen mukainen osuus ansiopäivärahasta]]</f>
        <v>137647.55641845381</v>
      </c>
      <c r="J239" s="467">
        <f>Taulukko9[[#This Row],[Uudistuksen mukainen rahoitusvastuu yhteensä]]-Taulukko9[[#This Row],[Nykytila, kuntien osuus työmarkkinatuesta]]</f>
        <v>69020.326418453813</v>
      </c>
      <c r="M239" s="456">
        <v>742</v>
      </c>
      <c r="N239" s="456" t="s">
        <v>239</v>
      </c>
      <c r="O239" s="458">
        <v>96928.983999999997</v>
      </c>
      <c r="P239" s="458">
        <v>96687.119000000006</v>
      </c>
      <c r="Q239" s="458">
        <f>AVERAGE(Taulukko919[[#This Row],[Uudistuksen mukainen osuus työmarkkinatuesta, kotoutujia ei poistettu]:[Uudistuksen mukainen osuus työmarkkinatuesta, kotoutujat poistettu]])</f>
        <v>96808.051500000001</v>
      </c>
      <c r="R239" s="458">
        <v>68627.23</v>
      </c>
      <c r="S239" s="467">
        <f>Taulukko919[[#This Row],[Uudistuksen mukainen osuus työmarkkinatuesta, keskiarvo]]-Taulukko919[[#This Row],[Nykytila, kuntien osuus työmarkkinatuesta]]</f>
        <v>28180.821500000005</v>
      </c>
    </row>
    <row r="240" spans="1:19">
      <c r="A240" s="456">
        <v>743</v>
      </c>
      <c r="B240" s="456" t="s">
        <v>240</v>
      </c>
      <c r="C240" s="457">
        <v>66160</v>
      </c>
      <c r="D240" s="458">
        <v>4195908.3899999997</v>
      </c>
      <c r="E240" s="458">
        <v>5482494.9745000005</v>
      </c>
      <c r="F240" s="458">
        <f>Taulukko9[[#This Row],[Uudistuksen mukainen osuus työmarkkinatuesta*]]-Taulukko9[[#This Row],[Nykytila, kuntien osuus työmarkkinatuesta]]</f>
        <v>1286586.5845000008</v>
      </c>
      <c r="G240" s="458">
        <v>244545.19</v>
      </c>
      <c r="H240" s="458">
        <v>817210.07516727201</v>
      </c>
      <c r="I240" s="459">
        <f>Taulukko9[[#This Row],[Uudistuksen mukainen osuus työmarkkinatuesta*]]+Taulukko9[[#This Row],[Uudistuksen mukainen osuus peruspäivärahasta]]+Taulukko9[[#This Row],[Uudistuksen mukainen osuus ansiopäivärahasta]]</f>
        <v>6544250.2396672731</v>
      </c>
      <c r="J240" s="467">
        <f>Taulukko9[[#This Row],[Uudistuksen mukainen rahoitusvastuu yhteensä]]-Taulukko9[[#This Row],[Nykytila, kuntien osuus työmarkkinatuesta]]</f>
        <v>2348341.8496672735</v>
      </c>
      <c r="M240" s="456">
        <v>743</v>
      </c>
      <c r="N240" s="456" t="s">
        <v>240</v>
      </c>
      <c r="O240" s="458">
        <v>5592101.7390000001</v>
      </c>
      <c r="P240" s="458">
        <v>5372888.21</v>
      </c>
      <c r="Q240" s="458">
        <f>AVERAGE(Taulukko919[[#This Row],[Uudistuksen mukainen osuus työmarkkinatuesta, kotoutujia ei poistettu]:[Uudistuksen mukainen osuus työmarkkinatuesta, kotoutujat poistettu]])</f>
        <v>5482494.9745000005</v>
      </c>
      <c r="R240" s="458">
        <v>4195908.3899999997</v>
      </c>
      <c r="S240" s="467">
        <f>Taulukko919[[#This Row],[Uudistuksen mukainen osuus työmarkkinatuesta, keskiarvo]]-Taulukko919[[#This Row],[Nykytila, kuntien osuus työmarkkinatuesta]]</f>
        <v>1286586.5845000008</v>
      </c>
    </row>
    <row r="241" spans="1:19">
      <c r="A241" s="456">
        <v>746</v>
      </c>
      <c r="B241" s="456" t="s">
        <v>241</v>
      </c>
      <c r="C241" s="457">
        <v>4713</v>
      </c>
      <c r="D241" s="458">
        <v>188558.14</v>
      </c>
      <c r="E241" s="458">
        <v>215881.94199999998</v>
      </c>
      <c r="F241" s="458">
        <f>Taulukko9[[#This Row],[Uudistuksen mukainen osuus työmarkkinatuesta*]]-Taulukko9[[#This Row],[Nykytila, kuntien osuus työmarkkinatuesta]]</f>
        <v>27323.801999999967</v>
      </c>
      <c r="G241" s="458">
        <v>12121.781000000001</v>
      </c>
      <c r="H241" s="458">
        <v>77596.816766149801</v>
      </c>
      <c r="I241" s="459">
        <f>Taulukko9[[#This Row],[Uudistuksen mukainen osuus työmarkkinatuesta*]]+Taulukko9[[#This Row],[Uudistuksen mukainen osuus peruspäivärahasta]]+Taulukko9[[#This Row],[Uudistuksen mukainen osuus ansiopäivärahasta]]</f>
        <v>305600.53976614977</v>
      </c>
      <c r="J241" s="467">
        <f>Taulukko9[[#This Row],[Uudistuksen mukainen rahoitusvastuu yhteensä]]-Taulukko9[[#This Row],[Nykytila, kuntien osuus työmarkkinatuesta]]</f>
        <v>117042.39976614976</v>
      </c>
      <c r="M241" s="456">
        <v>746</v>
      </c>
      <c r="N241" s="456" t="s">
        <v>241</v>
      </c>
      <c r="O241" s="458">
        <v>215926.592</v>
      </c>
      <c r="P241" s="458">
        <v>215837.29199999999</v>
      </c>
      <c r="Q241" s="458">
        <f>AVERAGE(Taulukko919[[#This Row],[Uudistuksen mukainen osuus työmarkkinatuesta, kotoutujia ei poistettu]:[Uudistuksen mukainen osuus työmarkkinatuesta, kotoutujat poistettu]])</f>
        <v>215881.94199999998</v>
      </c>
      <c r="R241" s="458">
        <v>188558.14</v>
      </c>
      <c r="S241" s="467">
        <f>Taulukko919[[#This Row],[Uudistuksen mukainen osuus työmarkkinatuesta, keskiarvo]]-Taulukko919[[#This Row],[Nykytila, kuntien osuus työmarkkinatuesta]]</f>
        <v>27323.801999999967</v>
      </c>
    </row>
    <row r="242" spans="1:19">
      <c r="A242" s="456">
        <v>747</v>
      </c>
      <c r="B242" s="456" t="s">
        <v>242</v>
      </c>
      <c r="C242" s="457">
        <v>1283</v>
      </c>
      <c r="D242" s="458">
        <v>68403.570000000007</v>
      </c>
      <c r="E242" s="458">
        <v>154098.88500000001</v>
      </c>
      <c r="F242" s="458">
        <f>Taulukko9[[#This Row],[Uudistuksen mukainen osuus työmarkkinatuesta*]]-Taulukko9[[#This Row],[Nykytila, kuntien osuus työmarkkinatuesta]]</f>
        <v>85695.315000000002</v>
      </c>
      <c r="G242" s="458">
        <v>9281.1730000000007</v>
      </c>
      <c r="H242" s="458">
        <v>22241.360905241901</v>
      </c>
      <c r="I242" s="459">
        <f>Taulukko9[[#This Row],[Uudistuksen mukainen osuus työmarkkinatuesta*]]+Taulukko9[[#This Row],[Uudistuksen mukainen osuus peruspäivärahasta]]+Taulukko9[[#This Row],[Uudistuksen mukainen osuus ansiopäivärahasta]]</f>
        <v>185621.41890524191</v>
      </c>
      <c r="J242" s="467">
        <f>Taulukko9[[#This Row],[Uudistuksen mukainen rahoitusvastuu yhteensä]]-Taulukko9[[#This Row],[Nykytila, kuntien osuus työmarkkinatuesta]]</f>
        <v>117217.8489052419</v>
      </c>
      <c r="M242" s="456">
        <v>747</v>
      </c>
      <c r="N242" s="456" t="s">
        <v>242</v>
      </c>
      <c r="O242" s="458">
        <v>154098.88500000001</v>
      </c>
      <c r="P242" s="458">
        <v>154098.88500000001</v>
      </c>
      <c r="Q242" s="458">
        <f>AVERAGE(Taulukko919[[#This Row],[Uudistuksen mukainen osuus työmarkkinatuesta, kotoutujia ei poistettu]:[Uudistuksen mukainen osuus työmarkkinatuesta, kotoutujat poistettu]])</f>
        <v>154098.88500000001</v>
      </c>
      <c r="R242" s="458">
        <v>68403.570000000007</v>
      </c>
      <c r="S242" s="467">
        <f>Taulukko919[[#This Row],[Uudistuksen mukainen osuus työmarkkinatuesta, keskiarvo]]-Taulukko919[[#This Row],[Nykytila, kuntien osuus työmarkkinatuesta]]</f>
        <v>85695.315000000002</v>
      </c>
    </row>
    <row r="243" spans="1:19">
      <c r="A243" s="456">
        <v>748</v>
      </c>
      <c r="B243" s="456" t="s">
        <v>243</v>
      </c>
      <c r="C243" s="457">
        <v>4837</v>
      </c>
      <c r="D243" s="458">
        <v>286183.51</v>
      </c>
      <c r="E243" s="458">
        <v>358641.75800000003</v>
      </c>
      <c r="F243" s="458">
        <f>Taulukko9[[#This Row],[Uudistuksen mukainen osuus työmarkkinatuesta*]]-Taulukko9[[#This Row],[Nykytila, kuntien osuus työmarkkinatuesta]]</f>
        <v>72458.248000000021</v>
      </c>
      <c r="G243" s="458">
        <v>9605.6939999999995</v>
      </c>
      <c r="H243" s="458">
        <v>46046.152489198103</v>
      </c>
      <c r="I243" s="459">
        <f>Taulukko9[[#This Row],[Uudistuksen mukainen osuus työmarkkinatuesta*]]+Taulukko9[[#This Row],[Uudistuksen mukainen osuus peruspäivärahasta]]+Taulukko9[[#This Row],[Uudistuksen mukainen osuus ansiopäivärahasta]]</f>
        <v>414293.60448919813</v>
      </c>
      <c r="J243" s="467">
        <f>Taulukko9[[#This Row],[Uudistuksen mukainen rahoitusvastuu yhteensä]]-Taulukko9[[#This Row],[Nykytila, kuntien osuus työmarkkinatuesta]]</f>
        <v>128110.09448919812</v>
      </c>
      <c r="M243" s="456">
        <v>748</v>
      </c>
      <c r="N243" s="456" t="s">
        <v>243</v>
      </c>
      <c r="O243" s="458">
        <v>361314.40899999999</v>
      </c>
      <c r="P243" s="458">
        <v>355969.10700000002</v>
      </c>
      <c r="Q243" s="458">
        <f>AVERAGE(Taulukko919[[#This Row],[Uudistuksen mukainen osuus työmarkkinatuesta, kotoutujia ei poistettu]:[Uudistuksen mukainen osuus työmarkkinatuesta, kotoutujat poistettu]])</f>
        <v>358641.75800000003</v>
      </c>
      <c r="R243" s="458">
        <v>286183.51</v>
      </c>
      <c r="S243" s="467">
        <f>Taulukko919[[#This Row],[Uudistuksen mukainen osuus työmarkkinatuesta, keskiarvo]]-Taulukko919[[#This Row],[Nykytila, kuntien osuus työmarkkinatuesta]]</f>
        <v>72458.248000000021</v>
      </c>
    </row>
    <row r="244" spans="1:19">
      <c r="A244" s="456">
        <v>749</v>
      </c>
      <c r="B244" s="456" t="s">
        <v>244</v>
      </c>
      <c r="C244" s="457">
        <v>21290</v>
      </c>
      <c r="D244" s="458">
        <v>1161634.6000000001</v>
      </c>
      <c r="E244" s="458">
        <v>1309203.9589999998</v>
      </c>
      <c r="F244" s="458">
        <f>Taulukko9[[#This Row],[Uudistuksen mukainen osuus työmarkkinatuesta*]]-Taulukko9[[#This Row],[Nykytila, kuntien osuus työmarkkinatuesta]]</f>
        <v>147569.35899999971</v>
      </c>
      <c r="G244" s="458">
        <v>70169.721999999994</v>
      </c>
      <c r="H244" s="458">
        <v>231584.963346907</v>
      </c>
      <c r="I244" s="459">
        <f>Taulukko9[[#This Row],[Uudistuksen mukainen osuus työmarkkinatuesta*]]+Taulukko9[[#This Row],[Uudistuksen mukainen osuus peruspäivärahasta]]+Taulukko9[[#This Row],[Uudistuksen mukainen osuus ansiopäivärahasta]]</f>
        <v>1610958.6443469068</v>
      </c>
      <c r="J244" s="467">
        <f>Taulukko9[[#This Row],[Uudistuksen mukainen rahoitusvastuu yhteensä]]-Taulukko9[[#This Row],[Nykytila, kuntien osuus työmarkkinatuesta]]</f>
        <v>449324.04434690671</v>
      </c>
      <c r="M244" s="456">
        <v>749</v>
      </c>
      <c r="N244" s="456" t="s">
        <v>244</v>
      </c>
      <c r="O244" s="458">
        <v>1314496.9439999999</v>
      </c>
      <c r="P244" s="458">
        <v>1303910.9739999999</v>
      </c>
      <c r="Q244" s="458">
        <f>AVERAGE(Taulukko919[[#This Row],[Uudistuksen mukainen osuus työmarkkinatuesta, kotoutujia ei poistettu]:[Uudistuksen mukainen osuus työmarkkinatuesta, kotoutujat poistettu]])</f>
        <v>1309203.9589999998</v>
      </c>
      <c r="R244" s="458">
        <v>1161634.6000000001</v>
      </c>
      <c r="S244" s="467">
        <f>Taulukko919[[#This Row],[Uudistuksen mukainen osuus työmarkkinatuesta, keskiarvo]]-Taulukko919[[#This Row],[Nykytila, kuntien osuus työmarkkinatuesta]]</f>
        <v>147569.35899999971</v>
      </c>
    </row>
    <row r="245" spans="1:19">
      <c r="A245" s="456">
        <v>751</v>
      </c>
      <c r="B245" s="456" t="s">
        <v>245</v>
      </c>
      <c r="C245" s="457">
        <v>2828</v>
      </c>
      <c r="D245" s="458">
        <v>89150.68</v>
      </c>
      <c r="E245" s="458">
        <v>152175.08100000001</v>
      </c>
      <c r="F245" s="458">
        <f>Taulukko9[[#This Row],[Uudistuksen mukainen osuus työmarkkinatuesta*]]-Taulukko9[[#This Row],[Nykytila, kuntien osuus työmarkkinatuesta]]</f>
        <v>63024.401000000013</v>
      </c>
      <c r="G245" s="458">
        <v>8324.1029999999992</v>
      </c>
      <c r="H245" s="458">
        <v>82901.120399207604</v>
      </c>
      <c r="I245" s="459">
        <f>Taulukko9[[#This Row],[Uudistuksen mukainen osuus työmarkkinatuesta*]]+Taulukko9[[#This Row],[Uudistuksen mukainen osuus peruspäivärahasta]]+Taulukko9[[#This Row],[Uudistuksen mukainen osuus ansiopäivärahasta]]</f>
        <v>243400.30439920761</v>
      </c>
      <c r="J245" s="467">
        <f>Taulukko9[[#This Row],[Uudistuksen mukainen rahoitusvastuu yhteensä]]-Taulukko9[[#This Row],[Nykytila, kuntien osuus työmarkkinatuesta]]</f>
        <v>154249.62439920762</v>
      </c>
      <c r="M245" s="456">
        <v>751</v>
      </c>
      <c r="N245" s="456" t="s">
        <v>245</v>
      </c>
      <c r="O245" s="458">
        <v>152175.08100000001</v>
      </c>
      <c r="P245" s="458">
        <v>152175.08100000001</v>
      </c>
      <c r="Q245" s="458">
        <f>AVERAGE(Taulukko919[[#This Row],[Uudistuksen mukainen osuus työmarkkinatuesta, kotoutujia ei poistettu]:[Uudistuksen mukainen osuus työmarkkinatuesta, kotoutujat poistettu]])</f>
        <v>152175.08100000001</v>
      </c>
      <c r="R245" s="458">
        <v>89150.68</v>
      </c>
      <c r="S245" s="467">
        <f>Taulukko919[[#This Row],[Uudistuksen mukainen osuus työmarkkinatuesta, keskiarvo]]-Taulukko919[[#This Row],[Nykytila, kuntien osuus työmarkkinatuesta]]</f>
        <v>63024.401000000013</v>
      </c>
    </row>
    <row r="246" spans="1:19">
      <c r="A246" s="456">
        <v>753</v>
      </c>
      <c r="B246" s="456" t="s">
        <v>246</v>
      </c>
      <c r="C246" s="457">
        <v>22595</v>
      </c>
      <c r="D246" s="458">
        <v>1311590.04</v>
      </c>
      <c r="E246" s="458">
        <v>1364355.3425</v>
      </c>
      <c r="F246" s="458">
        <f>Taulukko9[[#This Row],[Uudistuksen mukainen osuus työmarkkinatuesta*]]-Taulukko9[[#This Row],[Nykytila, kuntien osuus työmarkkinatuesta]]</f>
        <v>52765.302499999991</v>
      </c>
      <c r="G246" s="458">
        <v>76597.75</v>
      </c>
      <c r="H246" s="458">
        <v>212202.90820901</v>
      </c>
      <c r="I246" s="459">
        <f>Taulukko9[[#This Row],[Uudistuksen mukainen osuus työmarkkinatuesta*]]+Taulukko9[[#This Row],[Uudistuksen mukainen osuus peruspäivärahasta]]+Taulukko9[[#This Row],[Uudistuksen mukainen osuus ansiopäivärahasta]]</f>
        <v>1653156.0007090101</v>
      </c>
      <c r="J246" s="467">
        <f>Taulukko9[[#This Row],[Uudistuksen mukainen rahoitusvastuu yhteensä]]-Taulukko9[[#This Row],[Nykytila, kuntien osuus työmarkkinatuesta]]</f>
        <v>341565.96070901002</v>
      </c>
      <c r="M246" s="456">
        <v>753</v>
      </c>
      <c r="N246" s="456" t="s">
        <v>246</v>
      </c>
      <c r="O246" s="458">
        <v>1402163.895</v>
      </c>
      <c r="P246" s="458">
        <v>1326546.79</v>
      </c>
      <c r="Q246" s="458">
        <f>AVERAGE(Taulukko919[[#This Row],[Uudistuksen mukainen osuus työmarkkinatuesta, kotoutujia ei poistettu]:[Uudistuksen mukainen osuus työmarkkinatuesta, kotoutujat poistettu]])</f>
        <v>1364355.3425</v>
      </c>
      <c r="R246" s="458">
        <v>1311590.04</v>
      </c>
      <c r="S246" s="467">
        <f>Taulukko919[[#This Row],[Uudistuksen mukainen osuus työmarkkinatuesta, keskiarvo]]-Taulukko919[[#This Row],[Nykytila, kuntien osuus työmarkkinatuesta]]</f>
        <v>52765.302499999991</v>
      </c>
    </row>
    <row r="247" spans="1:19">
      <c r="A247" s="456">
        <v>755</v>
      </c>
      <c r="B247" s="456" t="s">
        <v>247</v>
      </c>
      <c r="C247" s="457">
        <v>6158</v>
      </c>
      <c r="D247" s="458">
        <v>359678.18</v>
      </c>
      <c r="E247" s="458">
        <v>384927.65600000002</v>
      </c>
      <c r="F247" s="458">
        <f>Taulukko9[[#This Row],[Uudistuksen mukainen osuus työmarkkinatuesta*]]-Taulukko9[[#This Row],[Nykytila, kuntien osuus työmarkkinatuesta]]</f>
        <v>25249.476000000024</v>
      </c>
      <c r="G247" s="458">
        <v>13287.593000000001</v>
      </c>
      <c r="H247" s="458">
        <v>55458.4138767603</v>
      </c>
      <c r="I247" s="459">
        <f>Taulukko9[[#This Row],[Uudistuksen mukainen osuus työmarkkinatuesta*]]+Taulukko9[[#This Row],[Uudistuksen mukainen osuus peruspäivärahasta]]+Taulukko9[[#This Row],[Uudistuksen mukainen osuus ansiopäivärahasta]]</f>
        <v>453673.6628767603</v>
      </c>
      <c r="J247" s="467">
        <f>Taulukko9[[#This Row],[Uudistuksen mukainen rahoitusvastuu yhteensä]]-Taulukko9[[#This Row],[Nykytila, kuntien osuus työmarkkinatuesta]]</f>
        <v>93995.482876760303</v>
      </c>
      <c r="M247" s="456">
        <v>755</v>
      </c>
      <c r="N247" s="456" t="s">
        <v>247</v>
      </c>
      <c r="O247" s="458">
        <v>390103.43400000001</v>
      </c>
      <c r="P247" s="458">
        <v>379751.87800000003</v>
      </c>
      <c r="Q247" s="458">
        <f>AVERAGE(Taulukko919[[#This Row],[Uudistuksen mukainen osuus työmarkkinatuesta, kotoutujia ei poistettu]:[Uudistuksen mukainen osuus työmarkkinatuesta, kotoutujat poistettu]])</f>
        <v>384927.65600000002</v>
      </c>
      <c r="R247" s="458">
        <v>359678.18</v>
      </c>
      <c r="S247" s="467">
        <f>Taulukko919[[#This Row],[Uudistuksen mukainen osuus työmarkkinatuesta, keskiarvo]]-Taulukko919[[#This Row],[Nykytila, kuntien osuus työmarkkinatuesta]]</f>
        <v>25249.476000000024</v>
      </c>
    </row>
    <row r="248" spans="1:19">
      <c r="A248" s="456">
        <v>758</v>
      </c>
      <c r="B248" s="456" t="s">
        <v>248</v>
      </c>
      <c r="C248" s="457">
        <v>8126</v>
      </c>
      <c r="D248" s="458">
        <v>303061.33</v>
      </c>
      <c r="E248" s="458">
        <v>448389.00549999997</v>
      </c>
      <c r="F248" s="458">
        <f>Taulukko9[[#This Row],[Uudistuksen mukainen osuus työmarkkinatuesta*]]-Taulukko9[[#This Row],[Nykytila, kuntien osuus työmarkkinatuesta]]</f>
        <v>145327.67549999995</v>
      </c>
      <c r="G248" s="458">
        <v>19621.394</v>
      </c>
      <c r="H248" s="458">
        <v>123272.786887412</v>
      </c>
      <c r="I248" s="459">
        <f>Taulukko9[[#This Row],[Uudistuksen mukainen osuus työmarkkinatuesta*]]+Taulukko9[[#This Row],[Uudistuksen mukainen osuus peruspäivärahasta]]+Taulukko9[[#This Row],[Uudistuksen mukainen osuus ansiopäivärahasta]]</f>
        <v>591283.1863874119</v>
      </c>
      <c r="J248" s="467">
        <f>Taulukko9[[#This Row],[Uudistuksen mukainen rahoitusvastuu yhteensä]]-Taulukko9[[#This Row],[Nykytila, kuntien osuus työmarkkinatuesta]]</f>
        <v>288221.85638741188</v>
      </c>
      <c r="M248" s="456">
        <v>758</v>
      </c>
      <c r="N248" s="456" t="s">
        <v>248</v>
      </c>
      <c r="O248" s="458">
        <v>450499.1</v>
      </c>
      <c r="P248" s="458">
        <v>446278.91100000002</v>
      </c>
      <c r="Q248" s="458">
        <f>AVERAGE(Taulukko919[[#This Row],[Uudistuksen mukainen osuus työmarkkinatuesta, kotoutujia ei poistettu]:[Uudistuksen mukainen osuus työmarkkinatuesta, kotoutujat poistettu]])</f>
        <v>448389.00549999997</v>
      </c>
      <c r="R248" s="458">
        <v>303061.33</v>
      </c>
      <c r="S248" s="467">
        <f>Taulukko919[[#This Row],[Uudistuksen mukainen osuus työmarkkinatuesta, keskiarvo]]-Taulukko919[[#This Row],[Nykytila, kuntien osuus työmarkkinatuesta]]</f>
        <v>145327.67549999995</v>
      </c>
    </row>
    <row r="249" spans="1:19">
      <c r="A249" s="456">
        <v>759</v>
      </c>
      <c r="B249" s="456" t="s">
        <v>249</v>
      </c>
      <c r="C249" s="457">
        <v>1873</v>
      </c>
      <c r="D249" s="458">
        <v>13615.99</v>
      </c>
      <c r="E249" s="458">
        <v>99990.18299999999</v>
      </c>
      <c r="F249" s="458">
        <f>Taulukko9[[#This Row],[Uudistuksen mukainen osuus työmarkkinatuesta*]]-Taulukko9[[#This Row],[Nykytila, kuntien osuus työmarkkinatuesta]]</f>
        <v>86374.192999999985</v>
      </c>
      <c r="G249" s="458">
        <v>5548.3519999999999</v>
      </c>
      <c r="H249" s="458">
        <v>12999.731285525901</v>
      </c>
      <c r="I249" s="459">
        <f>Taulukko9[[#This Row],[Uudistuksen mukainen osuus työmarkkinatuesta*]]+Taulukko9[[#This Row],[Uudistuksen mukainen osuus peruspäivärahasta]]+Taulukko9[[#This Row],[Uudistuksen mukainen osuus ansiopäivärahasta]]</f>
        <v>118538.2662855259</v>
      </c>
      <c r="J249" s="467">
        <f>Taulukko9[[#This Row],[Uudistuksen mukainen rahoitusvastuu yhteensä]]-Taulukko9[[#This Row],[Nykytila, kuntien osuus työmarkkinatuesta]]</f>
        <v>104922.27628552589</v>
      </c>
      <c r="M249" s="456">
        <v>759</v>
      </c>
      <c r="N249" s="456" t="s">
        <v>249</v>
      </c>
      <c r="O249" s="458">
        <v>101618.48299999999</v>
      </c>
      <c r="P249" s="458">
        <v>98361.883000000002</v>
      </c>
      <c r="Q249" s="458">
        <f>AVERAGE(Taulukko919[[#This Row],[Uudistuksen mukainen osuus työmarkkinatuesta, kotoutujia ei poistettu]:[Uudistuksen mukainen osuus työmarkkinatuesta, kotoutujat poistettu]])</f>
        <v>99990.18299999999</v>
      </c>
      <c r="R249" s="458">
        <v>13615.99</v>
      </c>
      <c r="S249" s="467">
        <f>Taulukko919[[#This Row],[Uudistuksen mukainen osuus työmarkkinatuesta, keskiarvo]]-Taulukko919[[#This Row],[Nykytila, kuntien osuus työmarkkinatuesta]]</f>
        <v>86374.192999999985</v>
      </c>
    </row>
    <row r="250" spans="1:19">
      <c r="A250" s="456">
        <v>761</v>
      </c>
      <c r="B250" s="456" t="s">
        <v>250</v>
      </c>
      <c r="C250" s="457">
        <v>8410</v>
      </c>
      <c r="D250" s="458">
        <v>319110.90999999997</v>
      </c>
      <c r="E250" s="458">
        <v>537739.70299999998</v>
      </c>
      <c r="F250" s="458">
        <f>Taulukko9[[#This Row],[Uudistuksen mukainen osuus työmarkkinatuesta*]]-Taulukko9[[#This Row],[Nykytila, kuntien osuus työmarkkinatuesta]]</f>
        <v>218628.79300000001</v>
      </c>
      <c r="G250" s="458">
        <v>24815.001</v>
      </c>
      <c r="H250" s="458">
        <v>95342.970330606302</v>
      </c>
      <c r="I250" s="459">
        <f>Taulukko9[[#This Row],[Uudistuksen mukainen osuus työmarkkinatuesta*]]+Taulukko9[[#This Row],[Uudistuksen mukainen osuus peruspäivärahasta]]+Taulukko9[[#This Row],[Uudistuksen mukainen osuus ansiopäivärahasta]]</f>
        <v>657897.67433060636</v>
      </c>
      <c r="J250" s="467">
        <f>Taulukko9[[#This Row],[Uudistuksen mukainen rahoitusvastuu yhteensä]]-Taulukko9[[#This Row],[Nykytila, kuntien osuus työmarkkinatuesta]]</f>
        <v>338786.76433060638</v>
      </c>
      <c r="M250" s="456">
        <v>761</v>
      </c>
      <c r="N250" s="456" t="s">
        <v>250</v>
      </c>
      <c r="O250" s="458">
        <v>544784.772</v>
      </c>
      <c r="P250" s="458">
        <v>530694.63399999996</v>
      </c>
      <c r="Q250" s="458">
        <f>AVERAGE(Taulukko919[[#This Row],[Uudistuksen mukainen osuus työmarkkinatuesta, kotoutujia ei poistettu]:[Uudistuksen mukainen osuus työmarkkinatuesta, kotoutujat poistettu]])</f>
        <v>537739.70299999998</v>
      </c>
      <c r="R250" s="458">
        <v>319110.90999999997</v>
      </c>
      <c r="S250" s="467">
        <f>Taulukko919[[#This Row],[Uudistuksen mukainen osuus työmarkkinatuesta, keskiarvo]]-Taulukko919[[#This Row],[Nykytila, kuntien osuus työmarkkinatuesta]]</f>
        <v>218628.79300000001</v>
      </c>
    </row>
    <row r="251" spans="1:19">
      <c r="A251" s="456">
        <v>762</v>
      </c>
      <c r="B251" s="456" t="s">
        <v>251</v>
      </c>
      <c r="C251" s="457">
        <v>3637</v>
      </c>
      <c r="D251" s="458">
        <v>113209.5</v>
      </c>
      <c r="E251" s="458">
        <v>233292.114</v>
      </c>
      <c r="F251" s="458">
        <f>Taulukko9[[#This Row],[Uudistuksen mukainen osuus työmarkkinatuesta*]]-Taulukko9[[#This Row],[Nykytila, kuntien osuus työmarkkinatuesta]]</f>
        <v>120082.614</v>
      </c>
      <c r="G251" s="458">
        <v>19857.969000000001</v>
      </c>
      <c r="H251" s="458">
        <v>77201.660713409699</v>
      </c>
      <c r="I251" s="459">
        <f>Taulukko9[[#This Row],[Uudistuksen mukainen osuus työmarkkinatuesta*]]+Taulukko9[[#This Row],[Uudistuksen mukainen osuus peruspäivärahasta]]+Taulukko9[[#This Row],[Uudistuksen mukainen osuus ansiopäivärahasta]]</f>
        <v>330351.7437134097</v>
      </c>
      <c r="J251" s="467">
        <f>Taulukko9[[#This Row],[Uudistuksen mukainen rahoitusvastuu yhteensä]]-Taulukko9[[#This Row],[Nykytila, kuntien osuus työmarkkinatuesta]]</f>
        <v>217142.2437134097</v>
      </c>
      <c r="M251" s="456">
        <v>762</v>
      </c>
      <c r="N251" s="456" t="s">
        <v>251</v>
      </c>
      <c r="O251" s="458">
        <v>233292.114</v>
      </c>
      <c r="P251" s="458">
        <v>233292.114</v>
      </c>
      <c r="Q251" s="458">
        <f>AVERAGE(Taulukko919[[#This Row],[Uudistuksen mukainen osuus työmarkkinatuesta, kotoutujia ei poistettu]:[Uudistuksen mukainen osuus työmarkkinatuesta, kotoutujat poistettu]])</f>
        <v>233292.114</v>
      </c>
      <c r="R251" s="458">
        <v>113209.5</v>
      </c>
      <c r="S251" s="467">
        <f>Taulukko919[[#This Row],[Uudistuksen mukainen osuus työmarkkinatuesta, keskiarvo]]-Taulukko919[[#This Row],[Nykytila, kuntien osuus työmarkkinatuesta]]</f>
        <v>120082.614</v>
      </c>
    </row>
    <row r="252" spans="1:19">
      <c r="A252" s="456">
        <v>765</v>
      </c>
      <c r="B252" s="456" t="s">
        <v>252</v>
      </c>
      <c r="C252" s="457">
        <v>10274</v>
      </c>
      <c r="D252" s="458">
        <v>190866.64</v>
      </c>
      <c r="E252" s="458">
        <v>358198.511</v>
      </c>
      <c r="F252" s="458">
        <f>Taulukko9[[#This Row],[Uudistuksen mukainen osuus työmarkkinatuesta*]]-Taulukko9[[#This Row],[Nykytila, kuntien osuus työmarkkinatuesta]]</f>
        <v>167331.87099999998</v>
      </c>
      <c r="G252" s="458">
        <v>20363.317999999999</v>
      </c>
      <c r="H252" s="458">
        <v>153032.44610704499</v>
      </c>
      <c r="I252" s="459">
        <f>Taulukko9[[#This Row],[Uudistuksen mukainen osuus työmarkkinatuesta*]]+Taulukko9[[#This Row],[Uudistuksen mukainen osuus peruspäivärahasta]]+Taulukko9[[#This Row],[Uudistuksen mukainen osuus ansiopäivärahasta]]</f>
        <v>531594.27510704496</v>
      </c>
      <c r="J252" s="467">
        <f>Taulukko9[[#This Row],[Uudistuksen mukainen rahoitusvastuu yhteensä]]-Taulukko9[[#This Row],[Nykytila, kuntien osuus työmarkkinatuesta]]</f>
        <v>340727.63510704495</v>
      </c>
      <c r="M252" s="456">
        <v>765</v>
      </c>
      <c r="N252" s="456" t="s">
        <v>252</v>
      </c>
      <c r="O252" s="458">
        <v>365522.44</v>
      </c>
      <c r="P252" s="458">
        <v>350874.58199999999</v>
      </c>
      <c r="Q252" s="458">
        <f>AVERAGE(Taulukko919[[#This Row],[Uudistuksen mukainen osuus työmarkkinatuesta, kotoutujia ei poistettu]:[Uudistuksen mukainen osuus työmarkkinatuesta, kotoutujat poistettu]])</f>
        <v>358198.511</v>
      </c>
      <c r="R252" s="458">
        <v>190866.64</v>
      </c>
      <c r="S252" s="467">
        <f>Taulukko919[[#This Row],[Uudistuksen mukainen osuus työmarkkinatuesta, keskiarvo]]-Taulukko919[[#This Row],[Nykytila, kuntien osuus työmarkkinatuesta]]</f>
        <v>167331.87099999998</v>
      </c>
    </row>
    <row r="253" spans="1:19">
      <c r="A253" s="456">
        <v>768</v>
      </c>
      <c r="B253" s="456" t="s">
        <v>253</v>
      </c>
      <c r="C253" s="457">
        <v>2368</v>
      </c>
      <c r="D253" s="458">
        <v>104979.28</v>
      </c>
      <c r="E253" s="458">
        <v>156821.07449999999</v>
      </c>
      <c r="F253" s="458">
        <f>Taulukko9[[#This Row],[Uudistuksen mukainen osuus työmarkkinatuesta*]]-Taulukko9[[#This Row],[Nykytila, kuntien osuus työmarkkinatuesta]]</f>
        <v>51841.794499999989</v>
      </c>
      <c r="G253" s="458">
        <v>8653.8410000000003</v>
      </c>
      <c r="H253" s="458">
        <v>24544.129111373401</v>
      </c>
      <c r="I253" s="459">
        <f>Taulukko9[[#This Row],[Uudistuksen mukainen osuus työmarkkinatuesta*]]+Taulukko9[[#This Row],[Uudistuksen mukainen osuus peruspäivärahasta]]+Taulukko9[[#This Row],[Uudistuksen mukainen osuus ansiopäivärahasta]]</f>
        <v>190019.04461137339</v>
      </c>
      <c r="J253" s="467">
        <f>Taulukko9[[#This Row],[Uudistuksen mukainen rahoitusvastuu yhteensä]]-Taulukko9[[#This Row],[Nykytila, kuntien osuus työmarkkinatuesta]]</f>
        <v>85039.764611373394</v>
      </c>
      <c r="M253" s="456">
        <v>768</v>
      </c>
      <c r="N253" s="456" t="s">
        <v>253</v>
      </c>
      <c r="O253" s="458">
        <v>158163.85500000001</v>
      </c>
      <c r="P253" s="458">
        <v>155478.29399999999</v>
      </c>
      <c r="Q253" s="458">
        <f>AVERAGE(Taulukko919[[#This Row],[Uudistuksen mukainen osuus työmarkkinatuesta, kotoutujia ei poistettu]:[Uudistuksen mukainen osuus työmarkkinatuesta, kotoutujat poistettu]])</f>
        <v>156821.07449999999</v>
      </c>
      <c r="R253" s="458">
        <v>104979.28</v>
      </c>
      <c r="S253" s="467">
        <f>Taulukko919[[#This Row],[Uudistuksen mukainen osuus työmarkkinatuesta, keskiarvo]]-Taulukko919[[#This Row],[Nykytila, kuntien osuus työmarkkinatuesta]]</f>
        <v>51841.794499999989</v>
      </c>
    </row>
    <row r="254" spans="1:19">
      <c r="A254" s="456">
        <v>777</v>
      </c>
      <c r="B254" s="456" t="s">
        <v>254</v>
      </c>
      <c r="C254" s="457">
        <v>7172</v>
      </c>
      <c r="D254" s="458">
        <v>304246.53999999998</v>
      </c>
      <c r="E254" s="458">
        <v>430586.84750000003</v>
      </c>
      <c r="F254" s="458">
        <f>Taulukko9[[#This Row],[Uudistuksen mukainen osuus työmarkkinatuesta*]]-Taulukko9[[#This Row],[Nykytila, kuntien osuus työmarkkinatuesta]]</f>
        <v>126340.30750000005</v>
      </c>
      <c r="G254" s="458">
        <v>15799.798000000001</v>
      </c>
      <c r="H254" s="458">
        <v>194751.580417747</v>
      </c>
      <c r="I254" s="459">
        <f>Taulukko9[[#This Row],[Uudistuksen mukainen osuus työmarkkinatuesta*]]+Taulukko9[[#This Row],[Uudistuksen mukainen osuus peruspäivärahasta]]+Taulukko9[[#This Row],[Uudistuksen mukainen osuus ansiopäivärahasta]]</f>
        <v>641138.22591774701</v>
      </c>
      <c r="J254" s="467">
        <f>Taulukko9[[#This Row],[Uudistuksen mukainen rahoitusvastuu yhteensä]]-Taulukko9[[#This Row],[Nykytila, kuntien osuus työmarkkinatuesta]]</f>
        <v>336891.68591774703</v>
      </c>
      <c r="M254" s="456">
        <v>777</v>
      </c>
      <c r="N254" s="456" t="s">
        <v>254</v>
      </c>
      <c r="O254" s="458">
        <v>458751.27100000001</v>
      </c>
      <c r="P254" s="458">
        <v>402422.424</v>
      </c>
      <c r="Q254" s="458">
        <f>AVERAGE(Taulukko919[[#This Row],[Uudistuksen mukainen osuus työmarkkinatuesta, kotoutujia ei poistettu]:[Uudistuksen mukainen osuus työmarkkinatuesta, kotoutujat poistettu]])</f>
        <v>430586.84750000003</v>
      </c>
      <c r="R254" s="458">
        <v>304246.53999999998</v>
      </c>
      <c r="S254" s="467">
        <f>Taulukko919[[#This Row],[Uudistuksen mukainen osuus työmarkkinatuesta, keskiarvo]]-Taulukko919[[#This Row],[Nykytila, kuntien osuus työmarkkinatuesta]]</f>
        <v>126340.30750000005</v>
      </c>
    </row>
    <row r="255" spans="1:19">
      <c r="A255" s="456">
        <v>778</v>
      </c>
      <c r="B255" s="456" t="s">
        <v>255</v>
      </c>
      <c r="C255" s="457">
        <v>6708</v>
      </c>
      <c r="D255" s="458">
        <v>272761.74</v>
      </c>
      <c r="E255" s="458">
        <v>406704.6545</v>
      </c>
      <c r="F255" s="458">
        <f>Taulukko9[[#This Row],[Uudistuksen mukainen osuus työmarkkinatuesta*]]-Taulukko9[[#This Row],[Nykytila, kuntien osuus työmarkkinatuesta]]</f>
        <v>133942.91450000001</v>
      </c>
      <c r="G255" s="458">
        <v>28983.098999999998</v>
      </c>
      <c r="H255" s="458">
        <v>91971.7889174171</v>
      </c>
      <c r="I255" s="459">
        <f>Taulukko9[[#This Row],[Uudistuksen mukainen osuus työmarkkinatuesta*]]+Taulukko9[[#This Row],[Uudistuksen mukainen osuus peruspäivärahasta]]+Taulukko9[[#This Row],[Uudistuksen mukainen osuus ansiopäivärahasta]]</f>
        <v>527659.54241741705</v>
      </c>
      <c r="J255" s="467">
        <f>Taulukko9[[#This Row],[Uudistuksen mukainen rahoitusvastuu yhteensä]]-Taulukko9[[#This Row],[Nykytila, kuntien osuus työmarkkinatuesta]]</f>
        <v>254897.80241741706</v>
      </c>
      <c r="M255" s="456">
        <v>778</v>
      </c>
      <c r="N255" s="456" t="s">
        <v>255</v>
      </c>
      <c r="O255" s="458">
        <v>412046.12599999999</v>
      </c>
      <c r="P255" s="458">
        <v>401363.18300000002</v>
      </c>
      <c r="Q255" s="458">
        <f>AVERAGE(Taulukko919[[#This Row],[Uudistuksen mukainen osuus työmarkkinatuesta, kotoutujia ei poistettu]:[Uudistuksen mukainen osuus työmarkkinatuesta, kotoutujat poistettu]])</f>
        <v>406704.6545</v>
      </c>
      <c r="R255" s="458">
        <v>272761.74</v>
      </c>
      <c r="S255" s="467">
        <f>Taulukko919[[#This Row],[Uudistuksen mukainen osuus työmarkkinatuesta, keskiarvo]]-Taulukko919[[#This Row],[Nykytila, kuntien osuus työmarkkinatuesta]]</f>
        <v>133942.91450000001</v>
      </c>
    </row>
    <row r="256" spans="1:19">
      <c r="A256" s="456">
        <v>781</v>
      </c>
      <c r="B256" s="456" t="s">
        <v>256</v>
      </c>
      <c r="C256" s="457">
        <v>3496</v>
      </c>
      <c r="D256" s="458">
        <v>140761.49</v>
      </c>
      <c r="E256" s="458">
        <v>227780.899</v>
      </c>
      <c r="F256" s="458">
        <f>Taulukko9[[#This Row],[Uudistuksen mukainen osuus työmarkkinatuesta*]]-Taulukko9[[#This Row],[Nykytila, kuntien osuus työmarkkinatuesta]]</f>
        <v>87019.409000000014</v>
      </c>
      <c r="G256" s="458">
        <v>6977.7280000000001</v>
      </c>
      <c r="H256" s="458">
        <v>54228.638236091399</v>
      </c>
      <c r="I256" s="459">
        <f>Taulukko9[[#This Row],[Uudistuksen mukainen osuus työmarkkinatuesta*]]+Taulukko9[[#This Row],[Uudistuksen mukainen osuus peruspäivärahasta]]+Taulukko9[[#This Row],[Uudistuksen mukainen osuus ansiopäivärahasta]]</f>
        <v>288987.26523609139</v>
      </c>
      <c r="J256" s="467">
        <f>Taulukko9[[#This Row],[Uudistuksen mukainen rahoitusvastuu yhteensä]]-Taulukko9[[#This Row],[Nykytila, kuntien osuus työmarkkinatuesta]]</f>
        <v>148225.7752360914</v>
      </c>
      <c r="M256" s="456">
        <v>781</v>
      </c>
      <c r="N256" s="456" t="s">
        <v>256</v>
      </c>
      <c r="O256" s="458">
        <v>227818.109</v>
      </c>
      <c r="P256" s="458">
        <v>227743.68900000001</v>
      </c>
      <c r="Q256" s="458">
        <f>AVERAGE(Taulukko919[[#This Row],[Uudistuksen mukainen osuus työmarkkinatuesta, kotoutujia ei poistettu]:[Uudistuksen mukainen osuus työmarkkinatuesta, kotoutujat poistettu]])</f>
        <v>227780.899</v>
      </c>
      <c r="R256" s="458">
        <v>140761.49</v>
      </c>
      <c r="S256" s="467">
        <f>Taulukko919[[#This Row],[Uudistuksen mukainen osuus työmarkkinatuesta, keskiarvo]]-Taulukko919[[#This Row],[Nykytila, kuntien osuus työmarkkinatuesta]]</f>
        <v>87019.409000000014</v>
      </c>
    </row>
    <row r="257" spans="1:19">
      <c r="A257" s="456">
        <v>783</v>
      </c>
      <c r="B257" s="456" t="s">
        <v>257</v>
      </c>
      <c r="C257" s="457">
        <v>6377</v>
      </c>
      <c r="D257" s="458">
        <v>265630</v>
      </c>
      <c r="E257" s="458">
        <v>417400.36050000001</v>
      </c>
      <c r="F257" s="458">
        <f>Taulukko9[[#This Row],[Uudistuksen mukainen osuus työmarkkinatuesta*]]-Taulukko9[[#This Row],[Nykytila, kuntien osuus työmarkkinatuesta]]</f>
        <v>151770.36050000001</v>
      </c>
      <c r="G257" s="458">
        <v>16918.843000000001</v>
      </c>
      <c r="H257" s="458">
        <v>74550.566356619296</v>
      </c>
      <c r="I257" s="459">
        <f>Taulukko9[[#This Row],[Uudistuksen mukainen osuus työmarkkinatuesta*]]+Taulukko9[[#This Row],[Uudistuksen mukainen osuus peruspäivärahasta]]+Taulukko9[[#This Row],[Uudistuksen mukainen osuus ansiopäivärahasta]]</f>
        <v>508869.7698566193</v>
      </c>
      <c r="J257" s="467">
        <f>Taulukko9[[#This Row],[Uudistuksen mukainen rahoitusvastuu yhteensä]]-Taulukko9[[#This Row],[Nykytila, kuntien osuus työmarkkinatuesta]]</f>
        <v>243239.7698566193</v>
      </c>
      <c r="M257" s="456">
        <v>783</v>
      </c>
      <c r="N257" s="456" t="s">
        <v>257</v>
      </c>
      <c r="O257" s="458">
        <v>417868.36900000001</v>
      </c>
      <c r="P257" s="458">
        <v>416932.35200000001</v>
      </c>
      <c r="Q257" s="458">
        <f>AVERAGE(Taulukko919[[#This Row],[Uudistuksen mukainen osuus työmarkkinatuesta, kotoutujia ei poistettu]:[Uudistuksen mukainen osuus työmarkkinatuesta, kotoutujat poistettu]])</f>
        <v>417400.36050000001</v>
      </c>
      <c r="R257" s="458">
        <v>265630</v>
      </c>
      <c r="S257" s="467">
        <f>Taulukko919[[#This Row],[Uudistuksen mukainen osuus työmarkkinatuesta, keskiarvo]]-Taulukko919[[#This Row],[Nykytila, kuntien osuus työmarkkinatuesta]]</f>
        <v>151770.36050000001</v>
      </c>
    </row>
    <row r="258" spans="1:19">
      <c r="A258" s="456">
        <v>785</v>
      </c>
      <c r="B258" s="456" t="s">
        <v>258</v>
      </c>
      <c r="C258" s="457">
        <v>2589</v>
      </c>
      <c r="D258" s="458">
        <v>70672.14</v>
      </c>
      <c r="E258" s="458">
        <v>147477.717</v>
      </c>
      <c r="F258" s="458">
        <f>Taulukko9[[#This Row],[Uudistuksen mukainen osuus työmarkkinatuesta*]]-Taulukko9[[#This Row],[Nykytila, kuntien osuus työmarkkinatuesta]]</f>
        <v>76805.577000000005</v>
      </c>
      <c r="G258" s="458">
        <v>7348.7479999999996</v>
      </c>
      <c r="H258" s="458">
        <v>82204.513770641803</v>
      </c>
      <c r="I258" s="459">
        <f>Taulukko9[[#This Row],[Uudistuksen mukainen osuus työmarkkinatuesta*]]+Taulukko9[[#This Row],[Uudistuksen mukainen osuus peruspäivärahasta]]+Taulukko9[[#This Row],[Uudistuksen mukainen osuus ansiopäivärahasta]]</f>
        <v>237030.97877064178</v>
      </c>
      <c r="J258" s="467">
        <f>Taulukko9[[#This Row],[Uudistuksen mukainen rahoitusvastuu yhteensä]]-Taulukko9[[#This Row],[Nykytila, kuntien osuus työmarkkinatuesta]]</f>
        <v>166358.83877064177</v>
      </c>
      <c r="M258" s="456">
        <v>785</v>
      </c>
      <c r="N258" s="456" t="s">
        <v>258</v>
      </c>
      <c r="O258" s="458">
        <v>149427.505</v>
      </c>
      <c r="P258" s="458">
        <v>145527.929</v>
      </c>
      <c r="Q258" s="458">
        <f>AVERAGE(Taulukko919[[#This Row],[Uudistuksen mukainen osuus työmarkkinatuesta, kotoutujia ei poistettu]:[Uudistuksen mukainen osuus työmarkkinatuesta, kotoutujat poistettu]])</f>
        <v>147477.717</v>
      </c>
      <c r="R258" s="458">
        <v>70672.14</v>
      </c>
      <c r="S258" s="467">
        <f>Taulukko919[[#This Row],[Uudistuksen mukainen osuus työmarkkinatuesta, keskiarvo]]-Taulukko919[[#This Row],[Nykytila, kuntien osuus työmarkkinatuesta]]</f>
        <v>76805.577000000005</v>
      </c>
    </row>
    <row r="259" spans="1:19">
      <c r="A259" s="456">
        <v>790</v>
      </c>
      <c r="B259" s="456" t="s">
        <v>259</v>
      </c>
      <c r="C259" s="457">
        <v>23515</v>
      </c>
      <c r="D259" s="458">
        <v>609948.56999999995</v>
      </c>
      <c r="E259" s="458">
        <v>1476068.4964999999</v>
      </c>
      <c r="F259" s="458">
        <f>Taulukko9[[#This Row],[Uudistuksen mukainen osuus työmarkkinatuesta*]]-Taulukko9[[#This Row],[Nykytila, kuntien osuus työmarkkinatuesta]]</f>
        <v>866119.92649999994</v>
      </c>
      <c r="G259" s="458">
        <v>69760.673999999999</v>
      </c>
      <c r="H259" s="458">
        <v>312252.97089158703</v>
      </c>
      <c r="I259" s="459">
        <f>Taulukko9[[#This Row],[Uudistuksen mukainen osuus työmarkkinatuesta*]]+Taulukko9[[#This Row],[Uudistuksen mukainen osuus peruspäivärahasta]]+Taulukko9[[#This Row],[Uudistuksen mukainen osuus ansiopäivärahasta]]</f>
        <v>1858082.141391587</v>
      </c>
      <c r="J259" s="467">
        <f>Taulukko9[[#This Row],[Uudistuksen mukainen rahoitusvastuu yhteensä]]-Taulukko9[[#This Row],[Nykytila, kuntien osuus työmarkkinatuesta]]</f>
        <v>1248133.5713915871</v>
      </c>
      <c r="M259" s="456">
        <v>790</v>
      </c>
      <c r="N259" s="456" t="s">
        <v>259</v>
      </c>
      <c r="O259" s="458">
        <v>1485356.111</v>
      </c>
      <c r="P259" s="458">
        <v>1466780.882</v>
      </c>
      <c r="Q259" s="458">
        <f>AVERAGE(Taulukko919[[#This Row],[Uudistuksen mukainen osuus työmarkkinatuesta, kotoutujia ei poistettu]:[Uudistuksen mukainen osuus työmarkkinatuesta, kotoutujat poistettu]])</f>
        <v>1476068.4964999999</v>
      </c>
      <c r="R259" s="458">
        <v>609948.56999999995</v>
      </c>
      <c r="S259" s="467">
        <f>Taulukko919[[#This Row],[Uudistuksen mukainen osuus työmarkkinatuesta, keskiarvo]]-Taulukko919[[#This Row],[Nykytila, kuntien osuus työmarkkinatuesta]]</f>
        <v>866119.92649999994</v>
      </c>
    </row>
    <row r="260" spans="1:19">
      <c r="A260" s="456">
        <v>791</v>
      </c>
      <c r="B260" s="456" t="s">
        <v>260</v>
      </c>
      <c r="C260" s="457">
        <v>4931</v>
      </c>
      <c r="D260" s="458">
        <v>242779.95</v>
      </c>
      <c r="E260" s="458">
        <v>338948.03099999996</v>
      </c>
      <c r="F260" s="458">
        <f>Taulukko9[[#This Row],[Uudistuksen mukainen osuus työmarkkinatuesta*]]-Taulukko9[[#This Row],[Nykytila, kuntien osuus työmarkkinatuesta]]</f>
        <v>96168.080999999947</v>
      </c>
      <c r="G260" s="458">
        <v>16977.576000000001</v>
      </c>
      <c r="H260" s="458">
        <v>81334.684227318605</v>
      </c>
      <c r="I260" s="459">
        <f>Taulukko9[[#This Row],[Uudistuksen mukainen osuus työmarkkinatuesta*]]+Taulukko9[[#This Row],[Uudistuksen mukainen osuus peruspäivärahasta]]+Taulukko9[[#This Row],[Uudistuksen mukainen osuus ansiopäivärahasta]]</f>
        <v>437260.29122731858</v>
      </c>
      <c r="J260" s="467">
        <f>Taulukko9[[#This Row],[Uudistuksen mukainen rahoitusvastuu yhteensä]]-Taulukko9[[#This Row],[Nykytila, kuntien osuus työmarkkinatuesta]]</f>
        <v>194480.34122731857</v>
      </c>
      <c r="M260" s="456">
        <v>791</v>
      </c>
      <c r="N260" s="456" t="s">
        <v>260</v>
      </c>
      <c r="O260" s="458">
        <v>338985.24099999998</v>
      </c>
      <c r="P260" s="458">
        <v>338910.821</v>
      </c>
      <c r="Q260" s="458">
        <f>AVERAGE(Taulukko919[[#This Row],[Uudistuksen mukainen osuus työmarkkinatuesta, kotoutujia ei poistettu]:[Uudistuksen mukainen osuus työmarkkinatuesta, kotoutujat poistettu]])</f>
        <v>338948.03099999996</v>
      </c>
      <c r="R260" s="458">
        <v>242779.95</v>
      </c>
      <c r="S260" s="467">
        <f>Taulukko919[[#This Row],[Uudistuksen mukainen osuus työmarkkinatuesta, keskiarvo]]-Taulukko919[[#This Row],[Nykytila, kuntien osuus työmarkkinatuesta]]</f>
        <v>96168.080999999947</v>
      </c>
    </row>
    <row r="261" spans="1:19">
      <c r="A261" s="456">
        <v>831</v>
      </c>
      <c r="B261" s="456" t="s">
        <v>261</v>
      </c>
      <c r="C261" s="457">
        <v>4625</v>
      </c>
      <c r="D261" s="458">
        <v>199614.83</v>
      </c>
      <c r="E261" s="458">
        <v>281372.06149999995</v>
      </c>
      <c r="F261" s="458">
        <f>Taulukko9[[#This Row],[Uudistuksen mukainen osuus työmarkkinatuesta*]]-Taulukko9[[#This Row],[Nykytila, kuntien osuus työmarkkinatuesta]]</f>
        <v>81757.231499999965</v>
      </c>
      <c r="G261" s="458">
        <v>18835.741999999998</v>
      </c>
      <c r="H261" s="458">
        <v>83538.729028935501</v>
      </c>
      <c r="I261" s="459">
        <f>Taulukko9[[#This Row],[Uudistuksen mukainen osuus työmarkkinatuesta*]]+Taulukko9[[#This Row],[Uudistuksen mukainen osuus peruspäivärahasta]]+Taulukko9[[#This Row],[Uudistuksen mukainen osuus ansiopäivärahasta]]</f>
        <v>383746.53252893541</v>
      </c>
      <c r="J261" s="467">
        <f>Taulukko9[[#This Row],[Uudistuksen mukainen rahoitusvastuu yhteensä]]-Taulukko9[[#This Row],[Nykytila, kuntien osuus työmarkkinatuesta]]</f>
        <v>184131.70252893542</v>
      </c>
      <c r="M261" s="456">
        <v>831</v>
      </c>
      <c r="N261" s="456" t="s">
        <v>261</v>
      </c>
      <c r="O261" s="458">
        <v>290568.32699999999</v>
      </c>
      <c r="P261" s="458">
        <v>272175.79599999997</v>
      </c>
      <c r="Q261" s="458">
        <f>AVERAGE(Taulukko919[[#This Row],[Uudistuksen mukainen osuus työmarkkinatuesta, kotoutujia ei poistettu]:[Uudistuksen mukainen osuus työmarkkinatuesta, kotoutujat poistettu]])</f>
        <v>281372.06149999995</v>
      </c>
      <c r="R261" s="458">
        <v>199614.83</v>
      </c>
      <c r="S261" s="467">
        <f>Taulukko919[[#This Row],[Uudistuksen mukainen osuus työmarkkinatuesta, keskiarvo]]-Taulukko919[[#This Row],[Nykytila, kuntien osuus työmarkkinatuesta]]</f>
        <v>81757.231499999965</v>
      </c>
    </row>
    <row r="262" spans="1:19">
      <c r="A262" s="456">
        <v>832</v>
      </c>
      <c r="B262" s="456" t="s">
        <v>262</v>
      </c>
      <c r="C262" s="457">
        <v>3731</v>
      </c>
      <c r="D262" s="458">
        <v>137950.37</v>
      </c>
      <c r="E262" s="458">
        <v>238704.364</v>
      </c>
      <c r="F262" s="458">
        <f>Taulukko9[[#This Row],[Uudistuksen mukainen osuus työmarkkinatuesta*]]-Taulukko9[[#This Row],[Nykytila, kuntien osuus työmarkkinatuesta]]</f>
        <v>100753.99400000001</v>
      </c>
      <c r="G262" s="458">
        <v>14411.593000000001</v>
      </c>
      <c r="H262" s="458">
        <v>112492.531256506</v>
      </c>
      <c r="I262" s="459">
        <f>Taulukko9[[#This Row],[Uudistuksen mukainen osuus työmarkkinatuesta*]]+Taulukko9[[#This Row],[Uudistuksen mukainen osuus peruspäivärahasta]]+Taulukko9[[#This Row],[Uudistuksen mukainen osuus ansiopäivärahasta]]</f>
        <v>365608.48825650598</v>
      </c>
      <c r="J262" s="467">
        <f>Taulukko9[[#This Row],[Uudistuksen mukainen rahoitusvastuu yhteensä]]-Taulukko9[[#This Row],[Nykytila, kuntien osuus työmarkkinatuesta]]</f>
        <v>227658.11825650599</v>
      </c>
      <c r="M262" s="456">
        <v>832</v>
      </c>
      <c r="N262" s="456" t="s">
        <v>262</v>
      </c>
      <c r="O262" s="458">
        <v>238954.41399999999</v>
      </c>
      <c r="P262" s="458">
        <v>238454.31400000001</v>
      </c>
      <c r="Q262" s="458">
        <f>AVERAGE(Taulukko919[[#This Row],[Uudistuksen mukainen osuus työmarkkinatuesta, kotoutujia ei poistettu]:[Uudistuksen mukainen osuus työmarkkinatuesta, kotoutujat poistettu]])</f>
        <v>238704.364</v>
      </c>
      <c r="R262" s="458">
        <v>137950.37</v>
      </c>
      <c r="S262" s="467">
        <f>Taulukko919[[#This Row],[Uudistuksen mukainen osuus työmarkkinatuesta, keskiarvo]]-Taulukko919[[#This Row],[Nykytila, kuntien osuus työmarkkinatuesta]]</f>
        <v>100753.99400000001</v>
      </c>
    </row>
    <row r="263" spans="1:19">
      <c r="A263" s="456">
        <v>833</v>
      </c>
      <c r="B263" s="456" t="s">
        <v>263</v>
      </c>
      <c r="C263" s="457">
        <v>1705</v>
      </c>
      <c r="D263" s="458">
        <v>67980.14</v>
      </c>
      <c r="E263" s="458">
        <v>80872.202000000005</v>
      </c>
      <c r="F263" s="458">
        <f>Taulukko9[[#This Row],[Uudistuksen mukainen osuus työmarkkinatuesta*]]-Taulukko9[[#This Row],[Nykytila, kuntien osuus työmarkkinatuesta]]</f>
        <v>12892.062000000005</v>
      </c>
      <c r="G263" s="458">
        <v>9283.3289999999997</v>
      </c>
      <c r="H263" s="458">
        <v>22432.768186095102</v>
      </c>
      <c r="I263" s="459">
        <f>Taulukko9[[#This Row],[Uudistuksen mukainen osuus työmarkkinatuesta*]]+Taulukko9[[#This Row],[Uudistuksen mukainen osuus peruspäivärahasta]]+Taulukko9[[#This Row],[Uudistuksen mukainen osuus ansiopäivärahasta]]</f>
        <v>112588.2991860951</v>
      </c>
      <c r="J263" s="467">
        <f>Taulukko9[[#This Row],[Uudistuksen mukainen rahoitusvastuu yhteensä]]-Taulukko9[[#This Row],[Nykytila, kuntien osuus työmarkkinatuesta]]</f>
        <v>44608.159186095101</v>
      </c>
      <c r="M263" s="456">
        <v>833</v>
      </c>
      <c r="N263" s="456" t="s">
        <v>263</v>
      </c>
      <c r="O263" s="458">
        <v>80872.202000000005</v>
      </c>
      <c r="P263" s="458">
        <v>80872.202000000005</v>
      </c>
      <c r="Q263" s="458">
        <f>AVERAGE(Taulukko919[[#This Row],[Uudistuksen mukainen osuus työmarkkinatuesta, kotoutujia ei poistettu]:[Uudistuksen mukainen osuus työmarkkinatuesta, kotoutujat poistettu]])</f>
        <v>80872.202000000005</v>
      </c>
      <c r="R263" s="458">
        <v>67980.14</v>
      </c>
      <c r="S263" s="467">
        <f>Taulukko919[[#This Row],[Uudistuksen mukainen osuus työmarkkinatuesta, keskiarvo]]-Taulukko919[[#This Row],[Nykytila, kuntien osuus työmarkkinatuesta]]</f>
        <v>12892.062000000005</v>
      </c>
    </row>
    <row r="264" spans="1:19">
      <c r="A264" s="456">
        <v>834</v>
      </c>
      <c r="B264" s="456" t="s">
        <v>264</v>
      </c>
      <c r="C264" s="457">
        <v>5844</v>
      </c>
      <c r="D264" s="458">
        <v>212544.49</v>
      </c>
      <c r="E264" s="458">
        <v>315567.76449999999</v>
      </c>
      <c r="F264" s="458">
        <f>Taulukko9[[#This Row],[Uudistuksen mukainen osuus työmarkkinatuesta*]]-Taulukko9[[#This Row],[Nykytila, kuntien osuus työmarkkinatuesta]]</f>
        <v>103023.2745</v>
      </c>
      <c r="G264" s="458">
        <v>17148.842000000001</v>
      </c>
      <c r="H264" s="458">
        <v>57664.033015060602</v>
      </c>
      <c r="I264" s="459">
        <f>Taulukko9[[#This Row],[Uudistuksen mukainen osuus työmarkkinatuesta*]]+Taulukko9[[#This Row],[Uudistuksen mukainen osuus peruspäivärahasta]]+Taulukko9[[#This Row],[Uudistuksen mukainen osuus ansiopäivärahasta]]</f>
        <v>390380.63951506058</v>
      </c>
      <c r="J264" s="467">
        <f>Taulukko9[[#This Row],[Uudistuksen mukainen rahoitusvastuu yhteensä]]-Taulukko9[[#This Row],[Nykytila, kuntien osuus työmarkkinatuesta]]</f>
        <v>177836.14951506059</v>
      </c>
      <c r="M264" s="456">
        <v>834</v>
      </c>
      <c r="N264" s="456" t="s">
        <v>264</v>
      </c>
      <c r="O264" s="458">
        <v>319688.84700000001</v>
      </c>
      <c r="P264" s="458">
        <v>311446.68199999997</v>
      </c>
      <c r="Q264" s="458">
        <f>AVERAGE(Taulukko919[[#This Row],[Uudistuksen mukainen osuus työmarkkinatuesta, kotoutujia ei poistettu]:[Uudistuksen mukainen osuus työmarkkinatuesta, kotoutujat poistettu]])</f>
        <v>315567.76449999999</v>
      </c>
      <c r="R264" s="458">
        <v>212544.49</v>
      </c>
      <c r="S264" s="467">
        <f>Taulukko919[[#This Row],[Uudistuksen mukainen osuus työmarkkinatuesta, keskiarvo]]-Taulukko919[[#This Row],[Nykytila, kuntien osuus työmarkkinatuesta]]</f>
        <v>103023.2745</v>
      </c>
    </row>
    <row r="265" spans="1:19">
      <c r="A265" s="456">
        <v>837</v>
      </c>
      <c r="B265" s="456" t="s">
        <v>265</v>
      </c>
      <c r="C265" s="457">
        <v>255050</v>
      </c>
      <c r="D265" s="458">
        <v>25960338.469999999</v>
      </c>
      <c r="E265" s="458">
        <v>37583533.973999999</v>
      </c>
      <c r="F265" s="458">
        <f>Taulukko9[[#This Row],[Uudistuksen mukainen osuus työmarkkinatuesta*]]-Taulukko9[[#This Row],[Nykytila, kuntien osuus työmarkkinatuesta]]</f>
        <v>11623195.504000001</v>
      </c>
      <c r="G265" s="458">
        <v>1374308.04</v>
      </c>
      <c r="H265" s="458">
        <v>3577881.3957257299</v>
      </c>
      <c r="I265" s="459">
        <f>Taulukko9[[#This Row],[Uudistuksen mukainen osuus työmarkkinatuesta*]]+Taulukko9[[#This Row],[Uudistuksen mukainen osuus peruspäivärahasta]]+Taulukko9[[#This Row],[Uudistuksen mukainen osuus ansiopäivärahasta]]</f>
        <v>42535723.409725726</v>
      </c>
      <c r="J265" s="467">
        <f>Taulukko9[[#This Row],[Uudistuksen mukainen rahoitusvastuu yhteensä]]-Taulukko9[[#This Row],[Nykytila, kuntien osuus työmarkkinatuesta]]</f>
        <v>16575384.939725727</v>
      </c>
      <c r="M265" s="456">
        <v>837</v>
      </c>
      <c r="N265" s="456" t="s">
        <v>265</v>
      </c>
      <c r="O265" s="458">
        <v>38747915.839000002</v>
      </c>
      <c r="P265" s="458">
        <v>36419152.108999997</v>
      </c>
      <c r="Q265" s="458">
        <f>AVERAGE(Taulukko919[[#This Row],[Uudistuksen mukainen osuus työmarkkinatuesta, kotoutujia ei poistettu]:[Uudistuksen mukainen osuus työmarkkinatuesta, kotoutujat poistettu]])</f>
        <v>37583533.973999999</v>
      </c>
      <c r="R265" s="458">
        <v>25960338.469999999</v>
      </c>
      <c r="S265" s="467">
        <f>Taulukko919[[#This Row],[Uudistuksen mukainen osuus työmarkkinatuesta, keskiarvo]]-Taulukko919[[#This Row],[Nykytila, kuntien osuus työmarkkinatuesta]]</f>
        <v>11623195.504000001</v>
      </c>
    </row>
    <row r="266" spans="1:19">
      <c r="A266" s="456">
        <v>844</v>
      </c>
      <c r="B266" s="456" t="s">
        <v>266</v>
      </c>
      <c r="C266" s="457">
        <v>1412</v>
      </c>
      <c r="D266" s="458">
        <v>102055.46</v>
      </c>
      <c r="E266" s="458">
        <v>134784.55900000001</v>
      </c>
      <c r="F266" s="458">
        <f>Taulukko9[[#This Row],[Uudistuksen mukainen osuus työmarkkinatuesta*]]-Taulukko9[[#This Row],[Nykytila, kuntien osuus työmarkkinatuesta]]</f>
        <v>32729.099000000002</v>
      </c>
      <c r="G266" s="458">
        <v>876.74599999999998</v>
      </c>
      <c r="H266" s="458">
        <v>26169.977805782699</v>
      </c>
      <c r="I266" s="459">
        <f>Taulukko9[[#This Row],[Uudistuksen mukainen osuus työmarkkinatuesta*]]+Taulukko9[[#This Row],[Uudistuksen mukainen osuus peruspäivärahasta]]+Taulukko9[[#This Row],[Uudistuksen mukainen osuus ansiopäivärahasta]]</f>
        <v>161831.28280578271</v>
      </c>
      <c r="J266" s="467">
        <f>Taulukko9[[#This Row],[Uudistuksen mukainen rahoitusvastuu yhteensä]]-Taulukko9[[#This Row],[Nykytila, kuntien osuus työmarkkinatuesta]]</f>
        <v>59775.822805782707</v>
      </c>
      <c r="M266" s="456">
        <v>844</v>
      </c>
      <c r="N266" s="456" t="s">
        <v>266</v>
      </c>
      <c r="O266" s="458">
        <v>135564.226</v>
      </c>
      <c r="P266" s="458">
        <v>134004.89199999999</v>
      </c>
      <c r="Q266" s="458">
        <f>AVERAGE(Taulukko919[[#This Row],[Uudistuksen mukainen osuus työmarkkinatuesta, kotoutujia ei poistettu]:[Uudistuksen mukainen osuus työmarkkinatuesta, kotoutujat poistettu]])</f>
        <v>134784.55900000001</v>
      </c>
      <c r="R266" s="458">
        <v>102055.46</v>
      </c>
      <c r="S266" s="467">
        <f>Taulukko919[[#This Row],[Uudistuksen mukainen osuus työmarkkinatuesta, keskiarvo]]-Taulukko919[[#This Row],[Nykytila, kuntien osuus työmarkkinatuesta]]</f>
        <v>32729.099000000002</v>
      </c>
    </row>
    <row r="267" spans="1:19">
      <c r="A267" s="456">
        <v>845</v>
      </c>
      <c r="B267" s="456" t="s">
        <v>267</v>
      </c>
      <c r="C267" s="457">
        <v>2831</v>
      </c>
      <c r="D267" s="458">
        <v>104780.02</v>
      </c>
      <c r="E267" s="458">
        <v>150215.1925</v>
      </c>
      <c r="F267" s="458">
        <f>Taulukko9[[#This Row],[Uudistuksen mukainen osuus työmarkkinatuesta*]]-Taulukko9[[#This Row],[Nykytila, kuntien osuus työmarkkinatuesta]]</f>
        <v>45435.172500000001</v>
      </c>
      <c r="G267" s="458">
        <v>3380.3780000000002</v>
      </c>
      <c r="H267" s="458">
        <v>59311.959124205801</v>
      </c>
      <c r="I267" s="459">
        <f>Taulukko9[[#This Row],[Uudistuksen mukainen osuus työmarkkinatuesta*]]+Taulukko9[[#This Row],[Uudistuksen mukainen osuus peruspäivärahasta]]+Taulukko9[[#This Row],[Uudistuksen mukainen osuus ansiopäivärahasta]]</f>
        <v>212907.52962420581</v>
      </c>
      <c r="J267" s="467">
        <f>Taulukko9[[#This Row],[Uudistuksen mukainen rahoitusvastuu yhteensä]]-Taulukko9[[#This Row],[Nykytila, kuntien osuus työmarkkinatuesta]]</f>
        <v>108127.50962420581</v>
      </c>
      <c r="M267" s="456">
        <v>845</v>
      </c>
      <c r="N267" s="456" t="s">
        <v>267</v>
      </c>
      <c r="O267" s="458">
        <v>162801.823</v>
      </c>
      <c r="P267" s="458">
        <v>137628.56200000001</v>
      </c>
      <c r="Q267" s="458">
        <f>AVERAGE(Taulukko919[[#This Row],[Uudistuksen mukainen osuus työmarkkinatuesta, kotoutujia ei poistettu]:[Uudistuksen mukainen osuus työmarkkinatuesta, kotoutujat poistettu]])</f>
        <v>150215.1925</v>
      </c>
      <c r="R267" s="458">
        <v>104780.02</v>
      </c>
      <c r="S267" s="467">
        <f>Taulukko919[[#This Row],[Uudistuksen mukainen osuus työmarkkinatuesta, keskiarvo]]-Taulukko919[[#This Row],[Nykytila, kuntien osuus työmarkkinatuesta]]</f>
        <v>45435.172500000001</v>
      </c>
    </row>
    <row r="268" spans="1:19">
      <c r="A268" s="456">
        <v>846</v>
      </c>
      <c r="B268" s="456" t="s">
        <v>268</v>
      </c>
      <c r="C268" s="457">
        <v>4758</v>
      </c>
      <c r="D268" s="458">
        <v>164849.9</v>
      </c>
      <c r="E268" s="458">
        <v>337431.76899999997</v>
      </c>
      <c r="F268" s="458">
        <f>Taulukko9[[#This Row],[Uudistuksen mukainen osuus työmarkkinatuesta*]]-Taulukko9[[#This Row],[Nykytila, kuntien osuus työmarkkinatuesta]]</f>
        <v>172581.86899999998</v>
      </c>
      <c r="G268" s="458">
        <v>14929.016</v>
      </c>
      <c r="H268" s="458">
        <v>60892.481896907499</v>
      </c>
      <c r="I268" s="459">
        <f>Taulukko9[[#This Row],[Uudistuksen mukainen osuus työmarkkinatuesta*]]+Taulukko9[[#This Row],[Uudistuksen mukainen osuus peruspäivärahasta]]+Taulukko9[[#This Row],[Uudistuksen mukainen osuus ansiopäivärahasta]]</f>
        <v>413253.26689690747</v>
      </c>
      <c r="J268" s="467">
        <f>Taulukko9[[#This Row],[Uudistuksen mukainen rahoitusvastuu yhteensä]]-Taulukko9[[#This Row],[Nykytila, kuntien osuus työmarkkinatuesta]]</f>
        <v>248403.36689690748</v>
      </c>
      <c r="M268" s="456">
        <v>846</v>
      </c>
      <c r="N268" s="456" t="s">
        <v>268</v>
      </c>
      <c r="O268" s="458">
        <v>339143.429</v>
      </c>
      <c r="P268" s="458">
        <v>335720.109</v>
      </c>
      <c r="Q268" s="458">
        <f>AVERAGE(Taulukko919[[#This Row],[Uudistuksen mukainen osuus työmarkkinatuesta, kotoutujia ei poistettu]:[Uudistuksen mukainen osuus työmarkkinatuesta, kotoutujat poistettu]])</f>
        <v>337431.76899999997</v>
      </c>
      <c r="R268" s="458">
        <v>164849.9</v>
      </c>
      <c r="S268" s="467">
        <f>Taulukko919[[#This Row],[Uudistuksen mukainen osuus työmarkkinatuesta, keskiarvo]]-Taulukko919[[#This Row],[Nykytila, kuntien osuus työmarkkinatuesta]]</f>
        <v>172581.86899999998</v>
      </c>
    </row>
    <row r="269" spans="1:19">
      <c r="A269" s="456">
        <v>848</v>
      </c>
      <c r="B269" s="456" t="s">
        <v>269</v>
      </c>
      <c r="C269" s="457">
        <v>4066</v>
      </c>
      <c r="D269" s="458">
        <v>299592.02</v>
      </c>
      <c r="E269" s="458">
        <v>446268.69900000002</v>
      </c>
      <c r="F269" s="458">
        <f>Taulukko9[[#This Row],[Uudistuksen mukainen osuus työmarkkinatuesta*]]-Taulukko9[[#This Row],[Nykytila, kuntien osuus työmarkkinatuesta]]</f>
        <v>146676.679</v>
      </c>
      <c r="G269" s="458">
        <v>30776.01</v>
      </c>
      <c r="H269" s="458">
        <v>158973.857325705</v>
      </c>
      <c r="I269" s="459">
        <f>Taulukko9[[#This Row],[Uudistuksen mukainen osuus työmarkkinatuesta*]]+Taulukko9[[#This Row],[Uudistuksen mukainen osuus peruspäivärahasta]]+Taulukko9[[#This Row],[Uudistuksen mukainen osuus ansiopäivärahasta]]</f>
        <v>636018.56632570503</v>
      </c>
      <c r="J269" s="467">
        <f>Taulukko9[[#This Row],[Uudistuksen mukainen rahoitusvastuu yhteensä]]-Taulukko9[[#This Row],[Nykytila, kuntien osuus työmarkkinatuesta]]</f>
        <v>336426.54632570501</v>
      </c>
      <c r="M269" s="456">
        <v>848</v>
      </c>
      <c r="N269" s="456" t="s">
        <v>269</v>
      </c>
      <c r="O269" s="458">
        <v>454353.74300000002</v>
      </c>
      <c r="P269" s="458">
        <v>438183.65500000003</v>
      </c>
      <c r="Q269" s="458">
        <f>AVERAGE(Taulukko919[[#This Row],[Uudistuksen mukainen osuus työmarkkinatuesta, kotoutujia ei poistettu]:[Uudistuksen mukainen osuus työmarkkinatuesta, kotoutujat poistettu]])</f>
        <v>446268.69900000002</v>
      </c>
      <c r="R269" s="458">
        <v>299592.02</v>
      </c>
      <c r="S269" s="467">
        <f>Taulukko919[[#This Row],[Uudistuksen mukainen osuus työmarkkinatuesta, keskiarvo]]-Taulukko919[[#This Row],[Nykytila, kuntien osuus työmarkkinatuesta]]</f>
        <v>146676.679</v>
      </c>
    </row>
    <row r="270" spans="1:19">
      <c r="A270" s="456">
        <v>849</v>
      </c>
      <c r="B270" s="456" t="s">
        <v>270</v>
      </c>
      <c r="C270" s="457">
        <v>2849</v>
      </c>
      <c r="D270" s="458">
        <v>102730.01</v>
      </c>
      <c r="E270" s="458">
        <v>196743.02799999999</v>
      </c>
      <c r="F270" s="458">
        <f>Taulukko9[[#This Row],[Uudistuksen mukainen osuus työmarkkinatuesta*]]-Taulukko9[[#This Row],[Nykytila, kuntien osuus työmarkkinatuesta]]</f>
        <v>94013.017999999996</v>
      </c>
      <c r="G270" s="458">
        <v>9745.027</v>
      </c>
      <c r="H270" s="458">
        <v>21028.467245678501</v>
      </c>
      <c r="I270" s="459">
        <f>Taulukko9[[#This Row],[Uudistuksen mukainen osuus työmarkkinatuesta*]]+Taulukko9[[#This Row],[Uudistuksen mukainen osuus peruspäivärahasta]]+Taulukko9[[#This Row],[Uudistuksen mukainen osuus ansiopäivärahasta]]</f>
        <v>227516.5222456785</v>
      </c>
      <c r="J270" s="467">
        <f>Taulukko9[[#This Row],[Uudistuksen mukainen rahoitusvastuu yhteensä]]-Taulukko9[[#This Row],[Nykytila, kuntien osuus työmarkkinatuesta]]</f>
        <v>124786.5122456785</v>
      </c>
      <c r="M270" s="456">
        <v>849</v>
      </c>
      <c r="N270" s="456" t="s">
        <v>270</v>
      </c>
      <c r="O270" s="458">
        <v>196798.84299999999</v>
      </c>
      <c r="P270" s="458">
        <v>196687.21299999999</v>
      </c>
      <c r="Q270" s="458">
        <f>AVERAGE(Taulukko919[[#This Row],[Uudistuksen mukainen osuus työmarkkinatuesta, kotoutujia ei poistettu]:[Uudistuksen mukainen osuus työmarkkinatuesta, kotoutujat poistettu]])</f>
        <v>196743.02799999999</v>
      </c>
      <c r="R270" s="458">
        <v>102730.01</v>
      </c>
      <c r="S270" s="467">
        <f>Taulukko919[[#This Row],[Uudistuksen mukainen osuus työmarkkinatuesta, keskiarvo]]-Taulukko919[[#This Row],[Nykytila, kuntien osuus työmarkkinatuesta]]</f>
        <v>94013.017999999996</v>
      </c>
    </row>
    <row r="271" spans="1:19">
      <c r="A271" s="456">
        <v>850</v>
      </c>
      <c r="B271" s="456" t="s">
        <v>271</v>
      </c>
      <c r="C271" s="457">
        <v>2368</v>
      </c>
      <c r="D271" s="458">
        <v>128655.48</v>
      </c>
      <c r="E271" s="458">
        <v>175583.62050000002</v>
      </c>
      <c r="F271" s="458">
        <f>Taulukko9[[#This Row],[Uudistuksen mukainen osuus työmarkkinatuesta*]]-Taulukko9[[#This Row],[Nykytila, kuntien osuus työmarkkinatuesta]]</f>
        <v>46928.140500000023</v>
      </c>
      <c r="G271" s="458">
        <v>5450.174</v>
      </c>
      <c r="H271" s="458">
        <v>18958.770725554801</v>
      </c>
      <c r="I271" s="459">
        <f>Taulukko9[[#This Row],[Uudistuksen mukainen osuus työmarkkinatuesta*]]+Taulukko9[[#This Row],[Uudistuksen mukainen osuus peruspäivärahasta]]+Taulukko9[[#This Row],[Uudistuksen mukainen osuus ansiopäivärahasta]]</f>
        <v>199992.5652255548</v>
      </c>
      <c r="J271" s="467">
        <f>Taulukko9[[#This Row],[Uudistuksen mukainen rahoitusvastuu yhteensä]]-Taulukko9[[#This Row],[Nykytila, kuntien osuus työmarkkinatuesta]]</f>
        <v>71337.085225554809</v>
      </c>
      <c r="M271" s="456">
        <v>850</v>
      </c>
      <c r="N271" s="456" t="s">
        <v>271</v>
      </c>
      <c r="O271" s="458">
        <v>178355.011</v>
      </c>
      <c r="P271" s="458">
        <v>172812.23</v>
      </c>
      <c r="Q271" s="458">
        <f>AVERAGE(Taulukko919[[#This Row],[Uudistuksen mukainen osuus työmarkkinatuesta, kotoutujia ei poistettu]:[Uudistuksen mukainen osuus työmarkkinatuesta, kotoutujat poistettu]])</f>
        <v>175583.62050000002</v>
      </c>
      <c r="R271" s="458">
        <v>128655.48</v>
      </c>
      <c r="S271" s="467">
        <f>Taulukko919[[#This Row],[Uudistuksen mukainen osuus työmarkkinatuesta, keskiarvo]]-Taulukko919[[#This Row],[Nykytila, kuntien osuus työmarkkinatuesta]]</f>
        <v>46928.140500000023</v>
      </c>
    </row>
    <row r="272" spans="1:19">
      <c r="A272" s="456">
        <v>851</v>
      </c>
      <c r="B272" s="456" t="s">
        <v>272</v>
      </c>
      <c r="C272" s="457">
        <v>21018</v>
      </c>
      <c r="D272" s="458">
        <v>1117424.27</v>
      </c>
      <c r="E272" s="458">
        <v>1564158.2820000001</v>
      </c>
      <c r="F272" s="458">
        <f>Taulukko9[[#This Row],[Uudistuksen mukainen osuus työmarkkinatuesta*]]-Taulukko9[[#This Row],[Nykytila, kuntien osuus työmarkkinatuesta]]</f>
        <v>446734.0120000001</v>
      </c>
      <c r="G272" s="458">
        <v>101566.796</v>
      </c>
      <c r="H272" s="458">
        <v>299980.02502312901</v>
      </c>
      <c r="I272" s="459">
        <f>Taulukko9[[#This Row],[Uudistuksen mukainen osuus työmarkkinatuesta*]]+Taulukko9[[#This Row],[Uudistuksen mukainen osuus peruspäivärahasta]]+Taulukko9[[#This Row],[Uudistuksen mukainen osuus ansiopäivärahasta]]</f>
        <v>1965705.1030231293</v>
      </c>
      <c r="J272" s="467">
        <f>Taulukko9[[#This Row],[Uudistuksen mukainen rahoitusvastuu yhteensä]]-Taulukko9[[#This Row],[Nykytila, kuntien osuus työmarkkinatuesta]]</f>
        <v>848280.83302312926</v>
      </c>
      <c r="M272" s="456">
        <v>851</v>
      </c>
      <c r="N272" s="456" t="s">
        <v>272</v>
      </c>
      <c r="O272" s="458">
        <v>1623370.61</v>
      </c>
      <c r="P272" s="458">
        <v>1504945.9539999999</v>
      </c>
      <c r="Q272" s="458">
        <f>AVERAGE(Taulukko919[[#This Row],[Uudistuksen mukainen osuus työmarkkinatuesta, kotoutujia ei poistettu]:[Uudistuksen mukainen osuus työmarkkinatuesta, kotoutujat poistettu]])</f>
        <v>1564158.2820000001</v>
      </c>
      <c r="R272" s="458">
        <v>1117424.27</v>
      </c>
      <c r="S272" s="467">
        <f>Taulukko919[[#This Row],[Uudistuksen mukainen osuus työmarkkinatuesta, keskiarvo]]-Taulukko919[[#This Row],[Nykytila, kuntien osuus työmarkkinatuesta]]</f>
        <v>446734.0120000001</v>
      </c>
    </row>
    <row r="273" spans="1:19">
      <c r="A273" s="456">
        <v>853</v>
      </c>
      <c r="B273" s="456" t="s">
        <v>273</v>
      </c>
      <c r="C273" s="457">
        <v>201863</v>
      </c>
      <c r="D273" s="458">
        <v>22131694.870000001</v>
      </c>
      <c r="E273" s="458">
        <v>25793772.302000001</v>
      </c>
      <c r="F273" s="458">
        <f>Taulukko9[[#This Row],[Uudistuksen mukainen osuus työmarkkinatuesta*]]-Taulukko9[[#This Row],[Nykytila, kuntien osuus työmarkkinatuesta]]</f>
        <v>3662077.432</v>
      </c>
      <c r="G273" s="458">
        <v>1301561.5930000001</v>
      </c>
      <c r="H273" s="458">
        <v>3235742.0175101599</v>
      </c>
      <c r="I273" s="459">
        <f>Taulukko9[[#This Row],[Uudistuksen mukainen osuus työmarkkinatuesta*]]+Taulukko9[[#This Row],[Uudistuksen mukainen osuus peruspäivärahasta]]+Taulukko9[[#This Row],[Uudistuksen mukainen osuus ansiopäivärahasta]]</f>
        <v>30331075.91251016</v>
      </c>
      <c r="J273" s="467">
        <f>Taulukko9[[#This Row],[Uudistuksen mukainen rahoitusvastuu yhteensä]]-Taulukko9[[#This Row],[Nykytila, kuntien osuus työmarkkinatuesta]]</f>
        <v>8199381.0425101593</v>
      </c>
      <c r="M273" s="456">
        <v>853</v>
      </c>
      <c r="N273" s="456" t="s">
        <v>273</v>
      </c>
      <c r="O273" s="458">
        <v>27029355.070999999</v>
      </c>
      <c r="P273" s="458">
        <v>24558189.533</v>
      </c>
      <c r="Q273" s="458">
        <f>AVERAGE(Taulukko919[[#This Row],[Uudistuksen mukainen osuus työmarkkinatuesta, kotoutujia ei poistettu]:[Uudistuksen mukainen osuus työmarkkinatuesta, kotoutujat poistettu]])</f>
        <v>25793772.302000001</v>
      </c>
      <c r="R273" s="458">
        <v>22131694.870000001</v>
      </c>
      <c r="S273" s="467">
        <f>Taulukko919[[#This Row],[Uudistuksen mukainen osuus työmarkkinatuesta, keskiarvo]]-Taulukko919[[#This Row],[Nykytila, kuntien osuus työmarkkinatuesta]]</f>
        <v>3662077.432</v>
      </c>
    </row>
    <row r="274" spans="1:19">
      <c r="A274" s="456">
        <v>854</v>
      </c>
      <c r="B274" s="456" t="s">
        <v>274</v>
      </c>
      <c r="C274" s="457">
        <v>3253</v>
      </c>
      <c r="D274" s="458">
        <v>145318.67000000001</v>
      </c>
      <c r="E274" s="458">
        <v>188776.46999999997</v>
      </c>
      <c r="F274" s="458">
        <f>Taulukko9[[#This Row],[Uudistuksen mukainen osuus työmarkkinatuesta*]]-Taulukko9[[#This Row],[Nykytila, kuntien osuus työmarkkinatuesta]]</f>
        <v>43457.799999999959</v>
      </c>
      <c r="G274" s="458">
        <v>7104.7330000000002</v>
      </c>
      <c r="H274" s="458">
        <v>64522.528662246797</v>
      </c>
      <c r="I274" s="459">
        <f>Taulukko9[[#This Row],[Uudistuksen mukainen osuus työmarkkinatuesta*]]+Taulukko9[[#This Row],[Uudistuksen mukainen osuus peruspäivärahasta]]+Taulukko9[[#This Row],[Uudistuksen mukainen osuus ansiopäivärahasta]]</f>
        <v>260403.73166224678</v>
      </c>
      <c r="J274" s="467">
        <f>Taulukko9[[#This Row],[Uudistuksen mukainen rahoitusvastuu yhteensä]]-Taulukko9[[#This Row],[Nykytila, kuntien osuus työmarkkinatuesta]]</f>
        <v>115085.06166224676</v>
      </c>
      <c r="M274" s="456">
        <v>854</v>
      </c>
      <c r="N274" s="456" t="s">
        <v>274</v>
      </c>
      <c r="O274" s="458">
        <v>190757.82199999999</v>
      </c>
      <c r="P274" s="458">
        <v>186795.11799999999</v>
      </c>
      <c r="Q274" s="458">
        <f>AVERAGE(Taulukko919[[#This Row],[Uudistuksen mukainen osuus työmarkkinatuesta, kotoutujia ei poistettu]:[Uudistuksen mukainen osuus työmarkkinatuesta, kotoutujat poistettu]])</f>
        <v>188776.46999999997</v>
      </c>
      <c r="R274" s="458">
        <v>145318.67000000001</v>
      </c>
      <c r="S274" s="467">
        <f>Taulukko919[[#This Row],[Uudistuksen mukainen osuus työmarkkinatuesta, keskiarvo]]-Taulukko919[[#This Row],[Nykytila, kuntien osuus työmarkkinatuesta]]</f>
        <v>43457.799999999959</v>
      </c>
    </row>
    <row r="275" spans="1:19">
      <c r="A275" s="456">
        <v>857</v>
      </c>
      <c r="B275" s="456" t="s">
        <v>275</v>
      </c>
      <c r="C275" s="457">
        <v>2313</v>
      </c>
      <c r="D275" s="458">
        <v>218334.7</v>
      </c>
      <c r="E275" s="458">
        <v>234397.64</v>
      </c>
      <c r="F275" s="458">
        <f>Taulukko9[[#This Row],[Uudistuksen mukainen osuus työmarkkinatuesta*]]-Taulukko9[[#This Row],[Nykytila, kuntien osuus työmarkkinatuesta]]</f>
        <v>16062.940000000002</v>
      </c>
      <c r="G275" s="458">
        <v>6096.848</v>
      </c>
      <c r="H275" s="458">
        <v>28444.657785029001</v>
      </c>
      <c r="I275" s="459">
        <f>Taulukko9[[#This Row],[Uudistuksen mukainen osuus työmarkkinatuesta*]]+Taulukko9[[#This Row],[Uudistuksen mukainen osuus peruspäivärahasta]]+Taulukko9[[#This Row],[Uudistuksen mukainen osuus ansiopäivärahasta]]</f>
        <v>268939.14578502899</v>
      </c>
      <c r="J275" s="467">
        <f>Taulukko9[[#This Row],[Uudistuksen mukainen rahoitusvastuu yhteensä]]-Taulukko9[[#This Row],[Nykytila, kuntien osuus työmarkkinatuesta]]</f>
        <v>50604.445785028976</v>
      </c>
      <c r="M275" s="456">
        <v>857</v>
      </c>
      <c r="N275" s="456" t="s">
        <v>275</v>
      </c>
      <c r="O275" s="458">
        <v>235337.85699999999</v>
      </c>
      <c r="P275" s="458">
        <v>233457.42300000001</v>
      </c>
      <c r="Q275" s="458">
        <f>AVERAGE(Taulukko919[[#This Row],[Uudistuksen mukainen osuus työmarkkinatuesta, kotoutujia ei poistettu]:[Uudistuksen mukainen osuus työmarkkinatuesta, kotoutujat poistettu]])</f>
        <v>234397.64</v>
      </c>
      <c r="R275" s="458">
        <v>218334.7</v>
      </c>
      <c r="S275" s="467">
        <f>Taulukko919[[#This Row],[Uudistuksen mukainen osuus työmarkkinatuesta, keskiarvo]]-Taulukko919[[#This Row],[Nykytila, kuntien osuus työmarkkinatuesta]]</f>
        <v>16062.940000000002</v>
      </c>
    </row>
    <row r="276" spans="1:19">
      <c r="A276" s="456">
        <v>858</v>
      </c>
      <c r="B276" s="456" t="s">
        <v>276</v>
      </c>
      <c r="C276" s="457">
        <v>41338</v>
      </c>
      <c r="D276" s="458">
        <v>2235144.46</v>
      </c>
      <c r="E276" s="458">
        <v>2476009.3064999999</v>
      </c>
      <c r="F276" s="458">
        <f>Taulukko9[[#This Row],[Uudistuksen mukainen osuus työmarkkinatuesta*]]-Taulukko9[[#This Row],[Nykytila, kuntien osuus työmarkkinatuesta]]</f>
        <v>240864.84649999999</v>
      </c>
      <c r="G276" s="458">
        <v>116296.09600000001</v>
      </c>
      <c r="H276" s="458">
        <v>460648.02790225402</v>
      </c>
      <c r="I276" s="459">
        <f>Taulukko9[[#This Row],[Uudistuksen mukainen osuus työmarkkinatuesta*]]+Taulukko9[[#This Row],[Uudistuksen mukainen osuus peruspäivärahasta]]+Taulukko9[[#This Row],[Uudistuksen mukainen osuus ansiopäivärahasta]]</f>
        <v>3052953.4304022538</v>
      </c>
      <c r="J276" s="467">
        <f>Taulukko9[[#This Row],[Uudistuksen mukainen rahoitusvastuu yhteensä]]-Taulukko9[[#This Row],[Nykytila, kuntien osuus työmarkkinatuesta]]</f>
        <v>817808.97040225379</v>
      </c>
      <c r="M276" s="456">
        <v>858</v>
      </c>
      <c r="N276" s="456" t="s">
        <v>276</v>
      </c>
      <c r="O276" s="458">
        <v>2541937.534</v>
      </c>
      <c r="P276" s="458">
        <v>2410081.0789999999</v>
      </c>
      <c r="Q276" s="458">
        <f>AVERAGE(Taulukko919[[#This Row],[Uudistuksen mukainen osuus työmarkkinatuesta, kotoutujia ei poistettu]:[Uudistuksen mukainen osuus työmarkkinatuesta, kotoutujat poistettu]])</f>
        <v>2476009.3064999999</v>
      </c>
      <c r="R276" s="458">
        <v>2235144.46</v>
      </c>
      <c r="S276" s="467">
        <f>Taulukko919[[#This Row],[Uudistuksen mukainen osuus työmarkkinatuesta, keskiarvo]]-Taulukko919[[#This Row],[Nykytila, kuntien osuus työmarkkinatuesta]]</f>
        <v>240864.84649999999</v>
      </c>
    </row>
    <row r="277" spans="1:19">
      <c r="A277" s="456">
        <v>859</v>
      </c>
      <c r="B277" s="456" t="s">
        <v>277</v>
      </c>
      <c r="C277" s="457">
        <v>6525</v>
      </c>
      <c r="D277" s="458">
        <v>243957.4</v>
      </c>
      <c r="E277" s="458">
        <v>321192.14</v>
      </c>
      <c r="F277" s="458">
        <f>Taulukko9[[#This Row],[Uudistuksen mukainen osuus työmarkkinatuesta*]]-Taulukko9[[#This Row],[Nykytila, kuntien osuus työmarkkinatuesta]]</f>
        <v>77234.74000000002</v>
      </c>
      <c r="G277" s="458">
        <v>15178.975</v>
      </c>
      <c r="H277" s="458">
        <v>67774.020593911002</v>
      </c>
      <c r="I277" s="459">
        <f>Taulukko9[[#This Row],[Uudistuksen mukainen osuus työmarkkinatuesta*]]+Taulukko9[[#This Row],[Uudistuksen mukainen osuus peruspäivärahasta]]+Taulukko9[[#This Row],[Uudistuksen mukainen osuus ansiopäivärahasta]]</f>
        <v>404145.13559391099</v>
      </c>
      <c r="J277" s="467">
        <f>Taulukko9[[#This Row],[Uudistuksen mukainen rahoitusvastuu yhteensä]]-Taulukko9[[#This Row],[Nykytila, kuntien osuus työmarkkinatuesta]]</f>
        <v>160187.735593911</v>
      </c>
      <c r="M277" s="456">
        <v>859</v>
      </c>
      <c r="N277" s="456" t="s">
        <v>277</v>
      </c>
      <c r="O277" s="458">
        <v>322177.15600000002</v>
      </c>
      <c r="P277" s="458">
        <v>320207.12400000001</v>
      </c>
      <c r="Q277" s="458">
        <f>AVERAGE(Taulukko919[[#This Row],[Uudistuksen mukainen osuus työmarkkinatuesta, kotoutujia ei poistettu]:[Uudistuksen mukainen osuus työmarkkinatuesta, kotoutujat poistettu]])</f>
        <v>321192.14</v>
      </c>
      <c r="R277" s="458">
        <v>243957.4</v>
      </c>
      <c r="S277" s="467">
        <f>Taulukko919[[#This Row],[Uudistuksen mukainen osuus työmarkkinatuesta, keskiarvo]]-Taulukko919[[#This Row],[Nykytila, kuntien osuus työmarkkinatuesta]]</f>
        <v>77234.74000000002</v>
      </c>
    </row>
    <row r="278" spans="1:19">
      <c r="A278" s="456">
        <v>886</v>
      </c>
      <c r="B278" s="456" t="s">
        <v>278</v>
      </c>
      <c r="C278" s="457">
        <v>12533</v>
      </c>
      <c r="D278" s="458">
        <v>550032.17000000004</v>
      </c>
      <c r="E278" s="458">
        <v>829486.00399999996</v>
      </c>
      <c r="F278" s="458">
        <f>Taulukko9[[#This Row],[Uudistuksen mukainen osuus työmarkkinatuesta*]]-Taulukko9[[#This Row],[Nykytila, kuntien osuus työmarkkinatuesta]]</f>
        <v>279453.83399999992</v>
      </c>
      <c r="G278" s="458">
        <v>24795.868999999999</v>
      </c>
      <c r="H278" s="458">
        <v>167329.07523340799</v>
      </c>
      <c r="I278" s="459">
        <f>Taulukko9[[#This Row],[Uudistuksen mukainen osuus työmarkkinatuesta*]]+Taulukko9[[#This Row],[Uudistuksen mukainen osuus peruspäivärahasta]]+Taulukko9[[#This Row],[Uudistuksen mukainen osuus ansiopäivärahasta]]</f>
        <v>1021610.9482334079</v>
      </c>
      <c r="J278" s="467">
        <f>Taulukko9[[#This Row],[Uudistuksen mukainen rahoitusvastuu yhteensä]]-Taulukko9[[#This Row],[Nykytila, kuntien osuus työmarkkinatuesta]]</f>
        <v>471578.77823340788</v>
      </c>
      <c r="M278" s="456">
        <v>886</v>
      </c>
      <c r="N278" s="456" t="s">
        <v>278</v>
      </c>
      <c r="O278" s="458">
        <v>836808.85800000001</v>
      </c>
      <c r="P278" s="458">
        <v>822163.15</v>
      </c>
      <c r="Q278" s="458">
        <f>AVERAGE(Taulukko919[[#This Row],[Uudistuksen mukainen osuus työmarkkinatuesta, kotoutujia ei poistettu]:[Uudistuksen mukainen osuus työmarkkinatuesta, kotoutujat poistettu]])</f>
        <v>829486.00399999996</v>
      </c>
      <c r="R278" s="458">
        <v>550032.17000000004</v>
      </c>
      <c r="S278" s="467">
        <f>Taulukko919[[#This Row],[Uudistuksen mukainen osuus työmarkkinatuesta, keskiarvo]]-Taulukko919[[#This Row],[Nykytila, kuntien osuus työmarkkinatuesta]]</f>
        <v>279453.83399999992</v>
      </c>
    </row>
    <row r="279" spans="1:19">
      <c r="A279" s="456">
        <v>887</v>
      </c>
      <c r="B279" s="456" t="s">
        <v>279</v>
      </c>
      <c r="C279" s="457">
        <v>4568</v>
      </c>
      <c r="D279" s="458">
        <v>267965.59999999998</v>
      </c>
      <c r="E279" s="458">
        <v>634605.55249999999</v>
      </c>
      <c r="F279" s="458">
        <f>Taulukko9[[#This Row],[Uudistuksen mukainen osuus työmarkkinatuesta*]]-Taulukko9[[#This Row],[Nykytila, kuntien osuus työmarkkinatuesta]]</f>
        <v>366639.95250000001</v>
      </c>
      <c r="G279" s="458">
        <v>24319.513999999999</v>
      </c>
      <c r="H279" s="458">
        <v>62168.187132710103</v>
      </c>
      <c r="I279" s="459">
        <f>Taulukko9[[#This Row],[Uudistuksen mukainen osuus työmarkkinatuesta*]]+Taulukko9[[#This Row],[Uudistuksen mukainen osuus peruspäivärahasta]]+Taulukko9[[#This Row],[Uudistuksen mukainen osuus ansiopäivärahasta]]</f>
        <v>721093.25363271008</v>
      </c>
      <c r="J279" s="467">
        <f>Taulukko9[[#This Row],[Uudistuksen mukainen rahoitusvastuu yhteensä]]-Taulukko9[[#This Row],[Nykytila, kuntien osuus työmarkkinatuesta]]</f>
        <v>453127.65363271011</v>
      </c>
      <c r="M279" s="456">
        <v>887</v>
      </c>
      <c r="N279" s="456" t="s">
        <v>279</v>
      </c>
      <c r="O279" s="458">
        <v>637716.44299999997</v>
      </c>
      <c r="P279" s="458">
        <v>631494.66200000001</v>
      </c>
      <c r="Q279" s="458">
        <f>AVERAGE(Taulukko919[[#This Row],[Uudistuksen mukainen osuus työmarkkinatuesta, kotoutujia ei poistettu]:[Uudistuksen mukainen osuus työmarkkinatuesta, kotoutujat poistettu]])</f>
        <v>634605.55249999999</v>
      </c>
      <c r="R279" s="458">
        <v>267965.59999999998</v>
      </c>
      <c r="S279" s="467">
        <f>Taulukko919[[#This Row],[Uudistuksen mukainen osuus työmarkkinatuesta, keskiarvo]]-Taulukko919[[#This Row],[Nykytila, kuntien osuus työmarkkinatuesta]]</f>
        <v>366639.95250000001</v>
      </c>
    </row>
    <row r="280" spans="1:19">
      <c r="A280" s="456">
        <v>889</v>
      </c>
      <c r="B280" s="456" t="s">
        <v>280</v>
      </c>
      <c r="C280" s="457">
        <v>2491</v>
      </c>
      <c r="D280" s="458">
        <v>35509.589999999997</v>
      </c>
      <c r="E280" s="458">
        <v>76314.679999999993</v>
      </c>
      <c r="F280" s="458">
        <f>Taulukko9[[#This Row],[Uudistuksen mukainen osuus työmarkkinatuesta*]]-Taulukko9[[#This Row],[Nykytila, kuntien osuus työmarkkinatuesta]]</f>
        <v>40805.089999999997</v>
      </c>
      <c r="G280" s="458">
        <v>6942.6639999999998</v>
      </c>
      <c r="H280" s="458">
        <v>63817.129924481298</v>
      </c>
      <c r="I280" s="459">
        <f>Taulukko9[[#This Row],[Uudistuksen mukainen osuus työmarkkinatuesta*]]+Taulukko9[[#This Row],[Uudistuksen mukainen osuus peruspäivärahasta]]+Taulukko9[[#This Row],[Uudistuksen mukainen osuus ansiopäivärahasta]]</f>
        <v>147074.47392448131</v>
      </c>
      <c r="J280" s="467">
        <f>Taulukko9[[#This Row],[Uudistuksen mukainen rahoitusvastuu yhteensä]]-Taulukko9[[#This Row],[Nykytila, kuntien osuus työmarkkinatuesta]]</f>
        <v>111564.88392448131</v>
      </c>
      <c r="M280" s="456">
        <v>889</v>
      </c>
      <c r="N280" s="456" t="s">
        <v>280</v>
      </c>
      <c r="O280" s="458">
        <v>85356.702000000005</v>
      </c>
      <c r="P280" s="458">
        <v>67272.657999999996</v>
      </c>
      <c r="Q280" s="458">
        <f>AVERAGE(Taulukko919[[#This Row],[Uudistuksen mukainen osuus työmarkkinatuesta, kotoutujia ei poistettu]:[Uudistuksen mukainen osuus työmarkkinatuesta, kotoutujat poistettu]])</f>
        <v>76314.679999999993</v>
      </c>
      <c r="R280" s="458">
        <v>35509.589999999997</v>
      </c>
      <c r="S280" s="467">
        <f>Taulukko919[[#This Row],[Uudistuksen mukainen osuus työmarkkinatuesta, keskiarvo]]-Taulukko919[[#This Row],[Nykytila, kuntien osuus työmarkkinatuesta]]</f>
        <v>40805.089999999997</v>
      </c>
    </row>
    <row r="281" spans="1:19">
      <c r="A281" s="456">
        <v>890</v>
      </c>
      <c r="B281" s="456" t="s">
        <v>281</v>
      </c>
      <c r="C281" s="457">
        <v>1139</v>
      </c>
      <c r="D281" s="458">
        <v>88460.62</v>
      </c>
      <c r="E281" s="458">
        <v>83352.911999999997</v>
      </c>
      <c r="F281" s="458">
        <f>Taulukko9[[#This Row],[Uudistuksen mukainen osuus työmarkkinatuesta*]]-Taulukko9[[#This Row],[Nykytila, kuntien osuus työmarkkinatuesta]]</f>
        <v>-5107.7079999999987</v>
      </c>
      <c r="G281" s="458">
        <v>11611.933999999999</v>
      </c>
      <c r="H281" s="458">
        <v>16933.7349740836</v>
      </c>
      <c r="I281" s="459">
        <f>Taulukko9[[#This Row],[Uudistuksen mukainen osuus työmarkkinatuesta*]]+Taulukko9[[#This Row],[Uudistuksen mukainen osuus peruspäivärahasta]]+Taulukko9[[#This Row],[Uudistuksen mukainen osuus ansiopäivärahasta]]</f>
        <v>111898.5809740836</v>
      </c>
      <c r="J281" s="467">
        <f>Taulukko9[[#This Row],[Uudistuksen mukainen rahoitusvastuu yhteensä]]-Taulukko9[[#This Row],[Nykytila, kuntien osuus työmarkkinatuesta]]</f>
        <v>23437.960974083602</v>
      </c>
      <c r="M281" s="456">
        <v>890</v>
      </c>
      <c r="N281" s="456" t="s">
        <v>281</v>
      </c>
      <c r="O281" s="458">
        <v>83352.911999999997</v>
      </c>
      <c r="P281" s="458">
        <v>83352.911999999997</v>
      </c>
      <c r="Q281" s="458">
        <f>AVERAGE(Taulukko919[[#This Row],[Uudistuksen mukainen osuus työmarkkinatuesta, kotoutujia ei poistettu]:[Uudistuksen mukainen osuus työmarkkinatuesta, kotoutujat poistettu]])</f>
        <v>83352.911999999997</v>
      </c>
      <c r="R281" s="458">
        <v>88460.62</v>
      </c>
      <c r="S281" s="467">
        <f>Taulukko919[[#This Row],[Uudistuksen mukainen osuus työmarkkinatuesta, keskiarvo]]-Taulukko919[[#This Row],[Nykytila, kuntien osuus työmarkkinatuesta]]</f>
        <v>-5107.7079999999987</v>
      </c>
    </row>
    <row r="282" spans="1:19">
      <c r="A282" s="456">
        <v>892</v>
      </c>
      <c r="B282" s="456" t="s">
        <v>282</v>
      </c>
      <c r="C282" s="457">
        <v>3615</v>
      </c>
      <c r="D282" s="458">
        <v>212384.24</v>
      </c>
      <c r="E282" s="458">
        <v>305415.83100000001</v>
      </c>
      <c r="F282" s="458">
        <f>Taulukko9[[#This Row],[Uudistuksen mukainen osuus työmarkkinatuesta*]]-Taulukko9[[#This Row],[Nykytila, kuntien osuus työmarkkinatuesta]]</f>
        <v>93031.591000000015</v>
      </c>
      <c r="G282" s="458">
        <v>13857.156999999999</v>
      </c>
      <c r="H282" s="458">
        <v>63367.344341803997</v>
      </c>
      <c r="I282" s="459">
        <f>Taulukko9[[#This Row],[Uudistuksen mukainen osuus työmarkkinatuesta*]]+Taulukko9[[#This Row],[Uudistuksen mukainen osuus peruspäivärahasta]]+Taulukko9[[#This Row],[Uudistuksen mukainen osuus ansiopäivärahasta]]</f>
        <v>382640.33234180399</v>
      </c>
      <c r="J282" s="467">
        <f>Taulukko9[[#This Row],[Uudistuksen mukainen rahoitusvastuu yhteensä]]-Taulukko9[[#This Row],[Nykytila, kuntien osuus työmarkkinatuesta]]</f>
        <v>170256.092341804</v>
      </c>
      <c r="M282" s="456">
        <v>892</v>
      </c>
      <c r="N282" s="456" t="s">
        <v>282</v>
      </c>
      <c r="O282" s="458">
        <v>305415.83100000001</v>
      </c>
      <c r="P282" s="458">
        <v>305415.83100000001</v>
      </c>
      <c r="Q282" s="458">
        <f>AVERAGE(Taulukko919[[#This Row],[Uudistuksen mukainen osuus työmarkkinatuesta, kotoutujia ei poistettu]:[Uudistuksen mukainen osuus työmarkkinatuesta, kotoutujat poistettu]])</f>
        <v>305415.83100000001</v>
      </c>
      <c r="R282" s="458">
        <v>212384.24</v>
      </c>
      <c r="S282" s="467">
        <f>Taulukko919[[#This Row],[Uudistuksen mukainen osuus työmarkkinatuesta, keskiarvo]]-Taulukko919[[#This Row],[Nykytila, kuntien osuus työmarkkinatuesta]]</f>
        <v>93031.591000000015</v>
      </c>
    </row>
    <row r="283" spans="1:19">
      <c r="A283" s="456">
        <v>893</v>
      </c>
      <c r="B283" s="456" t="s">
        <v>283</v>
      </c>
      <c r="C283" s="457">
        <v>7500</v>
      </c>
      <c r="D283" s="458">
        <v>112270.21</v>
      </c>
      <c r="E283" s="458">
        <v>338471.72399999999</v>
      </c>
      <c r="F283" s="458">
        <f>Taulukko9[[#This Row],[Uudistuksen mukainen osuus työmarkkinatuesta*]]-Taulukko9[[#This Row],[Nykytila, kuntien osuus työmarkkinatuesta]]</f>
        <v>226201.51399999997</v>
      </c>
      <c r="G283" s="458">
        <v>21638.805</v>
      </c>
      <c r="H283" s="458">
        <v>30036.812685770201</v>
      </c>
      <c r="I283" s="459">
        <f>Taulukko9[[#This Row],[Uudistuksen mukainen osuus työmarkkinatuesta*]]+Taulukko9[[#This Row],[Uudistuksen mukainen osuus peruspäivärahasta]]+Taulukko9[[#This Row],[Uudistuksen mukainen osuus ansiopäivärahasta]]</f>
        <v>390147.3416857702</v>
      </c>
      <c r="J283" s="467">
        <f>Taulukko9[[#This Row],[Uudistuksen mukainen rahoitusvastuu yhteensä]]-Taulukko9[[#This Row],[Nykytila, kuntien osuus työmarkkinatuesta]]</f>
        <v>277877.13168577017</v>
      </c>
      <c r="M283" s="456">
        <v>893</v>
      </c>
      <c r="N283" s="456" t="s">
        <v>283</v>
      </c>
      <c r="O283" s="458">
        <v>368793.32299999997</v>
      </c>
      <c r="P283" s="458">
        <v>308150.125</v>
      </c>
      <c r="Q283" s="458">
        <f>AVERAGE(Taulukko919[[#This Row],[Uudistuksen mukainen osuus työmarkkinatuesta, kotoutujia ei poistettu]:[Uudistuksen mukainen osuus työmarkkinatuesta, kotoutujat poistettu]])</f>
        <v>338471.72399999999</v>
      </c>
      <c r="R283" s="458">
        <v>112270.21</v>
      </c>
      <c r="S283" s="467">
        <f>Taulukko919[[#This Row],[Uudistuksen mukainen osuus työmarkkinatuesta, keskiarvo]]-Taulukko919[[#This Row],[Nykytila, kuntien osuus työmarkkinatuesta]]</f>
        <v>226201.51399999997</v>
      </c>
    </row>
    <row r="284" spans="1:19">
      <c r="A284" s="456">
        <v>895</v>
      </c>
      <c r="B284" s="456" t="s">
        <v>284</v>
      </c>
      <c r="C284" s="457">
        <v>14938</v>
      </c>
      <c r="D284" s="458">
        <v>436852.75</v>
      </c>
      <c r="E284" s="458">
        <v>903627.02600000007</v>
      </c>
      <c r="F284" s="458">
        <f>Taulukko9[[#This Row],[Uudistuksen mukainen osuus työmarkkinatuesta*]]-Taulukko9[[#This Row],[Nykytila, kuntien osuus työmarkkinatuesta]]</f>
        <v>466774.27600000007</v>
      </c>
      <c r="G284" s="458">
        <v>46544.695</v>
      </c>
      <c r="H284" s="458">
        <v>349960.97755961597</v>
      </c>
      <c r="I284" s="459">
        <f>Taulukko9[[#This Row],[Uudistuksen mukainen osuus työmarkkinatuesta*]]+Taulukko9[[#This Row],[Uudistuksen mukainen osuus peruspäivärahasta]]+Taulukko9[[#This Row],[Uudistuksen mukainen osuus ansiopäivärahasta]]</f>
        <v>1300132.698559616</v>
      </c>
      <c r="J284" s="467">
        <f>Taulukko9[[#This Row],[Uudistuksen mukainen rahoitusvastuu yhteensä]]-Taulukko9[[#This Row],[Nykytila, kuntien osuus työmarkkinatuesta]]</f>
        <v>863279.94855961599</v>
      </c>
      <c r="M284" s="456">
        <v>895</v>
      </c>
      <c r="N284" s="456" t="s">
        <v>284</v>
      </c>
      <c r="O284" s="458">
        <v>951641.92200000002</v>
      </c>
      <c r="P284" s="458">
        <v>855612.13</v>
      </c>
      <c r="Q284" s="458">
        <f>AVERAGE(Taulukko919[[#This Row],[Uudistuksen mukainen osuus työmarkkinatuesta, kotoutujia ei poistettu]:[Uudistuksen mukainen osuus työmarkkinatuesta, kotoutujat poistettu]])</f>
        <v>903627.02600000007</v>
      </c>
      <c r="R284" s="458">
        <v>436852.75</v>
      </c>
      <c r="S284" s="467">
        <f>Taulukko919[[#This Row],[Uudistuksen mukainen osuus työmarkkinatuesta, keskiarvo]]-Taulukko919[[#This Row],[Nykytila, kuntien osuus työmarkkinatuesta]]</f>
        <v>466774.27600000007</v>
      </c>
    </row>
    <row r="285" spans="1:19">
      <c r="A285" s="456">
        <v>905</v>
      </c>
      <c r="B285" s="456" t="s">
        <v>285</v>
      </c>
      <c r="C285" s="457">
        <v>68956</v>
      </c>
      <c r="D285" s="458">
        <v>4324757.1500000004</v>
      </c>
      <c r="E285" s="458">
        <v>6849459.71</v>
      </c>
      <c r="F285" s="458">
        <f>Taulukko9[[#This Row],[Uudistuksen mukainen osuus työmarkkinatuesta*]]-Taulukko9[[#This Row],[Nykytila, kuntien osuus työmarkkinatuesta]]</f>
        <v>2524702.5599999996</v>
      </c>
      <c r="G285" s="458">
        <v>296526.69300000003</v>
      </c>
      <c r="H285" s="458">
        <v>672894.76442674105</v>
      </c>
      <c r="I285" s="459">
        <f>Taulukko9[[#This Row],[Uudistuksen mukainen osuus työmarkkinatuesta*]]+Taulukko9[[#This Row],[Uudistuksen mukainen osuus peruspäivärahasta]]+Taulukko9[[#This Row],[Uudistuksen mukainen osuus ansiopäivärahasta]]</f>
        <v>7818881.1674267408</v>
      </c>
      <c r="J285" s="467">
        <f>Taulukko9[[#This Row],[Uudistuksen mukainen rahoitusvastuu yhteensä]]-Taulukko9[[#This Row],[Nykytila, kuntien osuus työmarkkinatuesta]]</f>
        <v>3494124.0174267404</v>
      </c>
      <c r="M285" s="456">
        <v>905</v>
      </c>
      <c r="N285" s="456" t="s">
        <v>285</v>
      </c>
      <c r="O285" s="458">
        <v>7169222.8499999996</v>
      </c>
      <c r="P285" s="458">
        <v>6529696.5700000003</v>
      </c>
      <c r="Q285" s="458">
        <f>AVERAGE(Taulukko919[[#This Row],[Uudistuksen mukainen osuus työmarkkinatuesta, kotoutujia ei poistettu]:[Uudistuksen mukainen osuus työmarkkinatuesta, kotoutujat poistettu]])</f>
        <v>6849459.71</v>
      </c>
      <c r="R285" s="458">
        <v>4324757.1500000004</v>
      </c>
      <c r="S285" s="467">
        <f>Taulukko919[[#This Row],[Uudistuksen mukainen osuus työmarkkinatuesta, keskiarvo]]-Taulukko919[[#This Row],[Nykytila, kuntien osuus työmarkkinatuesta]]</f>
        <v>2524702.5599999996</v>
      </c>
    </row>
    <row r="286" spans="1:19">
      <c r="A286" s="456">
        <v>908</v>
      </c>
      <c r="B286" s="456" t="s">
        <v>286</v>
      </c>
      <c r="C286" s="457">
        <v>20694</v>
      </c>
      <c r="D286" s="458">
        <v>1409770.19</v>
      </c>
      <c r="E286" s="458">
        <v>2137541.1660000002</v>
      </c>
      <c r="F286" s="458">
        <f>Taulukko9[[#This Row],[Uudistuksen mukainen osuus työmarkkinatuesta*]]-Taulukko9[[#This Row],[Nykytila, kuntien osuus työmarkkinatuesta]]</f>
        <v>727770.97600000026</v>
      </c>
      <c r="G286" s="458">
        <v>78639.428</v>
      </c>
      <c r="H286" s="458">
        <v>340880.19570171298</v>
      </c>
      <c r="I286" s="459">
        <f>Taulukko9[[#This Row],[Uudistuksen mukainen osuus työmarkkinatuesta*]]+Taulukko9[[#This Row],[Uudistuksen mukainen osuus peruspäivärahasta]]+Taulukko9[[#This Row],[Uudistuksen mukainen osuus ansiopäivärahasta]]</f>
        <v>2557060.7897017132</v>
      </c>
      <c r="J286" s="467">
        <f>Taulukko9[[#This Row],[Uudistuksen mukainen rahoitusvastuu yhteensä]]-Taulukko9[[#This Row],[Nykytila, kuntien osuus työmarkkinatuesta]]</f>
        <v>1147290.5997017133</v>
      </c>
      <c r="M286" s="456">
        <v>908</v>
      </c>
      <c r="N286" s="456" t="s">
        <v>286</v>
      </c>
      <c r="O286" s="458">
        <v>2158101.6460000002</v>
      </c>
      <c r="P286" s="458">
        <v>2116980.6860000002</v>
      </c>
      <c r="Q286" s="458">
        <f>AVERAGE(Taulukko919[[#This Row],[Uudistuksen mukainen osuus työmarkkinatuesta, kotoutujia ei poistettu]:[Uudistuksen mukainen osuus työmarkkinatuesta, kotoutujat poistettu]])</f>
        <v>2137541.1660000002</v>
      </c>
      <c r="R286" s="458">
        <v>1409770.19</v>
      </c>
      <c r="S286" s="467">
        <f>Taulukko919[[#This Row],[Uudistuksen mukainen osuus työmarkkinatuesta, keskiarvo]]-Taulukko919[[#This Row],[Nykytila, kuntien osuus työmarkkinatuesta]]</f>
        <v>727770.97600000026</v>
      </c>
    </row>
    <row r="287" spans="1:19">
      <c r="A287" s="456">
        <v>915</v>
      </c>
      <c r="B287" s="456" t="s">
        <v>287</v>
      </c>
      <c r="C287" s="457">
        <v>19727</v>
      </c>
      <c r="D287" s="458">
        <v>1607640.96</v>
      </c>
      <c r="E287" s="458">
        <v>2651661.9844999998</v>
      </c>
      <c r="F287" s="458">
        <f>Taulukko9[[#This Row],[Uudistuksen mukainen osuus työmarkkinatuesta*]]-Taulukko9[[#This Row],[Nykytila, kuntien osuus työmarkkinatuesta]]</f>
        <v>1044021.0244999998</v>
      </c>
      <c r="G287" s="458">
        <v>94541.180999999997</v>
      </c>
      <c r="H287" s="458">
        <v>324967.95944261801</v>
      </c>
      <c r="I287" s="459">
        <f>Taulukko9[[#This Row],[Uudistuksen mukainen osuus työmarkkinatuesta*]]+Taulukko9[[#This Row],[Uudistuksen mukainen osuus peruspäivärahasta]]+Taulukko9[[#This Row],[Uudistuksen mukainen osuus ansiopäivärahasta]]</f>
        <v>3071171.1249426175</v>
      </c>
      <c r="J287" s="467">
        <f>Taulukko9[[#This Row],[Uudistuksen mukainen rahoitusvastuu yhteensä]]-Taulukko9[[#This Row],[Nykytila, kuntien osuus työmarkkinatuesta]]</f>
        <v>1463530.1649426175</v>
      </c>
      <c r="M287" s="456">
        <v>915</v>
      </c>
      <c r="N287" s="456" t="s">
        <v>287</v>
      </c>
      <c r="O287" s="458">
        <v>2695633.6179999998</v>
      </c>
      <c r="P287" s="458">
        <v>2607690.3509999998</v>
      </c>
      <c r="Q287" s="458">
        <f>AVERAGE(Taulukko919[[#This Row],[Uudistuksen mukainen osuus työmarkkinatuesta, kotoutujia ei poistettu]:[Uudistuksen mukainen osuus työmarkkinatuesta, kotoutujat poistettu]])</f>
        <v>2651661.9844999998</v>
      </c>
      <c r="R287" s="458">
        <v>1607640.96</v>
      </c>
      <c r="S287" s="467">
        <f>Taulukko919[[#This Row],[Uudistuksen mukainen osuus työmarkkinatuesta, keskiarvo]]-Taulukko919[[#This Row],[Nykytila, kuntien osuus työmarkkinatuesta]]</f>
        <v>1044021.0244999998</v>
      </c>
    </row>
    <row r="288" spans="1:19">
      <c r="A288" s="456">
        <v>918</v>
      </c>
      <c r="B288" s="456" t="s">
        <v>288</v>
      </c>
      <c r="C288" s="457">
        <v>2245</v>
      </c>
      <c r="D288" s="458">
        <v>125119.03999999999</v>
      </c>
      <c r="E288" s="458">
        <v>116755.359</v>
      </c>
      <c r="F288" s="458">
        <f>Taulukko9[[#This Row],[Uudistuksen mukainen osuus työmarkkinatuesta*]]-Taulukko9[[#This Row],[Nykytila, kuntien osuus työmarkkinatuesta]]</f>
        <v>-8363.6809999999969</v>
      </c>
      <c r="G288" s="458">
        <v>9320.7039999999997</v>
      </c>
      <c r="H288" s="458">
        <v>27034.201172728899</v>
      </c>
      <c r="I288" s="459">
        <f>Taulukko9[[#This Row],[Uudistuksen mukainen osuus työmarkkinatuesta*]]+Taulukko9[[#This Row],[Uudistuksen mukainen osuus peruspäivärahasta]]+Taulukko9[[#This Row],[Uudistuksen mukainen osuus ansiopäivärahasta]]</f>
        <v>153110.2641727289</v>
      </c>
      <c r="J288" s="467">
        <f>Taulukko9[[#This Row],[Uudistuksen mukainen rahoitusvastuu yhteensä]]-Taulukko9[[#This Row],[Nykytila, kuntien osuus työmarkkinatuesta]]</f>
        <v>27991.224172728907</v>
      </c>
      <c r="M288" s="456">
        <v>918</v>
      </c>
      <c r="N288" s="456" t="s">
        <v>288</v>
      </c>
      <c r="O288" s="458">
        <v>116755.359</v>
      </c>
      <c r="P288" s="458">
        <v>116755.359</v>
      </c>
      <c r="Q288" s="458">
        <f>AVERAGE(Taulukko919[[#This Row],[Uudistuksen mukainen osuus työmarkkinatuesta, kotoutujia ei poistettu]:[Uudistuksen mukainen osuus työmarkkinatuesta, kotoutujat poistettu]])</f>
        <v>116755.359</v>
      </c>
      <c r="R288" s="458">
        <v>125119.03999999999</v>
      </c>
      <c r="S288" s="467">
        <f>Taulukko919[[#This Row],[Uudistuksen mukainen osuus työmarkkinatuesta, keskiarvo]]-Taulukko919[[#This Row],[Nykytila, kuntien osuus työmarkkinatuesta]]</f>
        <v>-8363.6809999999969</v>
      </c>
    </row>
    <row r="289" spans="1:19">
      <c r="A289" s="456">
        <v>921</v>
      </c>
      <c r="B289" s="456" t="s">
        <v>289</v>
      </c>
      <c r="C289" s="457">
        <v>1895</v>
      </c>
      <c r="D289" s="458">
        <v>103530.54</v>
      </c>
      <c r="E289" s="458">
        <v>148047.94650000002</v>
      </c>
      <c r="F289" s="458">
        <f>Taulukko9[[#This Row],[Uudistuksen mukainen osuus työmarkkinatuesta*]]-Taulukko9[[#This Row],[Nykytila, kuntien osuus työmarkkinatuesta]]</f>
        <v>44517.406500000026</v>
      </c>
      <c r="G289" s="458">
        <v>11043.753000000001</v>
      </c>
      <c r="H289" s="458">
        <v>27361.704964913501</v>
      </c>
      <c r="I289" s="459">
        <f>Taulukko9[[#This Row],[Uudistuksen mukainen osuus työmarkkinatuesta*]]+Taulukko9[[#This Row],[Uudistuksen mukainen osuus peruspäivärahasta]]+Taulukko9[[#This Row],[Uudistuksen mukainen osuus ansiopäivärahasta]]</f>
        <v>186453.40446491353</v>
      </c>
      <c r="J289" s="467">
        <f>Taulukko9[[#This Row],[Uudistuksen mukainen rahoitusvastuu yhteensä]]-Taulukko9[[#This Row],[Nykytila, kuntien osuus työmarkkinatuesta]]</f>
        <v>82922.864464913539</v>
      </c>
      <c r="M289" s="456">
        <v>921</v>
      </c>
      <c r="N289" s="456" t="s">
        <v>289</v>
      </c>
      <c r="O289" s="458">
        <v>148957.886</v>
      </c>
      <c r="P289" s="458">
        <v>147138.00700000001</v>
      </c>
      <c r="Q289" s="458">
        <f>AVERAGE(Taulukko919[[#This Row],[Uudistuksen mukainen osuus työmarkkinatuesta, kotoutujia ei poistettu]:[Uudistuksen mukainen osuus työmarkkinatuesta, kotoutujat poistettu]])</f>
        <v>148047.94650000002</v>
      </c>
      <c r="R289" s="458">
        <v>103530.54</v>
      </c>
      <c r="S289" s="467">
        <f>Taulukko919[[#This Row],[Uudistuksen mukainen osuus työmarkkinatuesta, keskiarvo]]-Taulukko919[[#This Row],[Nykytila, kuntien osuus työmarkkinatuesta]]</f>
        <v>44517.406500000026</v>
      </c>
    </row>
    <row r="290" spans="1:19">
      <c r="A290" s="456">
        <v>922</v>
      </c>
      <c r="B290" s="456" t="s">
        <v>290</v>
      </c>
      <c r="C290" s="457">
        <v>4469</v>
      </c>
      <c r="D290" s="458">
        <v>102620.07</v>
      </c>
      <c r="E290" s="458">
        <v>275014.24</v>
      </c>
      <c r="F290" s="458">
        <f>Taulukko9[[#This Row],[Uudistuksen mukainen osuus työmarkkinatuesta*]]-Taulukko9[[#This Row],[Nykytila, kuntien osuus työmarkkinatuesta]]</f>
        <v>172394.16999999998</v>
      </c>
      <c r="G290" s="458">
        <v>16812.72</v>
      </c>
      <c r="H290" s="458">
        <v>47005.3086373103</v>
      </c>
      <c r="I290" s="459">
        <f>Taulukko9[[#This Row],[Uudistuksen mukainen osuus työmarkkinatuesta*]]+Taulukko9[[#This Row],[Uudistuksen mukainen osuus peruspäivärahasta]]+Taulukko9[[#This Row],[Uudistuksen mukainen osuus ansiopäivärahasta]]</f>
        <v>338832.26863731025</v>
      </c>
      <c r="J290" s="467">
        <f>Taulukko9[[#This Row],[Uudistuksen mukainen rahoitusvastuu yhteensä]]-Taulukko9[[#This Row],[Nykytila, kuntien osuus työmarkkinatuesta]]</f>
        <v>236212.19863731024</v>
      </c>
      <c r="M290" s="456">
        <v>922</v>
      </c>
      <c r="N290" s="456" t="s">
        <v>290</v>
      </c>
      <c r="O290" s="458">
        <v>275014.24</v>
      </c>
      <c r="P290" s="458">
        <v>275014.24</v>
      </c>
      <c r="Q290" s="458">
        <f>AVERAGE(Taulukko919[[#This Row],[Uudistuksen mukainen osuus työmarkkinatuesta, kotoutujia ei poistettu]:[Uudistuksen mukainen osuus työmarkkinatuesta, kotoutujat poistettu]])</f>
        <v>275014.24</v>
      </c>
      <c r="R290" s="458">
        <v>102620.07</v>
      </c>
      <c r="S290" s="467">
        <f>Taulukko919[[#This Row],[Uudistuksen mukainen osuus työmarkkinatuesta, keskiarvo]]-Taulukko919[[#This Row],[Nykytila, kuntien osuus työmarkkinatuesta]]</f>
        <v>172394.16999999998</v>
      </c>
    </row>
    <row r="291" spans="1:19">
      <c r="A291" s="456">
        <v>924</v>
      </c>
      <c r="B291" s="456" t="s">
        <v>291</v>
      </c>
      <c r="C291" s="457">
        <v>2936</v>
      </c>
      <c r="D291" s="458">
        <v>107664.95</v>
      </c>
      <c r="E291" s="458">
        <v>216072.25949999999</v>
      </c>
      <c r="F291" s="458">
        <f>Taulukko9[[#This Row],[Uudistuksen mukainen osuus työmarkkinatuesta*]]-Taulukko9[[#This Row],[Nykytila, kuntien osuus työmarkkinatuesta]]</f>
        <v>108407.30949999999</v>
      </c>
      <c r="G291" s="458">
        <v>9079.8169999999991</v>
      </c>
      <c r="H291" s="458">
        <v>21678.831694678302</v>
      </c>
      <c r="I291" s="459">
        <f>Taulukko9[[#This Row],[Uudistuksen mukainen osuus työmarkkinatuesta*]]+Taulukko9[[#This Row],[Uudistuksen mukainen osuus peruspäivärahasta]]+Taulukko9[[#This Row],[Uudistuksen mukainen osuus ansiopäivärahasta]]</f>
        <v>246830.90819467831</v>
      </c>
      <c r="J291" s="467">
        <f>Taulukko9[[#This Row],[Uudistuksen mukainen rahoitusvastuu yhteensä]]-Taulukko9[[#This Row],[Nykytila, kuntien osuus työmarkkinatuesta]]</f>
        <v>139165.9581946783</v>
      </c>
      <c r="M291" s="456">
        <v>924</v>
      </c>
      <c r="N291" s="456" t="s">
        <v>291</v>
      </c>
      <c r="O291" s="458">
        <v>218487.04000000001</v>
      </c>
      <c r="P291" s="458">
        <v>213657.47899999999</v>
      </c>
      <c r="Q291" s="458">
        <f>AVERAGE(Taulukko919[[#This Row],[Uudistuksen mukainen osuus työmarkkinatuesta, kotoutujia ei poistettu]:[Uudistuksen mukainen osuus työmarkkinatuesta, kotoutujat poistettu]])</f>
        <v>216072.25949999999</v>
      </c>
      <c r="R291" s="458">
        <v>107664.95</v>
      </c>
      <c r="S291" s="467">
        <f>Taulukko919[[#This Row],[Uudistuksen mukainen osuus työmarkkinatuesta, keskiarvo]]-Taulukko919[[#This Row],[Nykytila, kuntien osuus työmarkkinatuesta]]</f>
        <v>108407.30949999999</v>
      </c>
    </row>
    <row r="292" spans="1:19">
      <c r="A292" s="456">
        <v>925</v>
      </c>
      <c r="B292" s="456" t="s">
        <v>292</v>
      </c>
      <c r="C292" s="457">
        <v>3387</v>
      </c>
      <c r="D292" s="458">
        <v>170060.21</v>
      </c>
      <c r="E292" s="458">
        <v>210771.84999999998</v>
      </c>
      <c r="F292" s="458">
        <f>Taulukko9[[#This Row],[Uudistuksen mukainen osuus työmarkkinatuesta*]]-Taulukko9[[#This Row],[Nykytila, kuntien osuus työmarkkinatuesta]]</f>
        <v>40711.639999999985</v>
      </c>
      <c r="G292" s="458">
        <v>17451.123</v>
      </c>
      <c r="H292" s="458">
        <v>45067.833837947503</v>
      </c>
      <c r="I292" s="459">
        <f>Taulukko9[[#This Row],[Uudistuksen mukainen osuus työmarkkinatuesta*]]+Taulukko9[[#This Row],[Uudistuksen mukainen osuus peruspäivärahasta]]+Taulukko9[[#This Row],[Uudistuksen mukainen osuus ansiopäivärahasta]]</f>
        <v>273290.80683794746</v>
      </c>
      <c r="J292" s="467">
        <f>Taulukko9[[#This Row],[Uudistuksen mukainen rahoitusvastuu yhteensä]]-Taulukko9[[#This Row],[Nykytila, kuntien osuus työmarkkinatuesta]]</f>
        <v>103230.59683794747</v>
      </c>
      <c r="M292" s="456">
        <v>925</v>
      </c>
      <c r="N292" s="456" t="s">
        <v>292</v>
      </c>
      <c r="O292" s="458">
        <v>215528.98499999999</v>
      </c>
      <c r="P292" s="458">
        <v>206014.715</v>
      </c>
      <c r="Q292" s="458">
        <f>AVERAGE(Taulukko919[[#This Row],[Uudistuksen mukainen osuus työmarkkinatuesta, kotoutujia ei poistettu]:[Uudistuksen mukainen osuus työmarkkinatuesta, kotoutujat poistettu]])</f>
        <v>210771.84999999998</v>
      </c>
      <c r="R292" s="458">
        <v>170060.21</v>
      </c>
      <c r="S292" s="467">
        <f>Taulukko919[[#This Row],[Uudistuksen mukainen osuus työmarkkinatuesta, keskiarvo]]-Taulukko919[[#This Row],[Nykytila, kuntien osuus työmarkkinatuesta]]</f>
        <v>40711.639999999985</v>
      </c>
    </row>
    <row r="293" spans="1:19">
      <c r="A293" s="456">
        <v>927</v>
      </c>
      <c r="B293" s="456" t="s">
        <v>293</v>
      </c>
      <c r="C293" s="457">
        <v>28811</v>
      </c>
      <c r="D293" s="458">
        <v>1665947.14</v>
      </c>
      <c r="E293" s="458">
        <v>2175305.3159999996</v>
      </c>
      <c r="F293" s="458">
        <f>Taulukko9[[#This Row],[Uudistuksen mukainen osuus työmarkkinatuesta*]]-Taulukko9[[#This Row],[Nykytila, kuntien osuus työmarkkinatuesta]]</f>
        <v>509358.17599999974</v>
      </c>
      <c r="G293" s="458">
        <v>82907.459000000003</v>
      </c>
      <c r="H293" s="458">
        <v>354764.29938190198</v>
      </c>
      <c r="I293" s="459">
        <f>Taulukko9[[#This Row],[Uudistuksen mukainen osuus työmarkkinatuesta*]]+Taulukko9[[#This Row],[Uudistuksen mukainen osuus peruspäivärahasta]]+Taulukko9[[#This Row],[Uudistuksen mukainen osuus ansiopäivärahasta]]</f>
        <v>2612977.0743819014</v>
      </c>
      <c r="J293" s="467">
        <f>Taulukko9[[#This Row],[Uudistuksen mukainen rahoitusvastuu yhteensä]]-Taulukko9[[#This Row],[Nykytila, kuntien osuus työmarkkinatuesta]]</f>
        <v>947029.93438190152</v>
      </c>
      <c r="M293" s="456">
        <v>927</v>
      </c>
      <c r="N293" s="456" t="s">
        <v>293</v>
      </c>
      <c r="O293" s="458">
        <v>2207884.0669999998</v>
      </c>
      <c r="P293" s="458">
        <v>2142726.5649999999</v>
      </c>
      <c r="Q293" s="458">
        <f>AVERAGE(Taulukko919[[#This Row],[Uudistuksen mukainen osuus työmarkkinatuesta, kotoutujia ei poistettu]:[Uudistuksen mukainen osuus työmarkkinatuesta, kotoutujat poistettu]])</f>
        <v>2175305.3159999996</v>
      </c>
      <c r="R293" s="458">
        <v>1665947.14</v>
      </c>
      <c r="S293" s="467">
        <f>Taulukko919[[#This Row],[Uudistuksen mukainen osuus työmarkkinatuesta, keskiarvo]]-Taulukko919[[#This Row],[Nykytila, kuntien osuus työmarkkinatuesta]]</f>
        <v>509358.17599999974</v>
      </c>
    </row>
    <row r="294" spans="1:19">
      <c r="A294" s="456">
        <v>931</v>
      </c>
      <c r="B294" s="456" t="s">
        <v>294</v>
      </c>
      <c r="C294" s="457">
        <v>5877</v>
      </c>
      <c r="D294" s="458">
        <v>182109.38</v>
      </c>
      <c r="E294" s="458">
        <v>266675.85399999999</v>
      </c>
      <c r="F294" s="458">
        <f>Taulukko9[[#This Row],[Uudistuksen mukainen osuus työmarkkinatuesta*]]-Taulukko9[[#This Row],[Nykytila, kuntien osuus työmarkkinatuesta]]</f>
        <v>84566.473999999987</v>
      </c>
      <c r="G294" s="458">
        <v>16912.600999999999</v>
      </c>
      <c r="H294" s="458">
        <v>124127.93030777</v>
      </c>
      <c r="I294" s="459">
        <f>Taulukko9[[#This Row],[Uudistuksen mukainen osuus työmarkkinatuesta*]]+Taulukko9[[#This Row],[Uudistuksen mukainen osuus peruspäivärahasta]]+Taulukko9[[#This Row],[Uudistuksen mukainen osuus ansiopäivärahasta]]</f>
        <v>407716.38530776999</v>
      </c>
      <c r="J294" s="467">
        <f>Taulukko9[[#This Row],[Uudistuksen mukainen rahoitusvastuu yhteensä]]-Taulukko9[[#This Row],[Nykytila, kuntien osuus työmarkkinatuesta]]</f>
        <v>225607.00530776998</v>
      </c>
      <c r="M294" s="456">
        <v>931</v>
      </c>
      <c r="N294" s="456" t="s">
        <v>294</v>
      </c>
      <c r="O294" s="458">
        <v>268016.451</v>
      </c>
      <c r="P294" s="458">
        <v>265335.25699999998</v>
      </c>
      <c r="Q294" s="458">
        <f>AVERAGE(Taulukko919[[#This Row],[Uudistuksen mukainen osuus työmarkkinatuesta, kotoutujia ei poistettu]:[Uudistuksen mukainen osuus työmarkkinatuesta, kotoutujat poistettu]])</f>
        <v>266675.85399999999</v>
      </c>
      <c r="R294" s="458">
        <v>182109.38</v>
      </c>
      <c r="S294" s="467">
        <f>Taulukko919[[#This Row],[Uudistuksen mukainen osuus työmarkkinatuesta, keskiarvo]]-Taulukko919[[#This Row],[Nykytila, kuntien osuus työmarkkinatuesta]]</f>
        <v>84566.473999999987</v>
      </c>
    </row>
    <row r="295" spans="1:19">
      <c r="A295" s="456">
        <v>934</v>
      </c>
      <c r="B295" s="456" t="s">
        <v>295</v>
      </c>
      <c r="C295" s="457">
        <v>2656</v>
      </c>
      <c r="D295" s="458">
        <v>53610.76</v>
      </c>
      <c r="E295" s="458">
        <v>84508.784</v>
      </c>
      <c r="F295" s="458">
        <f>Taulukko9[[#This Row],[Uudistuksen mukainen osuus työmarkkinatuesta*]]-Taulukko9[[#This Row],[Nykytila, kuntien osuus työmarkkinatuesta]]</f>
        <v>30898.023999999998</v>
      </c>
      <c r="G295" s="458">
        <v>5889.4279999999999</v>
      </c>
      <c r="H295" s="458">
        <v>26651.069688261399</v>
      </c>
      <c r="I295" s="459">
        <f>Taulukko9[[#This Row],[Uudistuksen mukainen osuus työmarkkinatuesta*]]+Taulukko9[[#This Row],[Uudistuksen mukainen osuus peruspäivärahasta]]+Taulukko9[[#This Row],[Uudistuksen mukainen osuus ansiopäivärahasta]]</f>
        <v>117049.2816882614</v>
      </c>
      <c r="J295" s="467">
        <f>Taulukko9[[#This Row],[Uudistuksen mukainen rahoitusvastuu yhteensä]]-Taulukko9[[#This Row],[Nykytila, kuntien osuus työmarkkinatuesta]]</f>
        <v>63438.521688261397</v>
      </c>
      <c r="M295" s="456">
        <v>934</v>
      </c>
      <c r="N295" s="456" t="s">
        <v>295</v>
      </c>
      <c r="O295" s="458">
        <v>84880.884000000005</v>
      </c>
      <c r="P295" s="458">
        <v>84136.683999999994</v>
      </c>
      <c r="Q295" s="458">
        <f>AVERAGE(Taulukko919[[#This Row],[Uudistuksen mukainen osuus työmarkkinatuesta, kotoutujia ei poistettu]:[Uudistuksen mukainen osuus työmarkkinatuesta, kotoutujat poistettu]])</f>
        <v>84508.784</v>
      </c>
      <c r="R295" s="458">
        <v>53610.76</v>
      </c>
      <c r="S295" s="467">
        <f>Taulukko919[[#This Row],[Uudistuksen mukainen osuus työmarkkinatuesta, keskiarvo]]-Taulukko919[[#This Row],[Nykytila, kuntien osuus työmarkkinatuesta]]</f>
        <v>30898.023999999998</v>
      </c>
    </row>
    <row r="296" spans="1:19">
      <c r="A296" s="456">
        <v>935</v>
      </c>
      <c r="B296" s="456" t="s">
        <v>296</v>
      </c>
      <c r="C296" s="457">
        <v>2927</v>
      </c>
      <c r="D296" s="458">
        <v>239531.83</v>
      </c>
      <c r="E296" s="458">
        <v>321404.76150000002</v>
      </c>
      <c r="F296" s="458">
        <f>Taulukko9[[#This Row],[Uudistuksen mukainen osuus työmarkkinatuesta*]]-Taulukko9[[#This Row],[Nykytila, kuntien osuus työmarkkinatuesta]]</f>
        <v>81872.931500000035</v>
      </c>
      <c r="G296" s="458">
        <v>20432.928</v>
      </c>
      <c r="H296" s="458">
        <v>48809.623189156897</v>
      </c>
      <c r="I296" s="459">
        <f>Taulukko9[[#This Row],[Uudistuksen mukainen osuus työmarkkinatuesta*]]+Taulukko9[[#This Row],[Uudistuksen mukainen osuus peruspäivärahasta]]+Taulukko9[[#This Row],[Uudistuksen mukainen osuus ansiopäivärahasta]]</f>
        <v>390647.31268915691</v>
      </c>
      <c r="J296" s="467">
        <f>Taulukko9[[#This Row],[Uudistuksen mukainen rahoitusvastuu yhteensä]]-Taulukko9[[#This Row],[Nykytila, kuntien osuus työmarkkinatuesta]]</f>
        <v>151115.48268915692</v>
      </c>
      <c r="M296" s="456">
        <v>935</v>
      </c>
      <c r="N296" s="456" t="s">
        <v>296</v>
      </c>
      <c r="O296" s="458">
        <v>327227.74400000001</v>
      </c>
      <c r="P296" s="458">
        <v>315581.77899999998</v>
      </c>
      <c r="Q296" s="458">
        <f>AVERAGE(Taulukko919[[#This Row],[Uudistuksen mukainen osuus työmarkkinatuesta, kotoutujia ei poistettu]:[Uudistuksen mukainen osuus työmarkkinatuesta, kotoutujat poistettu]])</f>
        <v>321404.76150000002</v>
      </c>
      <c r="R296" s="458">
        <v>239531.83</v>
      </c>
      <c r="S296" s="467">
        <f>Taulukko919[[#This Row],[Uudistuksen mukainen osuus työmarkkinatuesta, keskiarvo]]-Taulukko919[[#This Row],[Nykytila, kuntien osuus työmarkkinatuesta]]</f>
        <v>81872.931500000035</v>
      </c>
    </row>
    <row r="297" spans="1:19">
      <c r="A297" s="456">
        <v>936</v>
      </c>
      <c r="B297" s="456" t="s">
        <v>297</v>
      </c>
      <c r="C297" s="457">
        <v>6275</v>
      </c>
      <c r="D297" s="458">
        <v>270432.83</v>
      </c>
      <c r="E297" s="458">
        <v>423073.93349999998</v>
      </c>
      <c r="F297" s="458">
        <f>Taulukko9[[#This Row],[Uudistuksen mukainen osuus työmarkkinatuesta*]]-Taulukko9[[#This Row],[Nykytila, kuntien osuus työmarkkinatuesta]]</f>
        <v>152641.10349999997</v>
      </c>
      <c r="G297" s="458">
        <v>15302.897000000001</v>
      </c>
      <c r="H297" s="458">
        <v>80698.810224850095</v>
      </c>
      <c r="I297" s="459">
        <f>Taulukko9[[#This Row],[Uudistuksen mukainen osuus työmarkkinatuesta*]]+Taulukko9[[#This Row],[Uudistuksen mukainen osuus peruspäivärahasta]]+Taulukko9[[#This Row],[Uudistuksen mukainen osuus ansiopäivärahasta]]</f>
        <v>519075.64072485006</v>
      </c>
      <c r="J297" s="467">
        <f>Taulukko9[[#This Row],[Uudistuksen mukainen rahoitusvastuu yhteensä]]-Taulukko9[[#This Row],[Nykytila, kuntien osuus työmarkkinatuesta]]</f>
        <v>248642.81072485005</v>
      </c>
      <c r="M297" s="456">
        <v>936</v>
      </c>
      <c r="N297" s="456" t="s">
        <v>297</v>
      </c>
      <c r="O297" s="458">
        <v>425713.58299999998</v>
      </c>
      <c r="P297" s="458">
        <v>420434.28399999999</v>
      </c>
      <c r="Q297" s="458">
        <f>AVERAGE(Taulukko919[[#This Row],[Uudistuksen mukainen osuus työmarkkinatuesta, kotoutujia ei poistettu]:[Uudistuksen mukainen osuus työmarkkinatuesta, kotoutujat poistettu]])</f>
        <v>423073.93349999998</v>
      </c>
      <c r="R297" s="458">
        <v>270432.83</v>
      </c>
      <c r="S297" s="467">
        <f>Taulukko919[[#This Row],[Uudistuksen mukainen osuus työmarkkinatuesta, keskiarvo]]-Taulukko919[[#This Row],[Nykytila, kuntien osuus työmarkkinatuesta]]</f>
        <v>152641.10349999997</v>
      </c>
    </row>
    <row r="298" spans="1:19">
      <c r="A298" s="456">
        <v>946</v>
      </c>
      <c r="B298" s="456" t="s">
        <v>298</v>
      </c>
      <c r="C298" s="457">
        <v>6291</v>
      </c>
      <c r="D298" s="458">
        <v>199515.73</v>
      </c>
      <c r="E298" s="458">
        <v>346137.92949999997</v>
      </c>
      <c r="F298" s="458">
        <f>Taulukko9[[#This Row],[Uudistuksen mukainen osuus työmarkkinatuesta*]]-Taulukko9[[#This Row],[Nykytila, kuntien osuus työmarkkinatuesta]]</f>
        <v>146622.19949999996</v>
      </c>
      <c r="G298" s="458">
        <v>22012.026999999998</v>
      </c>
      <c r="H298" s="458">
        <v>34988.3705087895</v>
      </c>
      <c r="I298" s="459">
        <f>Taulukko9[[#This Row],[Uudistuksen mukainen osuus työmarkkinatuesta*]]+Taulukko9[[#This Row],[Uudistuksen mukainen osuus peruspäivärahasta]]+Taulukko9[[#This Row],[Uudistuksen mukainen osuus ansiopäivärahasta]]</f>
        <v>403138.32700878946</v>
      </c>
      <c r="J298" s="467">
        <f>Taulukko9[[#This Row],[Uudistuksen mukainen rahoitusvastuu yhteensä]]-Taulukko9[[#This Row],[Nykytila, kuntien osuus työmarkkinatuesta]]</f>
        <v>203622.59700878945</v>
      </c>
      <c r="M298" s="456">
        <v>946</v>
      </c>
      <c r="N298" s="456" t="s">
        <v>298</v>
      </c>
      <c r="O298" s="458">
        <v>353367.18900000001</v>
      </c>
      <c r="P298" s="458">
        <v>338908.67</v>
      </c>
      <c r="Q298" s="458">
        <f>AVERAGE(Taulukko919[[#This Row],[Uudistuksen mukainen osuus työmarkkinatuesta, kotoutujia ei poistettu]:[Uudistuksen mukainen osuus työmarkkinatuesta, kotoutujat poistettu]])</f>
        <v>346137.92949999997</v>
      </c>
      <c r="R298" s="458">
        <v>199515.73</v>
      </c>
      <c r="S298" s="467">
        <f>Taulukko919[[#This Row],[Uudistuksen mukainen osuus työmarkkinatuesta, keskiarvo]]-Taulukko919[[#This Row],[Nykytila, kuntien osuus työmarkkinatuesta]]</f>
        <v>146622.19949999996</v>
      </c>
    </row>
    <row r="299" spans="1:19">
      <c r="A299" s="456">
        <v>976</v>
      </c>
      <c r="B299" s="456" t="s">
        <v>299</v>
      </c>
      <c r="C299" s="457">
        <v>3765</v>
      </c>
      <c r="D299" s="458">
        <v>174430.36</v>
      </c>
      <c r="E299" s="458">
        <v>262784.223</v>
      </c>
      <c r="F299" s="458">
        <f>Taulukko9[[#This Row],[Uudistuksen mukainen osuus työmarkkinatuesta*]]-Taulukko9[[#This Row],[Nykytila, kuntien osuus työmarkkinatuesta]]</f>
        <v>88353.863000000012</v>
      </c>
      <c r="G299" s="458">
        <v>17584.151000000002</v>
      </c>
      <c r="H299" s="458">
        <v>82813.661536132306</v>
      </c>
      <c r="I299" s="459">
        <f>Taulukko9[[#This Row],[Uudistuksen mukainen osuus työmarkkinatuesta*]]+Taulukko9[[#This Row],[Uudistuksen mukainen osuus peruspäivärahasta]]+Taulukko9[[#This Row],[Uudistuksen mukainen osuus ansiopäivärahasta]]</f>
        <v>363182.03553613229</v>
      </c>
      <c r="J299" s="467">
        <f>Taulukko9[[#This Row],[Uudistuksen mukainen rahoitusvastuu yhteensä]]-Taulukko9[[#This Row],[Nykytila, kuntien osuus työmarkkinatuesta]]</f>
        <v>188751.6755361323</v>
      </c>
      <c r="M299" s="456">
        <v>976</v>
      </c>
      <c r="N299" s="456" t="s">
        <v>299</v>
      </c>
      <c r="O299" s="458">
        <v>279975.82500000001</v>
      </c>
      <c r="P299" s="458">
        <v>245592.62100000001</v>
      </c>
      <c r="Q299" s="458">
        <f>AVERAGE(Taulukko919[[#This Row],[Uudistuksen mukainen osuus työmarkkinatuesta, kotoutujia ei poistettu]:[Uudistuksen mukainen osuus työmarkkinatuesta, kotoutujat poistettu]])</f>
        <v>262784.223</v>
      </c>
      <c r="R299" s="458">
        <v>174430.36</v>
      </c>
      <c r="S299" s="467">
        <f>Taulukko919[[#This Row],[Uudistuksen mukainen osuus työmarkkinatuesta, keskiarvo]]-Taulukko919[[#This Row],[Nykytila, kuntien osuus työmarkkinatuesta]]</f>
        <v>88353.863000000012</v>
      </c>
    </row>
    <row r="300" spans="1:19">
      <c r="A300" s="456">
        <v>977</v>
      </c>
      <c r="B300" s="456" t="s">
        <v>300</v>
      </c>
      <c r="C300" s="457">
        <v>15369</v>
      </c>
      <c r="D300" s="458">
        <v>846133.41</v>
      </c>
      <c r="E300" s="458">
        <v>1100708.0395</v>
      </c>
      <c r="F300" s="458">
        <f>Taulukko9[[#This Row],[Uudistuksen mukainen osuus työmarkkinatuesta*]]-Taulukko9[[#This Row],[Nykytila, kuntien osuus työmarkkinatuesta]]</f>
        <v>254574.62949999992</v>
      </c>
      <c r="G300" s="458">
        <v>47437.881999999998</v>
      </c>
      <c r="H300" s="458">
        <v>176598.442834193</v>
      </c>
      <c r="I300" s="459">
        <f>Taulukko9[[#This Row],[Uudistuksen mukainen osuus työmarkkinatuesta*]]+Taulukko9[[#This Row],[Uudistuksen mukainen osuus peruspäivärahasta]]+Taulukko9[[#This Row],[Uudistuksen mukainen osuus ansiopäivärahasta]]</f>
        <v>1324744.3643341931</v>
      </c>
      <c r="J300" s="467">
        <f>Taulukko9[[#This Row],[Uudistuksen mukainen rahoitusvastuu yhteensä]]-Taulukko9[[#This Row],[Nykytila, kuntien osuus työmarkkinatuesta]]</f>
        <v>478610.95433419303</v>
      </c>
      <c r="M300" s="456">
        <v>977</v>
      </c>
      <c r="N300" s="456" t="s">
        <v>300</v>
      </c>
      <c r="O300" s="458">
        <v>1112936.5009999999</v>
      </c>
      <c r="P300" s="458">
        <v>1088479.578</v>
      </c>
      <c r="Q300" s="458">
        <f>AVERAGE(Taulukko919[[#This Row],[Uudistuksen mukainen osuus työmarkkinatuesta, kotoutujia ei poistettu]:[Uudistuksen mukainen osuus työmarkkinatuesta, kotoutujat poistettu]])</f>
        <v>1100708.0395</v>
      </c>
      <c r="R300" s="458">
        <v>846133.41</v>
      </c>
      <c r="S300" s="467">
        <f>Taulukko919[[#This Row],[Uudistuksen mukainen osuus työmarkkinatuesta, keskiarvo]]-Taulukko919[[#This Row],[Nykytila, kuntien osuus työmarkkinatuesta]]</f>
        <v>254574.62949999992</v>
      </c>
    </row>
    <row r="301" spans="1:19">
      <c r="A301" s="456">
        <v>980</v>
      </c>
      <c r="B301" s="456" t="s">
        <v>301</v>
      </c>
      <c r="C301" s="457">
        <v>33677</v>
      </c>
      <c r="D301" s="458">
        <v>1238521.6499999999</v>
      </c>
      <c r="E301" s="458">
        <v>1888736.8204999999</v>
      </c>
      <c r="F301" s="458">
        <f>Taulukko9[[#This Row],[Uudistuksen mukainen osuus työmarkkinatuesta*]]-Taulukko9[[#This Row],[Nykytila, kuntien osuus työmarkkinatuesta]]</f>
        <v>650215.17050000001</v>
      </c>
      <c r="G301" s="458">
        <v>92509.567999999999</v>
      </c>
      <c r="H301" s="458">
        <v>411328.94328935997</v>
      </c>
      <c r="I301" s="459">
        <f>Taulukko9[[#This Row],[Uudistuksen mukainen osuus työmarkkinatuesta*]]+Taulukko9[[#This Row],[Uudistuksen mukainen osuus peruspäivärahasta]]+Taulukko9[[#This Row],[Uudistuksen mukainen osuus ansiopäivärahasta]]</f>
        <v>2392575.3317893599</v>
      </c>
      <c r="J301" s="467">
        <f>Taulukko9[[#This Row],[Uudistuksen mukainen rahoitusvastuu yhteensä]]-Taulukko9[[#This Row],[Nykytila, kuntien osuus työmarkkinatuesta]]</f>
        <v>1154053.68178936</v>
      </c>
      <c r="M301" s="456">
        <v>980</v>
      </c>
      <c r="N301" s="456" t="s">
        <v>301</v>
      </c>
      <c r="O301" s="458">
        <v>1915004.4110000001</v>
      </c>
      <c r="P301" s="458">
        <v>1862469.23</v>
      </c>
      <c r="Q301" s="458">
        <f>AVERAGE(Taulukko919[[#This Row],[Uudistuksen mukainen osuus työmarkkinatuesta, kotoutujia ei poistettu]:[Uudistuksen mukainen osuus työmarkkinatuesta, kotoutujat poistettu]])</f>
        <v>1888736.8204999999</v>
      </c>
      <c r="R301" s="458">
        <v>1238521.6499999999</v>
      </c>
      <c r="S301" s="467">
        <f>Taulukko919[[#This Row],[Uudistuksen mukainen osuus työmarkkinatuesta, keskiarvo]]-Taulukko919[[#This Row],[Nykytila, kuntien osuus työmarkkinatuesta]]</f>
        <v>650215.17050000001</v>
      </c>
    </row>
    <row r="302" spans="1:19">
      <c r="A302" s="456">
        <v>981</v>
      </c>
      <c r="B302" s="456" t="s">
        <v>302</v>
      </c>
      <c r="C302" s="457">
        <v>2207</v>
      </c>
      <c r="D302" s="458">
        <v>98245.64</v>
      </c>
      <c r="E302" s="458">
        <v>199653.05599999998</v>
      </c>
      <c r="F302" s="458">
        <f>Taulukko9[[#This Row],[Uudistuksen mukainen osuus työmarkkinatuesta*]]-Taulukko9[[#This Row],[Nykytila, kuntien osuus työmarkkinatuesta]]</f>
        <v>101407.41599999998</v>
      </c>
      <c r="G302" s="458">
        <v>10558.165999999999</v>
      </c>
      <c r="H302" s="458">
        <v>23731.2132459147</v>
      </c>
      <c r="I302" s="459">
        <f>Taulukko9[[#This Row],[Uudistuksen mukainen osuus työmarkkinatuesta*]]+Taulukko9[[#This Row],[Uudistuksen mukainen osuus peruspäivärahasta]]+Taulukko9[[#This Row],[Uudistuksen mukainen osuus ansiopäivärahasta]]</f>
        <v>233942.43524591468</v>
      </c>
      <c r="J302" s="467">
        <f>Taulukko9[[#This Row],[Uudistuksen mukainen rahoitusvastuu yhteensä]]-Taulukko9[[#This Row],[Nykytila, kuntien osuus työmarkkinatuesta]]</f>
        <v>135696.79524591466</v>
      </c>
      <c r="M302" s="456">
        <v>981</v>
      </c>
      <c r="N302" s="456" t="s">
        <v>302</v>
      </c>
      <c r="O302" s="458">
        <v>200357.18700000001</v>
      </c>
      <c r="P302" s="458">
        <v>198948.92499999999</v>
      </c>
      <c r="Q302" s="458">
        <f>AVERAGE(Taulukko919[[#This Row],[Uudistuksen mukainen osuus työmarkkinatuesta, kotoutujia ei poistettu]:[Uudistuksen mukainen osuus työmarkkinatuesta, kotoutujat poistettu]])</f>
        <v>199653.05599999998</v>
      </c>
      <c r="R302" s="458">
        <v>98245.64</v>
      </c>
      <c r="S302" s="467">
        <f>Taulukko919[[#This Row],[Uudistuksen mukainen osuus työmarkkinatuesta, keskiarvo]]-Taulukko919[[#This Row],[Nykytila, kuntien osuus työmarkkinatuesta]]</f>
        <v>101407.41599999998</v>
      </c>
    </row>
    <row r="303" spans="1:19">
      <c r="A303" s="456">
        <v>989</v>
      </c>
      <c r="B303" s="456" t="s">
        <v>303</v>
      </c>
      <c r="C303" s="457">
        <v>5316</v>
      </c>
      <c r="D303" s="458">
        <v>183624.56</v>
      </c>
      <c r="E303" s="458">
        <v>303252.42949999997</v>
      </c>
      <c r="F303" s="458">
        <f>Taulukko9[[#This Row],[Uudistuksen mukainen osuus työmarkkinatuesta*]]-Taulukko9[[#This Row],[Nykytila, kuntien osuus työmarkkinatuesta]]</f>
        <v>119627.86949999997</v>
      </c>
      <c r="G303" s="458">
        <v>27261.588</v>
      </c>
      <c r="H303" s="458">
        <v>58117.375011658798</v>
      </c>
      <c r="I303" s="459">
        <f>Taulukko9[[#This Row],[Uudistuksen mukainen osuus työmarkkinatuesta*]]+Taulukko9[[#This Row],[Uudistuksen mukainen osuus peruspäivärahasta]]+Taulukko9[[#This Row],[Uudistuksen mukainen osuus ansiopäivärahasta]]</f>
        <v>388631.39251165878</v>
      </c>
      <c r="J303" s="467">
        <f>Taulukko9[[#This Row],[Uudistuksen mukainen rahoitusvastuu yhteensä]]-Taulukko9[[#This Row],[Nykytila, kuntien osuus työmarkkinatuesta]]</f>
        <v>205006.83251165878</v>
      </c>
      <c r="M303" s="456">
        <v>989</v>
      </c>
      <c r="N303" s="456" t="s">
        <v>303</v>
      </c>
      <c r="O303" s="458">
        <v>309259.69199999998</v>
      </c>
      <c r="P303" s="458">
        <v>297245.16700000002</v>
      </c>
      <c r="Q303" s="458">
        <f>AVERAGE(Taulukko919[[#This Row],[Uudistuksen mukainen osuus työmarkkinatuesta, kotoutujia ei poistettu]:[Uudistuksen mukainen osuus työmarkkinatuesta, kotoutujat poistettu]])</f>
        <v>303252.42949999997</v>
      </c>
      <c r="R303" s="458">
        <v>183624.56</v>
      </c>
      <c r="S303" s="467">
        <f>Taulukko919[[#This Row],[Uudistuksen mukainen osuus työmarkkinatuesta, keskiarvo]]-Taulukko919[[#This Row],[Nykytila, kuntien osuus työmarkkinatuesta]]</f>
        <v>119627.86949999997</v>
      </c>
    </row>
    <row r="304" spans="1:19">
      <c r="A304" s="460">
        <v>992</v>
      </c>
      <c r="B304" s="460" t="s">
        <v>304</v>
      </c>
      <c r="C304" s="461">
        <v>17971</v>
      </c>
      <c r="D304" s="458">
        <v>1096695.52</v>
      </c>
      <c r="E304" s="458">
        <v>1864650.838</v>
      </c>
      <c r="F304" s="458">
        <f>Taulukko9[[#This Row],[Uudistuksen mukainen osuus työmarkkinatuesta*]]-Taulukko9[[#This Row],[Nykytila, kuntien osuus työmarkkinatuesta]]</f>
        <v>767955.31799999997</v>
      </c>
      <c r="G304" s="458">
        <v>85999.801999999996</v>
      </c>
      <c r="H304" s="458">
        <v>462667.095360037</v>
      </c>
      <c r="I304" s="459">
        <f>Taulukko9[[#This Row],[Uudistuksen mukainen osuus työmarkkinatuesta*]]+Taulukko9[[#This Row],[Uudistuksen mukainen osuus peruspäivärahasta]]+Taulukko9[[#This Row],[Uudistuksen mukainen osuus ansiopäivärahasta]]</f>
        <v>2413317.7353600371</v>
      </c>
      <c r="J304" s="467">
        <f>Taulukko9[[#This Row],[Uudistuksen mukainen rahoitusvastuu yhteensä]]-Taulukko9[[#This Row],[Nykytila, kuntien osuus työmarkkinatuesta]]</f>
        <v>1316622.2153600371</v>
      </c>
      <c r="M304" s="460">
        <v>992</v>
      </c>
      <c r="N304" s="460" t="s">
        <v>304</v>
      </c>
      <c r="O304" s="458">
        <v>1909365.7420000001</v>
      </c>
      <c r="P304" s="458">
        <v>1819935.9339999999</v>
      </c>
      <c r="Q304" s="458">
        <f>AVERAGE(Taulukko919[[#This Row],[Uudistuksen mukainen osuus työmarkkinatuesta, kotoutujia ei poistettu]:[Uudistuksen mukainen osuus työmarkkinatuesta, kotoutujat poistettu]])</f>
        <v>1864650.838</v>
      </c>
      <c r="R304" s="458">
        <v>1096695.52</v>
      </c>
      <c r="S304" s="467">
        <f>Taulukko919[[#This Row],[Uudistuksen mukainen osuus työmarkkinatuesta, keskiarvo]]-Taulukko919[[#This Row],[Nykytila, kuntien osuus työmarkkinatuesta]]</f>
        <v>767955.31799999997</v>
      </c>
    </row>
  </sheetData>
  <pageMargins left="0.7" right="0.7" top="0.75" bottom="0.75" header="0.3" footer="0.3"/>
  <pageSetup paperSize="9"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T402"/>
  <sheetViews>
    <sheetView zoomScale="90" zoomScaleNormal="90" workbookViewId="0">
      <pane xSplit="2" ySplit="6" topLeftCell="C7" activePane="bottomRight" state="frozen"/>
      <selection pane="topRight" activeCell="C1" sqref="C1"/>
      <selection pane="bottomLeft" activeCell="A11" sqref="A11"/>
      <selection pane="bottomRight"/>
    </sheetView>
  </sheetViews>
  <sheetFormatPr defaultRowHeight="14.25"/>
  <cols>
    <col min="1" max="1" width="20.75" style="58" customWidth="1"/>
    <col min="2" max="2" width="19.125" style="1" customWidth="1"/>
    <col min="3" max="3" width="19.125" style="2" customWidth="1"/>
    <col min="4" max="4" width="16.375" style="2" bestFit="1" customWidth="1"/>
    <col min="5" max="5" width="19.125" style="2" customWidth="1"/>
    <col min="6" max="6" width="19.125" style="7" customWidth="1"/>
    <col min="7" max="7" width="19.125" style="50" customWidth="1"/>
    <col min="8" max="8" width="19.125" style="51" customWidth="1"/>
    <col min="9" max="9" width="20.625" style="51" bestFit="1" customWidth="1"/>
    <col min="10" max="11" width="19.125" style="7" customWidth="1"/>
    <col min="12" max="12" width="19.125" style="8" customWidth="1"/>
    <col min="13" max="13" width="19.125" style="7" customWidth="1"/>
    <col min="14" max="15" width="19.125" style="66" customWidth="1"/>
    <col min="16" max="16" width="17.875" style="7" customWidth="1"/>
    <col min="17" max="17" width="19.125" style="66" customWidth="1"/>
    <col min="18" max="18" width="19.125" style="67" customWidth="1"/>
    <col min="19" max="19" width="19.125" style="9" customWidth="1"/>
    <col min="20" max="20" width="11.125" style="11" customWidth="1"/>
  </cols>
  <sheetData>
    <row r="1" spans="1:20" ht="23.25">
      <c r="A1" s="311" t="s">
        <v>749</v>
      </c>
      <c r="E1" s="4"/>
      <c r="F1" s="3"/>
      <c r="G1" s="4"/>
      <c r="H1" s="5"/>
      <c r="I1" s="6"/>
      <c r="R1" s="70"/>
    </row>
    <row r="2" spans="1:20" ht="15">
      <c r="A2" s="130" t="s">
        <v>864</v>
      </c>
      <c r="B2" s="321" t="s">
        <v>751</v>
      </c>
      <c r="C2" s="14"/>
      <c r="D2" s="14"/>
      <c r="E2" s="14"/>
      <c r="F2" s="15"/>
      <c r="G2" s="16"/>
      <c r="H2" s="17"/>
      <c r="I2" s="17"/>
      <c r="J2" s="15"/>
      <c r="K2" s="15"/>
      <c r="L2" s="18"/>
      <c r="M2" s="15"/>
      <c r="N2" s="121"/>
      <c r="O2" s="121"/>
      <c r="P2" s="15"/>
      <c r="Q2" s="121"/>
      <c r="R2" s="123"/>
      <c r="S2" s="19"/>
      <c r="T2" s="10"/>
    </row>
    <row r="3" spans="1:20" ht="15">
      <c r="A3" s="22" t="s">
        <v>0</v>
      </c>
      <c r="B3" s="307">
        <v>0.24579999999999999</v>
      </c>
      <c r="C3" s="14"/>
      <c r="E3" s="14"/>
      <c r="F3" s="15"/>
      <c r="G3" s="14"/>
      <c r="H3" s="17"/>
      <c r="I3" s="17"/>
      <c r="J3" s="23"/>
      <c r="K3" s="15"/>
      <c r="L3" s="18"/>
      <c r="M3" s="24"/>
      <c r="N3" s="122"/>
      <c r="O3" s="122"/>
      <c r="P3" s="15"/>
      <c r="Q3" s="356"/>
      <c r="R3" s="34"/>
      <c r="S3" s="15"/>
      <c r="T3" s="10"/>
    </row>
    <row r="4" spans="1:20" ht="15">
      <c r="A4" s="12" t="s">
        <v>692</v>
      </c>
      <c r="B4" s="308">
        <v>292</v>
      </c>
      <c r="C4" s="15"/>
      <c r="D4" s="321"/>
      <c r="E4" s="321"/>
      <c r="F4" s="321"/>
      <c r="G4" s="321"/>
      <c r="H4" s="321"/>
      <c r="I4" s="321"/>
      <c r="J4" s="321"/>
      <c r="K4" s="321"/>
      <c r="L4" s="321"/>
      <c r="M4" s="321"/>
      <c r="N4" s="321"/>
      <c r="O4" s="321"/>
      <c r="P4" s="321"/>
      <c r="Q4" s="357"/>
      <c r="R4" s="357"/>
      <c r="S4" s="357"/>
      <c r="T4" s="10"/>
    </row>
    <row r="5" spans="1:20" s="306" customFormat="1" ht="71.25">
      <c r="A5" s="214" t="s">
        <v>2</v>
      </c>
      <c r="B5" s="213" t="s">
        <v>3</v>
      </c>
      <c r="C5" s="215" t="s">
        <v>750</v>
      </c>
      <c r="D5" s="215" t="s">
        <v>4</v>
      </c>
      <c r="E5" s="215" t="s">
        <v>705</v>
      </c>
      <c r="F5" s="201" t="s">
        <v>5</v>
      </c>
      <c r="G5" s="304" t="s">
        <v>6</v>
      </c>
      <c r="H5" s="304" t="s">
        <v>7</v>
      </c>
      <c r="I5" s="304" t="s">
        <v>8</v>
      </c>
      <c r="J5" s="215" t="s">
        <v>9</v>
      </c>
      <c r="K5" s="215" t="s">
        <v>10</v>
      </c>
      <c r="L5" s="215" t="s">
        <v>742</v>
      </c>
      <c r="M5" s="215" t="s">
        <v>743</v>
      </c>
      <c r="N5" s="201" t="s">
        <v>701</v>
      </c>
      <c r="O5" s="201" t="s">
        <v>704</v>
      </c>
      <c r="P5" s="213" t="s">
        <v>733</v>
      </c>
      <c r="Q5" s="213" t="s">
        <v>1181</v>
      </c>
      <c r="R5" s="213" t="s">
        <v>730</v>
      </c>
      <c r="S5" s="305"/>
    </row>
    <row r="6" spans="1:20" s="31" customFormat="1" ht="15">
      <c r="A6" s="13"/>
      <c r="B6" s="13" t="s">
        <v>11</v>
      </c>
      <c r="C6" s="310">
        <f>SUM(C7:C298)</f>
        <v>5573310</v>
      </c>
      <c r="D6" s="310">
        <f>SUM(D7:D298)</f>
        <v>8346364790.5999947</v>
      </c>
      <c r="E6" s="310">
        <f>SUM(E7:E298)</f>
        <v>2165252817.6954794</v>
      </c>
      <c r="F6" s="303">
        <f>SUM(F7:F298)</f>
        <v>10511617608.295483</v>
      </c>
      <c r="G6" s="498">
        <v>1422.47</v>
      </c>
      <c r="H6" s="310">
        <f t="shared" ref="H6:M6" si="0">SUM(H7:H298)</f>
        <v>7927866275.7000036</v>
      </c>
      <c r="I6" s="303">
        <f t="shared" si="0"/>
        <v>2583751332.5954785</v>
      </c>
      <c r="J6" s="310">
        <f t="shared" si="0"/>
        <v>296097778.82632726</v>
      </c>
      <c r="K6" s="310">
        <f t="shared" si="0"/>
        <v>-493897809.68215799</v>
      </c>
      <c r="L6" s="303">
        <f t="shared" si="0"/>
        <v>2385951301.7396474</v>
      </c>
      <c r="M6" s="310">
        <f t="shared" si="0"/>
        <v>798212737.00637257</v>
      </c>
      <c r="N6" s="303">
        <f>SUM(N7:N373)</f>
        <v>3184164038.7460222</v>
      </c>
      <c r="O6" s="241">
        <f>SUM(O7:O373)</f>
        <v>540500000.00000083</v>
      </c>
      <c r="P6" s="371">
        <f>SUM(P7:P373)</f>
        <v>3724664038.7460217</v>
      </c>
      <c r="Q6" s="310">
        <f>SUM(Q7:Q373)</f>
        <v>31296165.689245842</v>
      </c>
      <c r="R6" s="341">
        <f>SUM(R7:R373)</f>
        <v>3755960204.4352694</v>
      </c>
      <c r="S6" s="30"/>
    </row>
    <row r="7" spans="1:20" ht="15">
      <c r="A7" s="32">
        <v>5</v>
      </c>
      <c r="B7" s="13" t="s">
        <v>12</v>
      </c>
      <c r="C7" s="15">
        <v>9113</v>
      </c>
      <c r="D7" s="15">
        <f>Ikärakenne[[#This Row],[Laskennalliset kustannukset, IKÄRAKENNE yhteensä, €]]</f>
        <v>15085030.640000001</v>
      </c>
      <c r="E7" s="15">
        <f>'Lask. kustannukset MUUT'!AD13</f>
        <v>2453462.3250579345</v>
      </c>
      <c r="F7" s="231">
        <f>Yhteenveto[[#This Row],[Ikärakenne, laskennallinen kustannus]]+Yhteenveto[[#This Row],[Muut laskennalliset kustannukset ]]</f>
        <v>17538492.965057936</v>
      </c>
      <c r="G7" s="498">
        <v>1422.47</v>
      </c>
      <c r="H7" s="17">
        <v>12962969.109999999</v>
      </c>
      <c r="I7" s="339">
        <f>Yhteenveto[[#This Row],[Laskennalliset kustannukset yhteensä]]-Yhteenveto[[#This Row],[Omarahoitusosuus, €]]</f>
        <v>4575523.8550579362</v>
      </c>
      <c r="J7" s="33">
        <v>635393.28319062793</v>
      </c>
      <c r="K7" s="34">
        <f>'Muut lis_väh'!O5</f>
        <v>632413.69283889537</v>
      </c>
      <c r="L7" s="231">
        <f>Yhteenveto[[#This Row],[Valtionosuus omarahoitusosuuden jälkeen (välisumma)]]+Yhteenveto[[#This Row],[Lisäosat yhteensä]]+Yhteenveto[[#This Row],[Valtionosuuteen tehtävät vähennykset ja lisäykset, netto]]</f>
        <v>5843330.8310874589</v>
      </c>
      <c r="M7" s="34">
        <f>'Verotuloihin perust tasaus'!N12</f>
        <v>5285425.1389323166</v>
      </c>
      <c r="N7" s="303">
        <f>SUM(Yhteenveto[[#This Row],[Valtionosuus ennen verotuloihin perustuvaa valtionosuuden tasausta]]+Yhteenveto[[#This Row],[Verotuloihin perustuva valtionosuuden tasaus]])</f>
        <v>11128755.970019776</v>
      </c>
      <c r="O7" s="241">
        <v>1404565.9075820795</v>
      </c>
      <c r="P7" s="372">
        <f>SUM(Yhteenveto[[#This Row],[Kunnan  peruspalvelujen valtionosuus ]:[Veroperustemuutoksista johtuvien veromenetysten korvaus]])</f>
        <v>12533321.877601856</v>
      </c>
      <c r="Q7" s="34">
        <v>2277383.3357300013</v>
      </c>
      <c r="R7" s="341">
        <f>+Yhteenveto[[#This Row],[Kunnan  peruspalvelujen valtionosuus ]]+Yhteenveto[[#This Row],[Veroperustemuutoksista johtuvien veromenetysten korvaus]]+Yhteenveto[[#This Row],[Kotikuntakorvaus, netto]]</f>
        <v>14810705.213331858</v>
      </c>
      <c r="S7" s="11"/>
      <c r="T7"/>
    </row>
    <row r="8" spans="1:20" ht="15">
      <c r="A8" s="32">
        <v>9</v>
      </c>
      <c r="B8" s="13" t="s">
        <v>13</v>
      </c>
      <c r="C8" s="15">
        <v>2437</v>
      </c>
      <c r="D8" s="15">
        <f>Ikärakenne[[#This Row],[Laskennalliset kustannukset, IKÄRAKENNE yhteensä, €]]</f>
        <v>4538270</v>
      </c>
      <c r="E8" s="15">
        <f>'Lask. kustannukset MUUT'!AD14</f>
        <v>578174.87547000742</v>
      </c>
      <c r="F8" s="231">
        <f>Yhteenveto[[#This Row],[Ikärakenne, laskennallinen kustannus]]+Yhteenveto[[#This Row],[Muut laskennalliset kustannukset ]]</f>
        <v>5116444.8754700078</v>
      </c>
      <c r="G8" s="498">
        <v>1422.47</v>
      </c>
      <c r="H8" s="17">
        <v>3466559.39</v>
      </c>
      <c r="I8" s="339">
        <f>Yhteenveto[[#This Row],[Laskennalliset kustannukset yhteensä]]-Yhteenveto[[#This Row],[Omarahoitusosuus, €]]</f>
        <v>1649885.4854700076</v>
      </c>
      <c r="J8" s="33">
        <v>75382.242370832537</v>
      </c>
      <c r="K8" s="34">
        <f>'Muut lis_väh'!O6</f>
        <v>357769.72156708397</v>
      </c>
      <c r="L8" s="231">
        <f>Yhteenveto[[#This Row],[Valtionosuus omarahoitusosuuden jälkeen (välisumma)]]+Yhteenveto[[#This Row],[Lisäosat yhteensä]]+Yhteenveto[[#This Row],[Valtionosuuteen tehtävät vähennykset ja lisäykset, netto]]</f>
        <v>2083037.449407924</v>
      </c>
      <c r="M8" s="34">
        <f>'Verotuloihin perust tasaus'!N13</f>
        <v>1752648.1174895433</v>
      </c>
      <c r="N8" s="303">
        <f>SUM(Yhteenveto[[#This Row],[Valtionosuus ennen verotuloihin perustuvaa valtionosuuden tasausta]]+Yhteenveto[[#This Row],[Verotuloihin perustuva valtionosuuden tasaus]])</f>
        <v>3835685.5668974672</v>
      </c>
      <c r="O8" s="241">
        <v>345643.48869660147</v>
      </c>
      <c r="P8" s="372">
        <f>SUM(Yhteenveto[[#This Row],[Kunnan  peruspalvelujen valtionosuus ]:[Veroperustemuutoksista johtuvien veromenetysten korvaus]])</f>
        <v>4181329.055594069</v>
      </c>
      <c r="Q8" s="34">
        <v>74078.110000000015</v>
      </c>
      <c r="R8" s="341">
        <f>+Yhteenveto[[#This Row],[Kunnan  peruspalvelujen valtionosuus ]]+Yhteenveto[[#This Row],[Veroperustemuutoksista johtuvien veromenetysten korvaus]]+Yhteenveto[[#This Row],[Kotikuntakorvaus, netto]]</f>
        <v>4255407.1655940693</v>
      </c>
      <c r="S8" s="11"/>
      <c r="T8"/>
    </row>
    <row r="9" spans="1:20" ht="15">
      <c r="A9" s="32">
        <v>10</v>
      </c>
      <c r="B9" s="13" t="s">
        <v>14</v>
      </c>
      <c r="C9" s="15">
        <v>10933</v>
      </c>
      <c r="D9" s="15">
        <f>Ikärakenne[[#This Row],[Laskennalliset kustannukset, IKÄRAKENNE yhteensä, €]]</f>
        <v>17511701.16</v>
      </c>
      <c r="E9" s="15">
        <f>'Lask. kustannukset MUUT'!AD15</f>
        <v>2553162.0089133065</v>
      </c>
      <c r="F9" s="231">
        <f>Yhteenveto[[#This Row],[Ikärakenne, laskennallinen kustannus]]+Yhteenveto[[#This Row],[Muut laskennalliset kustannukset ]]</f>
        <v>20064863.168913305</v>
      </c>
      <c r="G9" s="498">
        <v>1422.47</v>
      </c>
      <c r="H9" s="17">
        <v>15551864.51</v>
      </c>
      <c r="I9" s="339">
        <f>Yhteenveto[[#This Row],[Laskennalliset kustannukset yhteensä]]-Yhteenveto[[#This Row],[Omarahoitusosuus, €]]</f>
        <v>4512998.658913305</v>
      </c>
      <c r="J9" s="33">
        <v>714155.57169090654</v>
      </c>
      <c r="K9" s="34">
        <f>'Muut lis_väh'!O7</f>
        <v>-1735153.8768971595</v>
      </c>
      <c r="L9" s="231">
        <f>Yhteenveto[[#This Row],[Valtionosuus omarahoitusosuuden jälkeen (välisumma)]]+Yhteenveto[[#This Row],[Lisäosat yhteensä]]+Yhteenveto[[#This Row],[Valtionosuuteen tehtävät vähennykset ja lisäykset, netto]]</f>
        <v>3492000.3537070523</v>
      </c>
      <c r="M9" s="34">
        <f>'Verotuloihin perust tasaus'!N14</f>
        <v>6720710.3258034149</v>
      </c>
      <c r="N9" s="303">
        <f>SUM(Yhteenveto[[#This Row],[Valtionosuus ennen verotuloihin perustuvaa valtionosuuden tasausta]]+Yhteenveto[[#This Row],[Verotuloihin perustuva valtionosuuden tasaus]])</f>
        <v>10212710.679510467</v>
      </c>
      <c r="O9" s="241">
        <v>1652895.6500283843</v>
      </c>
      <c r="P9" s="372">
        <f>SUM(Yhteenveto[[#This Row],[Kunnan  peruspalvelujen valtionosuus ]:[Veroperustemuutoksista johtuvien veromenetysten korvaus]])</f>
        <v>11865606.329538852</v>
      </c>
      <c r="Q9" s="34">
        <v>8815.2950900000287</v>
      </c>
      <c r="R9" s="341">
        <f>+Yhteenveto[[#This Row],[Kunnan  peruspalvelujen valtionosuus ]]+Yhteenveto[[#This Row],[Veroperustemuutoksista johtuvien veromenetysten korvaus]]+Yhteenveto[[#This Row],[Kotikuntakorvaus, netto]]</f>
        <v>11874421.624628851</v>
      </c>
      <c r="S9" s="11"/>
      <c r="T9"/>
    </row>
    <row r="10" spans="1:20" ht="15">
      <c r="A10" s="32">
        <v>16</v>
      </c>
      <c r="B10" s="13" t="s">
        <v>15</v>
      </c>
      <c r="C10" s="15">
        <v>7968</v>
      </c>
      <c r="D10" s="15">
        <f>Ikärakenne[[#This Row],[Laskennalliset kustannukset, IKÄRAKENNE yhteensä, €]]</f>
        <v>10660561.610000001</v>
      </c>
      <c r="E10" s="15">
        <f>'Lask. kustannukset MUUT'!AD16</f>
        <v>2078149.9191687363</v>
      </c>
      <c r="F10" s="231">
        <f>Yhteenveto[[#This Row],[Ikärakenne, laskennallinen kustannus]]+Yhteenveto[[#This Row],[Muut laskennalliset kustannukset ]]</f>
        <v>12738711.529168738</v>
      </c>
      <c r="G10" s="498">
        <v>1422.47</v>
      </c>
      <c r="H10" s="17">
        <v>11334240.960000001</v>
      </c>
      <c r="I10" s="339">
        <f>Yhteenveto[[#This Row],[Laskennalliset kustannukset yhteensä]]-Yhteenveto[[#This Row],[Omarahoitusosuus, €]]</f>
        <v>1404470.5691687372</v>
      </c>
      <c r="J10" s="33">
        <v>237884.272887712</v>
      </c>
      <c r="K10" s="34">
        <f>'Muut lis_väh'!O8</f>
        <v>3629104.3509550565</v>
      </c>
      <c r="L10" s="231">
        <f>Yhteenveto[[#This Row],[Valtionosuus omarahoitusosuuden jälkeen (välisumma)]]+Yhteenveto[[#This Row],[Lisäosat yhteensä]]+Yhteenveto[[#This Row],[Valtionosuuteen tehtävät vähennykset ja lisäykset, netto]]</f>
        <v>5271459.1930115055</v>
      </c>
      <c r="M10" s="34">
        <f>'Verotuloihin perust tasaus'!N15</f>
        <v>2677143.8160810997</v>
      </c>
      <c r="N10" s="303">
        <f>SUM(Yhteenveto[[#This Row],[Valtionosuus ennen verotuloihin perustuvaa valtionosuuden tasausta]]+Yhteenveto[[#This Row],[Verotuloihin perustuva valtionosuuden tasaus]])</f>
        <v>7948603.0090926047</v>
      </c>
      <c r="O10" s="241">
        <v>976561.84154617251</v>
      </c>
      <c r="P10" s="372">
        <f>SUM(Yhteenveto[[#This Row],[Kunnan  peruspalvelujen valtionosuus ]:[Veroperustemuutoksista johtuvien veromenetysten korvaus]])</f>
        <v>8925164.850638777</v>
      </c>
      <c r="Q10" s="34">
        <v>478765.24879999994</v>
      </c>
      <c r="R10" s="341">
        <f>+Yhteenveto[[#This Row],[Kunnan  peruspalvelujen valtionosuus ]]+Yhteenveto[[#This Row],[Veroperustemuutoksista johtuvien veromenetysten korvaus]]+Yhteenveto[[#This Row],[Kotikuntakorvaus, netto]]</f>
        <v>9403930.0994387772</v>
      </c>
      <c r="S10" s="11"/>
      <c r="T10"/>
    </row>
    <row r="11" spans="1:20" ht="15">
      <c r="A11" s="32">
        <v>18</v>
      </c>
      <c r="B11" s="13" t="s">
        <v>16</v>
      </c>
      <c r="C11" s="15">
        <v>4700</v>
      </c>
      <c r="D11" s="15">
        <f>Ikärakenne[[#This Row],[Laskennalliset kustannukset, IKÄRAKENNE yhteensä, €]]</f>
        <v>8313920.3399999999</v>
      </c>
      <c r="E11" s="15">
        <f>'Lask. kustannukset MUUT'!AD17</f>
        <v>989750.92562478327</v>
      </c>
      <c r="F11" s="231">
        <f>Yhteenveto[[#This Row],[Ikärakenne, laskennallinen kustannus]]+Yhteenveto[[#This Row],[Muut laskennalliset kustannukset ]]</f>
        <v>9303671.2656247839</v>
      </c>
      <c r="G11" s="498">
        <v>1422.47</v>
      </c>
      <c r="H11" s="17">
        <v>6685609</v>
      </c>
      <c r="I11" s="339">
        <f>Yhteenveto[[#This Row],[Laskennalliset kustannukset yhteensä]]-Yhteenveto[[#This Row],[Omarahoitusosuus, €]]</f>
        <v>2618062.2656247839</v>
      </c>
      <c r="J11" s="33">
        <v>108036.82085596939</v>
      </c>
      <c r="K11" s="34">
        <f>'Muut lis_väh'!O9</f>
        <v>-968820.47850423038</v>
      </c>
      <c r="L11" s="231">
        <f>Yhteenveto[[#This Row],[Valtionosuus omarahoitusosuuden jälkeen (välisumma)]]+Yhteenveto[[#This Row],[Lisäosat yhteensä]]+Yhteenveto[[#This Row],[Valtionosuuteen tehtävät vähennykset ja lisäykset, netto]]</f>
        <v>1757278.6079765232</v>
      </c>
      <c r="M11" s="34">
        <f>'Verotuloihin perust tasaus'!N16</f>
        <v>1045468.9083273915</v>
      </c>
      <c r="N11" s="303">
        <f>SUM(Yhteenveto[[#This Row],[Valtionosuus ennen verotuloihin perustuvaa valtionosuuden tasausta]]+Yhteenveto[[#This Row],[Verotuloihin perustuva valtionosuuden tasaus]])</f>
        <v>2802747.5163039146</v>
      </c>
      <c r="O11" s="241">
        <v>460974.09786803817</v>
      </c>
      <c r="P11" s="372">
        <f>SUM(Yhteenveto[[#This Row],[Kunnan  peruspalvelujen valtionosuus ]:[Veroperustemuutoksista johtuvien veromenetysten korvaus]])</f>
        <v>3263721.6141719529</v>
      </c>
      <c r="Q11" s="34">
        <v>512086.21312999999</v>
      </c>
      <c r="R11" s="341">
        <f>+Yhteenveto[[#This Row],[Kunnan  peruspalvelujen valtionosuus ]]+Yhteenveto[[#This Row],[Veroperustemuutoksista johtuvien veromenetysten korvaus]]+Yhteenveto[[#This Row],[Kotikuntakorvaus, netto]]</f>
        <v>3775807.827301953</v>
      </c>
      <c r="S11" s="11"/>
      <c r="T11"/>
    </row>
    <row r="12" spans="1:20" ht="15">
      <c r="A12" s="32">
        <v>19</v>
      </c>
      <c r="B12" s="13" t="s">
        <v>17</v>
      </c>
      <c r="C12" s="15">
        <v>3961</v>
      </c>
      <c r="D12" s="15">
        <f>Ikärakenne[[#This Row],[Laskennalliset kustannukset, IKÄRAKENNE yhteensä, €]]</f>
        <v>7073247.1600000001</v>
      </c>
      <c r="E12" s="15">
        <f>'Lask. kustannukset MUUT'!AD18</f>
        <v>676464.16807385825</v>
      </c>
      <c r="F12" s="231">
        <f>Yhteenveto[[#This Row],[Ikärakenne, laskennallinen kustannus]]+Yhteenveto[[#This Row],[Muut laskennalliset kustannukset ]]</f>
        <v>7749711.3280738583</v>
      </c>
      <c r="G12" s="498">
        <v>1422.47</v>
      </c>
      <c r="H12" s="17">
        <v>5634403.6699999999</v>
      </c>
      <c r="I12" s="339">
        <f>Yhteenveto[[#This Row],[Laskennalliset kustannukset yhteensä]]-Yhteenveto[[#This Row],[Omarahoitusosuus, €]]</f>
        <v>2115307.6580738584</v>
      </c>
      <c r="J12" s="33">
        <v>86508.780030193549</v>
      </c>
      <c r="K12" s="34">
        <f>'Muut lis_väh'!O10</f>
        <v>-1140561.747157237</v>
      </c>
      <c r="L12" s="231">
        <f>Yhteenveto[[#This Row],[Valtionosuus omarahoitusosuuden jälkeen (välisumma)]]+Yhteenveto[[#This Row],[Lisäosat yhteensä]]+Yhteenveto[[#This Row],[Valtionosuuteen tehtävät vähennykset ja lisäykset, netto]]</f>
        <v>1061254.6909468151</v>
      </c>
      <c r="M12" s="34">
        <f>'Verotuloihin perust tasaus'!N17</f>
        <v>1633340.6080632354</v>
      </c>
      <c r="N12" s="303">
        <f>SUM(Yhteenveto[[#This Row],[Valtionosuus ennen verotuloihin perustuvaa valtionosuuden tasausta]]+Yhteenveto[[#This Row],[Verotuloihin perustuva valtionosuuden tasaus]])</f>
        <v>2694595.2990100505</v>
      </c>
      <c r="O12" s="241">
        <v>333725.20042253559</v>
      </c>
      <c r="P12" s="372">
        <f>SUM(Yhteenveto[[#This Row],[Kunnan  peruspalvelujen valtionosuus ]:[Veroperustemuutoksista johtuvien veromenetysten korvaus]])</f>
        <v>3028320.4994325861</v>
      </c>
      <c r="Q12" s="34">
        <v>86004.685709999991</v>
      </c>
      <c r="R12" s="341">
        <f>+Yhteenveto[[#This Row],[Kunnan  peruspalvelujen valtionosuus ]]+Yhteenveto[[#This Row],[Veroperustemuutoksista johtuvien veromenetysten korvaus]]+Yhteenveto[[#This Row],[Kotikuntakorvaus, netto]]</f>
        <v>3114325.185142586</v>
      </c>
      <c r="S12" s="11"/>
      <c r="T12"/>
    </row>
    <row r="13" spans="1:20" ht="15">
      <c r="A13" s="32">
        <v>20</v>
      </c>
      <c r="B13" s="13" t="s">
        <v>18</v>
      </c>
      <c r="C13" s="15">
        <v>16405</v>
      </c>
      <c r="D13" s="15">
        <f>Ikärakenne[[#This Row],[Laskennalliset kustannukset, IKÄRAKENNE yhteensä, €]]</f>
        <v>25610725.809999999</v>
      </c>
      <c r="E13" s="15">
        <f>'Lask. kustannukset MUUT'!AD19</f>
        <v>3284130.2719172849</v>
      </c>
      <c r="F13" s="231">
        <f>Yhteenveto[[#This Row],[Ikärakenne, laskennallinen kustannus]]+Yhteenveto[[#This Row],[Muut laskennalliset kustannukset ]]</f>
        <v>28894856.081917282</v>
      </c>
      <c r="G13" s="498">
        <v>1422.47</v>
      </c>
      <c r="H13" s="17">
        <v>23335620.350000001</v>
      </c>
      <c r="I13" s="339">
        <f>Yhteenveto[[#This Row],[Laskennalliset kustannukset yhteensä]]-Yhteenveto[[#This Row],[Omarahoitusosuus, €]]</f>
        <v>5559235.7319172807</v>
      </c>
      <c r="J13" s="33">
        <v>419256.43109388638</v>
      </c>
      <c r="K13" s="34">
        <f>'Muut lis_väh'!O11</f>
        <v>-5862798.4291631645</v>
      </c>
      <c r="L13" s="231">
        <f>Yhteenveto[[#This Row],[Valtionosuus omarahoitusosuuden jälkeen (välisumma)]]+Yhteenveto[[#This Row],[Lisäosat yhteensä]]+Yhteenveto[[#This Row],[Valtionosuuteen tehtävät vähennykset ja lisäykset, netto]]</f>
        <v>115693.73384800274</v>
      </c>
      <c r="M13" s="34">
        <f>'Verotuloihin perust tasaus'!N18</f>
        <v>6969389.5133773312</v>
      </c>
      <c r="N13" s="303">
        <f>SUM(Yhteenveto[[#This Row],[Valtionosuus ennen verotuloihin perustuvaa valtionosuuden tasausta]]+Yhteenveto[[#This Row],[Verotuloihin perustuva valtionosuuden tasaus]])</f>
        <v>7085083.2472253339</v>
      </c>
      <c r="O13" s="241">
        <v>1382016.7520994565</v>
      </c>
      <c r="P13" s="372">
        <f>SUM(Yhteenveto[[#This Row],[Kunnan  peruspalvelujen valtionosuus ]:[Veroperustemuutoksista johtuvien veromenetysten korvaus]])</f>
        <v>8467099.9993247911</v>
      </c>
      <c r="Q13" s="34">
        <v>-369358.18484999985</v>
      </c>
      <c r="R13" s="341">
        <f>+Yhteenveto[[#This Row],[Kunnan  peruspalvelujen valtionosuus ]]+Yhteenveto[[#This Row],[Veroperustemuutoksista johtuvien veromenetysten korvaus]]+Yhteenveto[[#This Row],[Kotikuntakorvaus, netto]]</f>
        <v>8097741.8144747913</v>
      </c>
      <c r="S13" s="11"/>
      <c r="T13"/>
    </row>
    <row r="14" spans="1:20" ht="15">
      <c r="A14" s="32">
        <v>46</v>
      </c>
      <c r="B14" s="13" t="s">
        <v>19</v>
      </c>
      <c r="C14" s="15">
        <v>1320</v>
      </c>
      <c r="D14" s="15">
        <f>Ikärakenne[[#This Row],[Laskennalliset kustannukset, IKÄRAKENNE yhteensä, €]]</f>
        <v>1637525.72</v>
      </c>
      <c r="E14" s="15">
        <f>'Lask. kustannukset MUUT'!AD20</f>
        <v>1025049.1823792366</v>
      </c>
      <c r="F14" s="231">
        <f>Yhteenveto[[#This Row],[Ikärakenne, laskennallinen kustannus]]+Yhteenveto[[#This Row],[Muut laskennalliset kustannukset ]]</f>
        <v>2662574.9023792366</v>
      </c>
      <c r="G14" s="498">
        <v>1422.47</v>
      </c>
      <c r="H14" s="17">
        <v>1877660.4000000001</v>
      </c>
      <c r="I14" s="339">
        <f>Yhteenveto[[#This Row],[Laskennalliset kustannukset yhteensä]]-Yhteenveto[[#This Row],[Omarahoitusosuus, €]]</f>
        <v>784914.50237923651</v>
      </c>
      <c r="J14" s="33">
        <v>203109.39132111659</v>
      </c>
      <c r="K14" s="34">
        <f>'Muut lis_väh'!O12</f>
        <v>583482.2409764051</v>
      </c>
      <c r="L14" s="231">
        <f>Yhteenveto[[#This Row],[Valtionosuus omarahoitusosuuden jälkeen (välisumma)]]+Yhteenveto[[#This Row],[Lisäosat yhteensä]]+Yhteenveto[[#This Row],[Valtionosuuteen tehtävät vähennykset ja lisäykset, netto]]</f>
        <v>1571506.1346767582</v>
      </c>
      <c r="M14" s="34">
        <f>'Verotuloihin perust tasaus'!N19</f>
        <v>576688.2922773459</v>
      </c>
      <c r="N14" s="303">
        <f>SUM(Yhteenveto[[#This Row],[Valtionosuus ennen verotuloihin perustuvaa valtionosuuden tasausta]]+Yhteenveto[[#This Row],[Verotuloihin perustuva valtionosuuden tasaus]])</f>
        <v>2148194.4269541041</v>
      </c>
      <c r="O14" s="241">
        <v>230751.72466460743</v>
      </c>
      <c r="P14" s="372">
        <f>SUM(Yhteenveto[[#This Row],[Kunnan  peruspalvelujen valtionosuus ]:[Veroperustemuutoksista johtuvien veromenetysten korvaus]])</f>
        <v>2378946.1516187117</v>
      </c>
      <c r="Q14" s="34">
        <v>324684.35612999997</v>
      </c>
      <c r="R14" s="341">
        <f>+Yhteenveto[[#This Row],[Kunnan  peruspalvelujen valtionosuus ]]+Yhteenveto[[#This Row],[Veroperustemuutoksista johtuvien veromenetysten korvaus]]+Yhteenveto[[#This Row],[Kotikuntakorvaus, netto]]</f>
        <v>2703630.5077487119</v>
      </c>
      <c r="S14" s="11"/>
      <c r="T14"/>
    </row>
    <row r="15" spans="1:20" ht="15">
      <c r="A15" s="32">
        <v>47</v>
      </c>
      <c r="B15" s="13" t="s">
        <v>20</v>
      </c>
      <c r="C15" s="15">
        <v>1771</v>
      </c>
      <c r="D15" s="15">
        <f>Ikärakenne[[#This Row],[Laskennalliset kustannukset, IKÄRAKENNE yhteensä, €]]</f>
        <v>2158122.0100000002</v>
      </c>
      <c r="E15" s="15">
        <f>'Lask. kustannukset MUUT'!AD21</f>
        <v>1872615.6479676601</v>
      </c>
      <c r="F15" s="231">
        <f>Yhteenveto[[#This Row],[Ikärakenne, laskennallinen kustannus]]+Yhteenveto[[#This Row],[Muut laskennalliset kustannukset ]]</f>
        <v>4030737.6579676606</v>
      </c>
      <c r="G15" s="498">
        <v>1422.47</v>
      </c>
      <c r="H15" s="17">
        <v>2519194.37</v>
      </c>
      <c r="I15" s="339">
        <f>Yhteenveto[[#This Row],[Laskennalliset kustannukset yhteensä]]-Yhteenveto[[#This Row],[Omarahoitusosuus, €]]</f>
        <v>1511543.2879676605</v>
      </c>
      <c r="J15" s="33">
        <v>884249.5600110013</v>
      </c>
      <c r="K15" s="34">
        <f>'Muut lis_väh'!O13</f>
        <v>309811.74308997602</v>
      </c>
      <c r="L15" s="231">
        <f>Yhteenveto[[#This Row],[Valtionosuus omarahoitusosuuden jälkeen (välisumma)]]+Yhteenveto[[#This Row],[Lisäosat yhteensä]]+Yhteenveto[[#This Row],[Valtionosuuteen tehtävät vähennykset ja lisäykset, netto]]</f>
        <v>2705604.5910686376</v>
      </c>
      <c r="M15" s="34">
        <f>'Verotuloihin perust tasaus'!N20</f>
        <v>499067.27078760811</v>
      </c>
      <c r="N15" s="303">
        <f>SUM(Yhteenveto[[#This Row],[Valtionosuus ennen verotuloihin perustuvaa valtionosuuden tasausta]]+Yhteenveto[[#This Row],[Verotuloihin perustuva valtionosuuden tasaus]])</f>
        <v>3204671.8618562454</v>
      </c>
      <c r="O15" s="241">
        <v>276385.18382295908</v>
      </c>
      <c r="P15" s="372">
        <f>SUM(Yhteenveto[[#This Row],[Kunnan  peruspalvelujen valtionosuus ]:[Veroperustemuutoksista johtuvien veromenetysten korvaus]])</f>
        <v>3481057.0456792046</v>
      </c>
      <c r="Q15" s="34">
        <v>-42965.303800000002</v>
      </c>
      <c r="R15" s="341">
        <f>+Yhteenveto[[#This Row],[Kunnan  peruspalvelujen valtionosuus ]]+Yhteenveto[[#This Row],[Veroperustemuutoksista johtuvien veromenetysten korvaus]]+Yhteenveto[[#This Row],[Kotikuntakorvaus, netto]]</f>
        <v>3438091.7418792048</v>
      </c>
      <c r="S15" s="11"/>
      <c r="T15"/>
    </row>
    <row r="16" spans="1:20" ht="15">
      <c r="A16" s="32">
        <v>49</v>
      </c>
      <c r="B16" s="13" t="s">
        <v>21</v>
      </c>
      <c r="C16" s="15">
        <v>314024</v>
      </c>
      <c r="D16" s="15">
        <f>Ikärakenne[[#This Row],[Laskennalliset kustannukset, IKÄRAKENNE yhteensä, €]]</f>
        <v>550462354.49000001</v>
      </c>
      <c r="E16" s="15">
        <f>'Lask. kustannukset MUUT'!AD22</f>
        <v>193067702.13023245</v>
      </c>
      <c r="F16" s="231">
        <f>Yhteenveto[[#This Row],[Ikärakenne, laskennallinen kustannus]]+Yhteenveto[[#This Row],[Muut laskennalliset kustannukset ]]</f>
        <v>743530056.62023246</v>
      </c>
      <c r="G16" s="498">
        <v>1422.47</v>
      </c>
      <c r="H16" s="17">
        <v>446689719.28000003</v>
      </c>
      <c r="I16" s="339">
        <f>Yhteenveto[[#This Row],[Laskennalliset kustannukset yhteensä]]-Yhteenveto[[#This Row],[Omarahoitusosuus, €]]</f>
        <v>296840337.34023243</v>
      </c>
      <c r="J16" s="33">
        <v>18430980.000324026</v>
      </c>
      <c r="K16" s="34">
        <f>'Muut lis_väh'!O14</f>
        <v>118904507.70907849</v>
      </c>
      <c r="L16" s="231">
        <f>Yhteenveto[[#This Row],[Valtionosuus omarahoitusosuuden jälkeen (välisumma)]]+Yhteenveto[[#This Row],[Lisäosat yhteensä]]+Yhteenveto[[#This Row],[Valtionosuuteen tehtävät vähennykset ja lisäykset, netto]]</f>
        <v>434175825.04963493</v>
      </c>
      <c r="M16" s="34">
        <f>'Verotuloihin perust tasaus'!N21</f>
        <v>-24055604.721591759</v>
      </c>
      <c r="N16" s="303">
        <f>SUM(Yhteenveto[[#This Row],[Valtionosuus ennen verotuloihin perustuvaa valtionosuuden tasausta]]+Yhteenveto[[#This Row],[Verotuloihin perustuva valtionosuuden tasaus]])</f>
        <v>410120220.32804316</v>
      </c>
      <c r="O16" s="241">
        <v>21807497.413012929</v>
      </c>
      <c r="P16" s="372">
        <f>SUM(Yhteenveto[[#This Row],[Kunnan  peruspalvelujen valtionosuus ]:[Veroperustemuutoksista johtuvien veromenetysten korvaus]])</f>
        <v>431927717.74105608</v>
      </c>
      <c r="Q16" s="34">
        <v>-16818016.358500008</v>
      </c>
      <c r="R16" s="341">
        <f>+Yhteenveto[[#This Row],[Kunnan  peruspalvelujen valtionosuus ]]+Yhteenveto[[#This Row],[Veroperustemuutoksista johtuvien veromenetysten korvaus]]+Yhteenveto[[#This Row],[Kotikuntakorvaus, netto]]</f>
        <v>415109701.38255608</v>
      </c>
      <c r="S16" s="11"/>
      <c r="T16"/>
    </row>
    <row r="17" spans="1:20" ht="15">
      <c r="A17" s="32">
        <v>50</v>
      </c>
      <c r="B17" s="13" t="s">
        <v>22</v>
      </c>
      <c r="C17" s="15">
        <v>11184</v>
      </c>
      <c r="D17" s="15">
        <f>Ikärakenne[[#This Row],[Laskennalliset kustannukset, IKÄRAKENNE yhteensä, €]]</f>
        <v>16353863.470000001</v>
      </c>
      <c r="E17" s="15">
        <f>'Lask. kustannukset MUUT'!AD23</f>
        <v>2555106.0844190642</v>
      </c>
      <c r="F17" s="231">
        <f>Yhteenveto[[#This Row],[Ikärakenne, laskennallinen kustannus]]+Yhteenveto[[#This Row],[Muut laskennalliset kustannukset ]]</f>
        <v>18908969.554419063</v>
      </c>
      <c r="G17" s="498">
        <v>1422.47</v>
      </c>
      <c r="H17" s="17">
        <v>15908904.48</v>
      </c>
      <c r="I17" s="339">
        <f>Yhteenveto[[#This Row],[Laskennalliset kustannukset yhteensä]]-Yhteenveto[[#This Row],[Omarahoitusosuus, €]]</f>
        <v>3000065.0744190626</v>
      </c>
      <c r="J17" s="33">
        <v>267140.08994433453</v>
      </c>
      <c r="K17" s="34">
        <f>'Muut lis_väh'!O15</f>
        <v>-1983458.3265980766</v>
      </c>
      <c r="L17" s="231">
        <f>Yhteenveto[[#This Row],[Valtionosuus omarahoitusosuuden jälkeen (välisumma)]]+Yhteenveto[[#This Row],[Lisäosat yhteensä]]+Yhteenveto[[#This Row],[Valtionosuuteen tehtävät vähennykset ja lisäykset, netto]]</f>
        <v>1283746.8377653207</v>
      </c>
      <c r="M17" s="34">
        <f>'Verotuloihin perust tasaus'!N22</f>
        <v>3340746.4338896736</v>
      </c>
      <c r="N17" s="303">
        <f>SUM(Yhteenveto[[#This Row],[Valtionosuus ennen verotuloihin perustuvaa valtionosuuden tasausta]]+Yhteenveto[[#This Row],[Verotuloihin perustuva valtionosuuden tasaus]])</f>
        <v>4624493.2716549942</v>
      </c>
      <c r="O17" s="241">
        <v>1250008.4398452472</v>
      </c>
      <c r="P17" s="372">
        <f>SUM(Yhteenveto[[#This Row],[Kunnan  peruspalvelujen valtionosuus ]:[Veroperustemuutoksista johtuvien veromenetysten korvaus]])</f>
        <v>5874501.7115002414</v>
      </c>
      <c r="Q17" s="34">
        <v>232070.95732999989</v>
      </c>
      <c r="R17" s="341">
        <f>+Yhteenveto[[#This Row],[Kunnan  peruspalvelujen valtionosuus ]]+Yhteenveto[[#This Row],[Veroperustemuutoksista johtuvien veromenetysten korvaus]]+Yhteenveto[[#This Row],[Kotikuntakorvaus, netto]]</f>
        <v>6106572.6688302411</v>
      </c>
      <c r="S17" s="11"/>
      <c r="T17"/>
    </row>
    <row r="18" spans="1:20" ht="15">
      <c r="A18" s="32">
        <v>51</v>
      </c>
      <c r="B18" s="13" t="s">
        <v>23</v>
      </c>
      <c r="C18" s="15">
        <v>9143</v>
      </c>
      <c r="D18" s="15">
        <f>Ikärakenne[[#This Row],[Laskennalliset kustannukset, IKÄRAKENNE yhteensä, €]]</f>
        <v>14789876.959999999</v>
      </c>
      <c r="E18" s="15">
        <f>'Lask. kustannukset MUUT'!AD24</f>
        <v>1929649.8968970065</v>
      </c>
      <c r="F18" s="231">
        <f>Yhteenveto[[#This Row],[Ikärakenne, laskennallinen kustannus]]+Yhteenveto[[#This Row],[Muut laskennalliset kustannukset ]]</f>
        <v>16719526.856897006</v>
      </c>
      <c r="G18" s="498">
        <v>1422.47</v>
      </c>
      <c r="H18" s="17">
        <v>13005643.210000001</v>
      </c>
      <c r="I18" s="339">
        <f>Yhteenveto[[#This Row],[Laskennalliset kustannukset yhteensä]]-Yhteenveto[[#This Row],[Omarahoitusosuus, €]]</f>
        <v>3713883.6468970049</v>
      </c>
      <c r="J18" s="33">
        <v>288217.69263993436</v>
      </c>
      <c r="K18" s="34">
        <f>'Muut lis_väh'!O16</f>
        <v>-8990775.1553296018</v>
      </c>
      <c r="L18" s="231">
        <f>Yhteenveto[[#This Row],[Valtionosuus omarahoitusosuuden jälkeen (välisumma)]]+Yhteenveto[[#This Row],[Lisäosat yhteensä]]+Yhteenveto[[#This Row],[Valtionosuuteen tehtävät vähennykset ja lisäykset, netto]]</f>
        <v>-4988673.815792663</v>
      </c>
      <c r="M18" s="34">
        <f>'Verotuloihin perust tasaus'!N23</f>
        <v>-253787.93113912636</v>
      </c>
      <c r="N18" s="303">
        <f>SUM(Yhteenveto[[#This Row],[Valtionosuus ennen verotuloihin perustuvaa valtionosuuden tasausta]]+Yhteenveto[[#This Row],[Verotuloihin perustuva valtionosuuden tasaus]])</f>
        <v>-5242461.7469317894</v>
      </c>
      <c r="O18" s="241">
        <v>1439935.6171932002</v>
      </c>
      <c r="P18" s="372">
        <f>SUM(Yhteenveto[[#This Row],[Kunnan  peruspalvelujen valtionosuus ]:[Veroperustemuutoksista johtuvien veromenetysten korvaus]])</f>
        <v>-3802526.1297385893</v>
      </c>
      <c r="Q18" s="34">
        <v>-38772.79800000001</v>
      </c>
      <c r="R18" s="341">
        <f>+Yhteenveto[[#This Row],[Kunnan  peruspalvelujen valtionosuus ]]+Yhteenveto[[#This Row],[Veroperustemuutoksista johtuvien veromenetysten korvaus]]+Yhteenveto[[#This Row],[Kotikuntakorvaus, netto]]</f>
        <v>-3841298.9277385892</v>
      </c>
      <c r="S18" s="11"/>
      <c r="T18"/>
    </row>
    <row r="19" spans="1:20" ht="15">
      <c r="A19" s="32">
        <v>52</v>
      </c>
      <c r="B19" s="13" t="s">
        <v>24</v>
      </c>
      <c r="C19" s="15">
        <v>2292</v>
      </c>
      <c r="D19" s="15">
        <f>Ikärakenne[[#This Row],[Laskennalliset kustannukset, IKÄRAKENNE yhteensä, €]]</f>
        <v>3657785.1699999995</v>
      </c>
      <c r="E19" s="15">
        <f>'Lask. kustannukset MUUT'!AD25</f>
        <v>636207.70569138182</v>
      </c>
      <c r="F19" s="231">
        <f>Yhteenveto[[#This Row],[Ikärakenne, laskennallinen kustannus]]+Yhteenveto[[#This Row],[Muut laskennalliset kustannukset ]]</f>
        <v>4293992.8756913813</v>
      </c>
      <c r="G19" s="498">
        <v>1422.47</v>
      </c>
      <c r="H19" s="17">
        <v>3260301.24</v>
      </c>
      <c r="I19" s="339">
        <f>Yhteenveto[[#This Row],[Laskennalliset kustannukset yhteensä]]-Yhteenveto[[#This Row],[Omarahoitusosuus, €]]</f>
        <v>1033691.6356913811</v>
      </c>
      <c r="J19" s="33">
        <v>174533.25822862698</v>
      </c>
      <c r="K19" s="34">
        <f>'Muut lis_väh'!O17</f>
        <v>429826.42616937356</v>
      </c>
      <c r="L19" s="231">
        <f>Yhteenveto[[#This Row],[Valtionosuus omarahoitusosuuden jälkeen (välisumma)]]+Yhteenveto[[#This Row],[Lisäosat yhteensä]]+Yhteenveto[[#This Row],[Valtionosuuteen tehtävät vähennykset ja lisäykset, netto]]</f>
        <v>1638051.3200893817</v>
      </c>
      <c r="M19" s="34">
        <f>'Verotuloihin perust tasaus'!N24</f>
        <v>1145442.150164576</v>
      </c>
      <c r="N19" s="303">
        <f>SUM(Yhteenveto[[#This Row],[Valtionosuus ennen verotuloihin perustuvaa valtionosuuden tasausta]]+Yhteenveto[[#This Row],[Verotuloihin perustuva valtionosuuden tasaus]])</f>
        <v>2783493.4702539574</v>
      </c>
      <c r="O19" s="241">
        <v>370416.88681620744</v>
      </c>
      <c r="P19" s="372">
        <f>SUM(Yhteenveto[[#This Row],[Kunnan  peruspalvelujen valtionosuus ]:[Veroperustemuutoksista johtuvien veromenetysten korvaus]])</f>
        <v>3153910.3570701648</v>
      </c>
      <c r="Q19" s="34">
        <v>-37943.753620000003</v>
      </c>
      <c r="R19" s="341">
        <f>+Yhteenveto[[#This Row],[Kunnan  peruspalvelujen valtionosuus ]]+Yhteenveto[[#This Row],[Veroperustemuutoksista johtuvien veromenetysten korvaus]]+Yhteenveto[[#This Row],[Kotikuntakorvaus, netto]]</f>
        <v>3115966.6034501647</v>
      </c>
      <c r="S19" s="11"/>
      <c r="T19"/>
    </row>
    <row r="20" spans="1:20" ht="15">
      <c r="A20" s="32">
        <v>61</v>
      </c>
      <c r="B20" s="13" t="s">
        <v>25</v>
      </c>
      <c r="C20" s="15">
        <v>16469</v>
      </c>
      <c r="D20" s="15">
        <f>Ikärakenne[[#This Row],[Laskennalliset kustannukset, IKÄRAKENNE yhteensä, €]]</f>
        <v>19466838.469999999</v>
      </c>
      <c r="E20" s="15">
        <f>'Lask. kustannukset MUUT'!AD26</f>
        <v>5491739.261855131</v>
      </c>
      <c r="F20" s="231">
        <f>Yhteenveto[[#This Row],[Ikärakenne, laskennallinen kustannus]]+Yhteenveto[[#This Row],[Muut laskennalliset kustannukset ]]</f>
        <v>24958577.731855132</v>
      </c>
      <c r="G20" s="498">
        <v>1422.47</v>
      </c>
      <c r="H20" s="17">
        <v>23426658.43</v>
      </c>
      <c r="I20" s="339">
        <f>Yhteenveto[[#This Row],[Laskennalliset kustannukset yhteensä]]-Yhteenveto[[#This Row],[Omarahoitusosuus, €]]</f>
        <v>1531919.301855132</v>
      </c>
      <c r="J20" s="33">
        <v>553028.25223823031</v>
      </c>
      <c r="K20" s="34">
        <f>'Muut lis_väh'!O18</f>
        <v>859893.24571521091</v>
      </c>
      <c r="L20" s="231">
        <f>Yhteenveto[[#This Row],[Valtionosuus omarahoitusosuuden jälkeen (välisumma)]]+Yhteenveto[[#This Row],[Lisäosat yhteensä]]+Yhteenveto[[#This Row],[Valtionosuuteen tehtävät vähennykset ja lisäykset, netto]]</f>
        <v>2944840.799808573</v>
      </c>
      <c r="M20" s="34">
        <f>'Verotuloihin perust tasaus'!N25</f>
        <v>5432784.4119168967</v>
      </c>
      <c r="N20" s="303">
        <f>SUM(Yhteenveto[[#This Row],[Valtionosuus ennen verotuloihin perustuvaa valtionosuuden tasausta]]+Yhteenveto[[#This Row],[Verotuloihin perustuva valtionosuuden tasaus]])</f>
        <v>8377625.2117254697</v>
      </c>
      <c r="O20" s="241">
        <v>2082710.4899480087</v>
      </c>
      <c r="P20" s="372">
        <f>SUM(Yhteenveto[[#This Row],[Kunnan  peruspalvelujen valtionosuus ]:[Veroperustemuutoksista johtuvien veromenetysten korvaus]])</f>
        <v>10460335.701673478</v>
      </c>
      <c r="Q20" s="34">
        <v>309556.66038999986</v>
      </c>
      <c r="R20" s="341">
        <f>+Yhteenveto[[#This Row],[Kunnan  peruspalvelujen valtionosuus ]]+Yhteenveto[[#This Row],[Veroperustemuutoksista johtuvien veromenetysten korvaus]]+Yhteenveto[[#This Row],[Kotikuntakorvaus, netto]]</f>
        <v>10769892.362063479</v>
      </c>
      <c r="S20" s="11"/>
      <c r="T20"/>
    </row>
    <row r="21" spans="1:20" ht="15">
      <c r="A21" s="32">
        <v>69</v>
      </c>
      <c r="B21" s="13" t="s">
        <v>26</v>
      </c>
      <c r="C21" s="15">
        <v>6558</v>
      </c>
      <c r="D21" s="15">
        <f>Ikärakenne[[#This Row],[Laskennalliset kustannukset, IKÄRAKENNE yhteensä, €]]</f>
        <v>11196459.039999999</v>
      </c>
      <c r="E21" s="15">
        <f>'Lask. kustannukset MUUT'!AD27</f>
        <v>1667750.7037845985</v>
      </c>
      <c r="F21" s="231">
        <f>Yhteenveto[[#This Row],[Ikärakenne, laskennallinen kustannus]]+Yhteenveto[[#This Row],[Muut laskennalliset kustannukset ]]</f>
        <v>12864209.743784597</v>
      </c>
      <c r="G21" s="498">
        <v>1422.47</v>
      </c>
      <c r="H21" s="17">
        <v>9328558.2599999998</v>
      </c>
      <c r="I21" s="339">
        <f>Yhteenveto[[#This Row],[Laskennalliset kustannukset yhteensä]]-Yhteenveto[[#This Row],[Omarahoitusosuus, €]]</f>
        <v>3535651.4837845974</v>
      </c>
      <c r="J21" s="33">
        <v>540213.09310439858</v>
      </c>
      <c r="K21" s="34">
        <f>'Muut lis_väh'!O19</f>
        <v>-4041241.1073128986</v>
      </c>
      <c r="L21" s="231">
        <f>Yhteenveto[[#This Row],[Valtionosuus omarahoitusosuuden jälkeen (välisumma)]]+Yhteenveto[[#This Row],[Lisäosat yhteensä]]+Yhteenveto[[#This Row],[Valtionosuuteen tehtävät vähennykset ja lisäykset, netto]]</f>
        <v>34623.469576097559</v>
      </c>
      <c r="M21" s="34">
        <f>'Verotuloihin perust tasaus'!N26</f>
        <v>3237459.7047771285</v>
      </c>
      <c r="N21" s="303">
        <f>SUM(Yhteenveto[[#This Row],[Valtionosuus ennen verotuloihin perustuvaa valtionosuuden tasausta]]+Yhteenveto[[#This Row],[Verotuloihin perustuva valtionosuuden tasaus]])</f>
        <v>3272083.1743532261</v>
      </c>
      <c r="O21" s="241">
        <v>827055.91126852017</v>
      </c>
      <c r="P21" s="372">
        <f>SUM(Yhteenveto[[#This Row],[Kunnan  peruspalvelujen valtionosuus ]:[Veroperustemuutoksista johtuvien veromenetysten korvaus]])</f>
        <v>4099139.0856217463</v>
      </c>
      <c r="Q21" s="34">
        <v>32520.290289999975</v>
      </c>
      <c r="R21" s="341">
        <f>+Yhteenveto[[#This Row],[Kunnan  peruspalvelujen valtionosuus ]]+Yhteenveto[[#This Row],[Veroperustemuutoksista johtuvien veromenetysten korvaus]]+Yhteenveto[[#This Row],[Kotikuntakorvaus, netto]]</f>
        <v>4131659.3759117462</v>
      </c>
      <c r="S21" s="11"/>
      <c r="T21"/>
    </row>
    <row r="22" spans="1:20" ht="15">
      <c r="A22" s="32">
        <v>71</v>
      </c>
      <c r="B22" s="13" t="s">
        <v>27</v>
      </c>
      <c r="C22" s="15">
        <v>6473</v>
      </c>
      <c r="D22" s="15">
        <f>Ikärakenne[[#This Row],[Laskennalliset kustannukset, IKÄRAKENNE yhteensä, €]]</f>
        <v>11959789.879999999</v>
      </c>
      <c r="E22" s="15">
        <f>'Lask. kustannukset MUUT'!AD28</f>
        <v>2015274.8524728951</v>
      </c>
      <c r="F22" s="231">
        <f>Yhteenveto[[#This Row],[Ikärakenne, laskennallinen kustannus]]+Yhteenveto[[#This Row],[Muut laskennalliset kustannukset ]]</f>
        <v>13975064.732472895</v>
      </c>
      <c r="G22" s="498">
        <v>1422.47</v>
      </c>
      <c r="H22" s="17">
        <v>9207648.3100000005</v>
      </c>
      <c r="I22" s="339">
        <f>Yhteenveto[[#This Row],[Laskennalliset kustannukset yhteensä]]-Yhteenveto[[#This Row],[Omarahoitusosuus, €]]</f>
        <v>4767416.4224728942</v>
      </c>
      <c r="J22" s="33">
        <v>458678.84282081807</v>
      </c>
      <c r="K22" s="34">
        <f>'Muut lis_väh'!O20</f>
        <v>-1430313.07810315</v>
      </c>
      <c r="L22" s="231">
        <f>Yhteenveto[[#This Row],[Valtionosuus omarahoitusosuuden jälkeen (välisumma)]]+Yhteenveto[[#This Row],[Lisäosat yhteensä]]+Yhteenveto[[#This Row],[Valtionosuuteen tehtävät vähennykset ja lisäykset, netto]]</f>
        <v>3795782.1871905616</v>
      </c>
      <c r="M22" s="34">
        <f>'Verotuloihin perust tasaus'!N27</f>
        <v>4007600.3217366473</v>
      </c>
      <c r="N22" s="303">
        <f>SUM(Yhteenveto[[#This Row],[Valtionosuus ennen verotuloihin perustuvaa valtionosuuden tasausta]]+Yhteenveto[[#This Row],[Verotuloihin perustuva valtionosuuden tasaus]])</f>
        <v>7803382.5089272093</v>
      </c>
      <c r="O22" s="241">
        <v>926900.77034833608</v>
      </c>
      <c r="P22" s="372">
        <f>SUM(Yhteenveto[[#This Row],[Kunnan  peruspalvelujen valtionosuus ]:[Veroperustemuutoksista johtuvien veromenetysten korvaus]])</f>
        <v>8730283.2792755459</v>
      </c>
      <c r="Q22" s="34">
        <v>-10519.091619999992</v>
      </c>
      <c r="R22" s="341">
        <f>+Yhteenveto[[#This Row],[Kunnan  peruspalvelujen valtionosuus ]]+Yhteenveto[[#This Row],[Veroperustemuutoksista johtuvien veromenetysten korvaus]]+Yhteenveto[[#This Row],[Kotikuntakorvaus, netto]]</f>
        <v>8719764.1876555458</v>
      </c>
      <c r="S22" s="11"/>
      <c r="T22"/>
    </row>
    <row r="23" spans="1:20" ht="15">
      <c r="A23" s="32">
        <v>72</v>
      </c>
      <c r="B23" s="13" t="s">
        <v>28</v>
      </c>
      <c r="C23" s="15">
        <v>948</v>
      </c>
      <c r="D23" s="15">
        <f>Ikärakenne[[#This Row],[Laskennalliset kustannukset, IKÄRAKENNE yhteensä, €]]</f>
        <v>1173541.7</v>
      </c>
      <c r="E23" s="15">
        <f>'Lask. kustannukset MUUT'!AD29</f>
        <v>1453001.6621926655</v>
      </c>
      <c r="F23" s="231">
        <f>Yhteenveto[[#This Row],[Ikärakenne, laskennallinen kustannus]]+Yhteenveto[[#This Row],[Muut laskennalliset kustannukset ]]</f>
        <v>2626543.3621926652</v>
      </c>
      <c r="G23" s="498">
        <v>1422.47</v>
      </c>
      <c r="H23" s="17">
        <v>1348501.56</v>
      </c>
      <c r="I23" s="339">
        <f>Yhteenveto[[#This Row],[Laskennalliset kustannukset yhteensä]]-Yhteenveto[[#This Row],[Omarahoitusosuus, €]]</f>
        <v>1278041.8021926652</v>
      </c>
      <c r="J23" s="33">
        <v>87002.56776680339</v>
      </c>
      <c r="K23" s="34">
        <f>'Muut lis_väh'!O21</f>
        <v>-259382.78565719031</v>
      </c>
      <c r="L23" s="231">
        <f>Yhteenveto[[#This Row],[Valtionosuus omarahoitusosuuden jälkeen (välisumma)]]+Yhteenveto[[#This Row],[Lisäosat yhteensä]]+Yhteenveto[[#This Row],[Valtionosuuteen tehtävät vähennykset ja lisäykset, netto]]</f>
        <v>1105661.5843022782</v>
      </c>
      <c r="M23" s="34">
        <f>'Verotuloihin perust tasaus'!N28</f>
        <v>360237.19590145914</v>
      </c>
      <c r="N23" s="303">
        <f>SUM(Yhteenveto[[#This Row],[Valtionosuus ennen verotuloihin perustuvaa valtionosuuden tasausta]]+Yhteenveto[[#This Row],[Verotuloihin perustuva valtionosuuden tasaus]])</f>
        <v>1465898.7802037373</v>
      </c>
      <c r="O23" s="241">
        <v>120432.8343300565</v>
      </c>
      <c r="P23" s="372">
        <f>SUM(Yhteenveto[[#This Row],[Kunnan  peruspalvelujen valtionosuus ]:[Veroperustemuutoksista johtuvien veromenetysten korvaus]])</f>
        <v>1586331.6145337939</v>
      </c>
      <c r="Q23" s="34">
        <v>-22223.432999999997</v>
      </c>
      <c r="R23" s="341">
        <f>+Yhteenveto[[#This Row],[Kunnan  peruspalvelujen valtionosuus ]]+Yhteenveto[[#This Row],[Veroperustemuutoksista johtuvien veromenetysten korvaus]]+Yhteenveto[[#This Row],[Kotikuntakorvaus, netto]]</f>
        <v>1564108.1815337939</v>
      </c>
      <c r="S23" s="11"/>
      <c r="T23"/>
    </row>
    <row r="24" spans="1:20" ht="15">
      <c r="A24" s="32">
        <v>74</v>
      </c>
      <c r="B24" s="13" t="s">
        <v>29</v>
      </c>
      <c r="C24" s="15">
        <v>1013</v>
      </c>
      <c r="D24" s="15">
        <f>Ikärakenne[[#This Row],[Laskennalliset kustannukset, IKÄRAKENNE yhteensä, €]]</f>
        <v>1366463.64</v>
      </c>
      <c r="E24" s="15">
        <f>'Lask. kustannukset MUUT'!AD30</f>
        <v>548082.86897061451</v>
      </c>
      <c r="F24" s="231">
        <f>Yhteenveto[[#This Row],[Ikärakenne, laskennallinen kustannus]]+Yhteenveto[[#This Row],[Muut laskennalliset kustannukset ]]</f>
        <v>1914546.5089706145</v>
      </c>
      <c r="G24" s="498">
        <v>1422.47</v>
      </c>
      <c r="H24" s="17">
        <v>1440962.11</v>
      </c>
      <c r="I24" s="339">
        <f>Yhteenveto[[#This Row],[Laskennalliset kustannukset yhteensä]]-Yhteenveto[[#This Row],[Omarahoitusosuus, €]]</f>
        <v>473584.39897061442</v>
      </c>
      <c r="J24" s="33">
        <v>163971.75053521828</v>
      </c>
      <c r="K24" s="34">
        <f>'Muut lis_väh'!O22</f>
        <v>175768.97137347917</v>
      </c>
      <c r="L24" s="231">
        <f>Yhteenveto[[#This Row],[Valtionosuus omarahoitusosuuden jälkeen (välisumma)]]+Yhteenveto[[#This Row],[Lisäosat yhteensä]]+Yhteenveto[[#This Row],[Valtionosuuteen tehtävät vähennykset ja lisäykset, netto]]</f>
        <v>813325.12087931181</v>
      </c>
      <c r="M24" s="34">
        <f>'Verotuloihin perust tasaus'!N29</f>
        <v>565632.37201186293</v>
      </c>
      <c r="N24" s="303">
        <f>SUM(Yhteenveto[[#This Row],[Valtionosuus ennen verotuloihin perustuvaa valtionosuuden tasausta]]+Yhteenveto[[#This Row],[Verotuloihin perustuva valtionosuuden tasaus]])</f>
        <v>1378957.4928911747</v>
      </c>
      <c r="O24" s="241">
        <v>205117.87745050428</v>
      </c>
      <c r="P24" s="372">
        <f>SUM(Yhteenveto[[#This Row],[Kunnan  peruspalvelujen valtionosuus ]:[Veroperustemuutoksista johtuvien veromenetysten korvaus]])</f>
        <v>1584075.3703416791</v>
      </c>
      <c r="Q24" s="34">
        <v>43039.381910000004</v>
      </c>
      <c r="R24" s="341">
        <f>+Yhteenveto[[#This Row],[Kunnan  peruspalvelujen valtionosuus ]]+Yhteenveto[[#This Row],[Veroperustemuutoksista johtuvien veromenetysten korvaus]]+Yhteenveto[[#This Row],[Kotikuntakorvaus, netto]]</f>
        <v>1627114.7522516791</v>
      </c>
      <c r="S24" s="11"/>
      <c r="T24"/>
    </row>
    <row r="25" spans="1:20" ht="15">
      <c r="A25" s="32">
        <v>75</v>
      </c>
      <c r="B25" s="13" t="s">
        <v>30</v>
      </c>
      <c r="C25" s="15">
        <v>19534</v>
      </c>
      <c r="D25" s="15">
        <f>Ikärakenne[[#This Row],[Laskennalliset kustannukset, IKÄRAKENNE yhteensä, €]]</f>
        <v>24645646.560000002</v>
      </c>
      <c r="E25" s="15">
        <f>'Lask. kustannukset MUUT'!AD31</f>
        <v>6446725.6246065842</v>
      </c>
      <c r="F25" s="231">
        <f>Yhteenveto[[#This Row],[Ikärakenne, laskennallinen kustannus]]+Yhteenveto[[#This Row],[Muut laskennalliset kustannukset ]]</f>
        <v>31092372.184606586</v>
      </c>
      <c r="G25" s="498">
        <v>1422.47</v>
      </c>
      <c r="H25" s="17">
        <v>27786528.98</v>
      </c>
      <c r="I25" s="339">
        <f>Yhteenveto[[#This Row],[Laskennalliset kustannukset yhteensä]]-Yhteenveto[[#This Row],[Omarahoitusosuus, €]]</f>
        <v>3305843.2046065852</v>
      </c>
      <c r="J25" s="33">
        <v>600634.24966982042</v>
      </c>
      <c r="K25" s="34">
        <f>'Muut lis_väh'!O23</f>
        <v>-5689265.6554569677</v>
      </c>
      <c r="L25" s="231">
        <f>Yhteenveto[[#This Row],[Valtionosuus omarahoitusosuuden jälkeen (välisumma)]]+Yhteenveto[[#This Row],[Lisäosat yhteensä]]+Yhteenveto[[#This Row],[Valtionosuuteen tehtävät vähennykset ja lisäykset, netto]]</f>
        <v>-1782788.2011805619</v>
      </c>
      <c r="M25" s="34">
        <f>'Verotuloihin perust tasaus'!N30</f>
        <v>-105871.94501213852</v>
      </c>
      <c r="N25" s="303">
        <f>SUM(Yhteenveto[[#This Row],[Valtionosuus ennen verotuloihin perustuvaa valtionosuuden tasausta]]+Yhteenveto[[#This Row],[Verotuloihin perustuva valtionosuuden tasaus]])</f>
        <v>-1888660.1461927004</v>
      </c>
      <c r="O25" s="241">
        <v>1860351.7809593873</v>
      </c>
      <c r="P25" s="372">
        <f>SUM(Yhteenveto[[#This Row],[Kunnan  peruspalvelujen valtionosuus ]:[Veroperustemuutoksista johtuvien veromenetysten korvaus]])</f>
        <v>-28308.365233313059</v>
      </c>
      <c r="Q25" s="34">
        <v>-9612.8168699999806</v>
      </c>
      <c r="R25" s="341">
        <f>+Yhteenveto[[#This Row],[Kunnan  peruspalvelujen valtionosuus ]]+Yhteenveto[[#This Row],[Veroperustemuutoksista johtuvien veromenetysten korvaus]]+Yhteenveto[[#This Row],[Kotikuntakorvaus, netto]]</f>
        <v>-37921.18210331304</v>
      </c>
      <c r="S25" s="11"/>
      <c r="T25"/>
    </row>
    <row r="26" spans="1:20" ht="15">
      <c r="A26" s="32">
        <v>77</v>
      </c>
      <c r="B26" s="13" t="s">
        <v>31</v>
      </c>
      <c r="C26" s="15">
        <v>4549</v>
      </c>
      <c r="D26" s="15">
        <f>Ikärakenne[[#This Row],[Laskennalliset kustannukset, IKÄRAKENNE yhteensä, €]]</f>
        <v>6211280.290000001</v>
      </c>
      <c r="E26" s="15">
        <f>'Lask. kustannukset MUUT'!AD32</f>
        <v>1315485.999217282</v>
      </c>
      <c r="F26" s="231">
        <f>Yhteenveto[[#This Row],[Ikärakenne, laskennallinen kustannus]]+Yhteenveto[[#This Row],[Muut laskennalliset kustannukset ]]</f>
        <v>7526766.289217283</v>
      </c>
      <c r="G26" s="498">
        <v>1422.47</v>
      </c>
      <c r="H26" s="17">
        <v>6470816.0300000003</v>
      </c>
      <c r="I26" s="339">
        <f>Yhteenveto[[#This Row],[Laskennalliset kustannukset yhteensä]]-Yhteenveto[[#This Row],[Omarahoitusosuus, €]]</f>
        <v>1055950.2592172828</v>
      </c>
      <c r="J26" s="33">
        <v>318991.18978872354</v>
      </c>
      <c r="K26" s="34">
        <f>'Muut lis_väh'!O24</f>
        <v>-780801.71161248512</v>
      </c>
      <c r="L26" s="231">
        <f>Yhteenveto[[#This Row],[Valtionosuus omarahoitusosuuden jälkeen (välisumma)]]+Yhteenveto[[#This Row],[Lisäosat yhteensä]]+Yhteenveto[[#This Row],[Valtionosuuteen tehtävät vähennykset ja lisäykset, netto]]</f>
        <v>594139.73739352124</v>
      </c>
      <c r="M26" s="34">
        <f>'Verotuloihin perust tasaus'!N31</f>
        <v>2685230.3544798284</v>
      </c>
      <c r="N26" s="303">
        <f>SUM(Yhteenveto[[#This Row],[Valtionosuus ennen verotuloihin perustuvaa valtionosuuden tasausta]]+Yhteenveto[[#This Row],[Verotuloihin perustuva valtionosuuden tasaus]])</f>
        <v>3279370.0918733496</v>
      </c>
      <c r="O26" s="241">
        <v>770982.76481095259</v>
      </c>
      <c r="P26" s="372">
        <f>SUM(Yhteenveto[[#This Row],[Kunnan  peruspalvelujen valtionosuus ]:[Veroperustemuutoksista johtuvien veromenetysten korvaus]])</f>
        <v>4050352.856684302</v>
      </c>
      <c r="Q26" s="34">
        <v>-1155.3032899999816</v>
      </c>
      <c r="R26" s="341">
        <f>+Yhteenveto[[#This Row],[Kunnan  peruspalvelujen valtionosuus ]]+Yhteenveto[[#This Row],[Veroperustemuutoksista johtuvien veromenetysten korvaus]]+Yhteenveto[[#This Row],[Kotikuntakorvaus, netto]]</f>
        <v>4049197.5533943018</v>
      </c>
      <c r="S26" s="11"/>
      <c r="T26"/>
    </row>
    <row r="27" spans="1:20" ht="15">
      <c r="A27" s="32">
        <v>78</v>
      </c>
      <c r="B27" s="13" t="s">
        <v>32</v>
      </c>
      <c r="C27" s="15">
        <v>7721</v>
      </c>
      <c r="D27" s="15">
        <f>Ikärakenne[[#This Row],[Laskennalliset kustannukset, IKÄRAKENNE yhteensä, €]]</f>
        <v>8972868.6700000018</v>
      </c>
      <c r="E27" s="15">
        <f>'Lask. kustannukset MUUT'!AD33</f>
        <v>3127066.6988155274</v>
      </c>
      <c r="F27" s="231">
        <f>Yhteenveto[[#This Row],[Ikärakenne, laskennallinen kustannus]]+Yhteenveto[[#This Row],[Muut laskennalliset kustannukset ]]</f>
        <v>12099935.36881553</v>
      </c>
      <c r="G27" s="498">
        <v>1422.47</v>
      </c>
      <c r="H27" s="17">
        <v>10982890.870000001</v>
      </c>
      <c r="I27" s="339">
        <f>Yhteenveto[[#This Row],[Laskennalliset kustannukset yhteensä]]-Yhteenveto[[#This Row],[Omarahoitusosuus, €]]</f>
        <v>1117044.498815529</v>
      </c>
      <c r="J27" s="33">
        <v>744870.86421079352</v>
      </c>
      <c r="K27" s="34">
        <f>'Muut lis_väh'!O25</f>
        <v>-3425842.6617499921</v>
      </c>
      <c r="L27" s="231">
        <f>Yhteenveto[[#This Row],[Valtionosuus omarahoitusosuuden jälkeen (välisumma)]]+Yhteenveto[[#This Row],[Lisäosat yhteensä]]+Yhteenveto[[#This Row],[Valtionosuuteen tehtävät vähennykset ja lisäykset, netto]]</f>
        <v>-1563927.2987236695</v>
      </c>
      <c r="M27" s="34">
        <f>'Verotuloihin perust tasaus'!N32</f>
        <v>-100281.38208593297</v>
      </c>
      <c r="N27" s="303">
        <f>SUM(Yhteenveto[[#This Row],[Valtionosuus ennen verotuloihin perustuvaa valtionosuuden tasausta]]+Yhteenveto[[#This Row],[Verotuloihin perustuva valtionosuuden tasaus]])</f>
        <v>-1664208.6808096024</v>
      </c>
      <c r="O27" s="241">
        <v>707267.57599967765</v>
      </c>
      <c r="P27" s="372">
        <f>SUM(Yhteenveto[[#This Row],[Kunnan  peruspalvelujen valtionosuus ]:[Veroperustemuutoksista johtuvien veromenetysten korvaus]])</f>
        <v>-956941.10480992473</v>
      </c>
      <c r="Q27" s="34">
        <v>39677.49662000002</v>
      </c>
      <c r="R27" s="341">
        <f>+Yhteenveto[[#This Row],[Kunnan  peruspalvelujen valtionosuus ]]+Yhteenveto[[#This Row],[Veroperustemuutoksista johtuvien veromenetysten korvaus]]+Yhteenveto[[#This Row],[Kotikuntakorvaus, netto]]</f>
        <v>-917263.60818992474</v>
      </c>
      <c r="S27" s="11"/>
      <c r="T27"/>
    </row>
    <row r="28" spans="1:20" ht="15">
      <c r="A28" s="32">
        <v>79</v>
      </c>
      <c r="B28" s="13" t="s">
        <v>33</v>
      </c>
      <c r="C28" s="15">
        <v>6703</v>
      </c>
      <c r="D28" s="15">
        <f>Ikärakenne[[#This Row],[Laskennalliset kustannukset, IKÄRAKENNE yhteensä, €]]</f>
        <v>8886504.7300000004</v>
      </c>
      <c r="E28" s="15">
        <f>'Lask. kustannukset MUUT'!AD34</f>
        <v>1700085.3421043358</v>
      </c>
      <c r="F28" s="231">
        <f>Yhteenveto[[#This Row],[Ikärakenne, laskennallinen kustannus]]+Yhteenveto[[#This Row],[Muut laskennalliset kustannukset ]]</f>
        <v>10586590.072104337</v>
      </c>
      <c r="G28" s="498">
        <v>1422.47</v>
      </c>
      <c r="H28" s="17">
        <v>9534816.4100000001</v>
      </c>
      <c r="I28" s="339">
        <f>Yhteenveto[[#This Row],[Laskennalliset kustannukset yhteensä]]-Yhteenveto[[#This Row],[Omarahoitusosuus, €]]</f>
        <v>1051773.6621043365</v>
      </c>
      <c r="J28" s="33">
        <v>247595.45829147642</v>
      </c>
      <c r="K28" s="34">
        <f>'Muut lis_väh'!O26</f>
        <v>-2292269.390702941</v>
      </c>
      <c r="L28" s="231">
        <f>Yhteenveto[[#This Row],[Valtionosuus omarahoitusosuuden jälkeen (välisumma)]]+Yhteenveto[[#This Row],[Lisäosat yhteensä]]+Yhteenveto[[#This Row],[Valtionosuuteen tehtävät vähennykset ja lisäykset, netto]]</f>
        <v>-992900.27030712808</v>
      </c>
      <c r="M28" s="34">
        <f>'Verotuloihin perust tasaus'!N33</f>
        <v>-301348.41580407869</v>
      </c>
      <c r="N28" s="303">
        <f>SUM(Yhteenveto[[#This Row],[Valtionosuus ennen verotuloihin perustuvaa valtionosuuden tasausta]]+Yhteenveto[[#This Row],[Verotuloihin perustuva valtionosuuden tasaus]])</f>
        <v>-1294248.6861112067</v>
      </c>
      <c r="O28" s="241">
        <v>645421.0824011364</v>
      </c>
      <c r="P28" s="372">
        <f>SUM(Yhteenveto[[#This Row],[Kunnan  peruspalvelujen valtionosuus ]:[Veroperustemuutoksista johtuvien veromenetysten korvaus]])</f>
        <v>-648827.60371007025</v>
      </c>
      <c r="Q28" s="34">
        <v>47409.990400000039</v>
      </c>
      <c r="R28" s="341">
        <f>+Yhteenveto[[#This Row],[Kunnan  peruspalvelujen valtionosuus ]]+Yhteenveto[[#This Row],[Veroperustemuutoksista johtuvien veromenetysten korvaus]]+Yhteenveto[[#This Row],[Kotikuntakorvaus, netto]]</f>
        <v>-601417.61331007024</v>
      </c>
      <c r="S28" s="11"/>
      <c r="T28"/>
    </row>
    <row r="29" spans="1:20" ht="15">
      <c r="A29" s="32">
        <v>81</v>
      </c>
      <c r="B29" s="13" t="s">
        <v>34</v>
      </c>
      <c r="C29" s="15">
        <v>2531</v>
      </c>
      <c r="D29" s="15">
        <f>Ikärakenne[[#This Row],[Laskennalliset kustannukset, IKÄRAKENNE yhteensä, €]]</f>
        <v>2306395.84</v>
      </c>
      <c r="E29" s="15">
        <f>'Lask. kustannukset MUUT'!AD35</f>
        <v>1010305.8104947458</v>
      </c>
      <c r="F29" s="231">
        <f>Yhteenveto[[#This Row],[Ikärakenne, laskennallinen kustannus]]+Yhteenveto[[#This Row],[Muut laskennalliset kustannukset ]]</f>
        <v>3316701.6504947459</v>
      </c>
      <c r="G29" s="498">
        <v>1422.47</v>
      </c>
      <c r="H29" s="17">
        <v>3600271.5700000003</v>
      </c>
      <c r="I29" s="339">
        <f>Yhteenveto[[#This Row],[Laskennalliset kustannukset yhteensä]]-Yhteenveto[[#This Row],[Omarahoitusosuus, €]]</f>
        <v>-283569.91950525437</v>
      </c>
      <c r="J29" s="33">
        <v>327324.6349361348</v>
      </c>
      <c r="K29" s="34">
        <f>'Muut lis_väh'!O27</f>
        <v>-190363.01727232581</v>
      </c>
      <c r="L29" s="231">
        <f>Yhteenveto[[#This Row],[Valtionosuus omarahoitusosuuden jälkeen (välisumma)]]+Yhteenveto[[#This Row],[Lisäosat yhteensä]]+Yhteenveto[[#This Row],[Valtionosuuteen tehtävät vähennykset ja lisäykset, netto]]</f>
        <v>-146608.30184144538</v>
      </c>
      <c r="M29" s="34">
        <f>'Verotuloihin perust tasaus'!N34</f>
        <v>696641.49749570293</v>
      </c>
      <c r="N29" s="303">
        <f>SUM(Yhteenveto[[#This Row],[Valtionosuus ennen verotuloihin perustuvaa valtionosuuden tasausta]]+Yhteenveto[[#This Row],[Verotuloihin perustuva valtionosuuden tasaus]])</f>
        <v>550033.19565425755</v>
      </c>
      <c r="O29" s="241">
        <v>493619.11126025079</v>
      </c>
      <c r="P29" s="372">
        <f>SUM(Yhteenveto[[#This Row],[Kunnan  peruspalvelujen valtionosuus ]:[Veroperustemuutoksista johtuvien veromenetysten korvaus]])</f>
        <v>1043652.3069145083</v>
      </c>
      <c r="Q29" s="34">
        <v>-106746.55651000001</v>
      </c>
      <c r="R29" s="341">
        <f>+Yhteenveto[[#This Row],[Kunnan  peruspalvelujen valtionosuus ]]+Yhteenveto[[#This Row],[Veroperustemuutoksista johtuvien veromenetysten korvaus]]+Yhteenveto[[#This Row],[Kotikuntakorvaus, netto]]</f>
        <v>936905.75040450832</v>
      </c>
      <c r="S29" s="11"/>
      <c r="T29"/>
    </row>
    <row r="30" spans="1:20" ht="15">
      <c r="A30" s="32">
        <v>82</v>
      </c>
      <c r="B30" s="36" t="s">
        <v>35</v>
      </c>
      <c r="C30" s="15">
        <v>9371</v>
      </c>
      <c r="D30" s="15">
        <f>Ikärakenne[[#This Row],[Laskennalliset kustannukset, IKÄRAKENNE yhteensä, €]]</f>
        <v>15146208.869999999</v>
      </c>
      <c r="E30" s="15">
        <f>'Lask. kustannukset MUUT'!AD36</f>
        <v>1523097.8753962091</v>
      </c>
      <c r="F30" s="231">
        <f>Yhteenveto[[#This Row],[Ikärakenne, laskennallinen kustannus]]+Yhteenveto[[#This Row],[Muut laskennalliset kustannukset ]]</f>
        <v>16669306.745396208</v>
      </c>
      <c r="G30" s="498">
        <v>1422.47</v>
      </c>
      <c r="H30" s="17">
        <v>13329966.370000001</v>
      </c>
      <c r="I30" s="339">
        <f>Yhteenveto[[#This Row],[Laskennalliset kustannukset yhteensä]]-Yhteenveto[[#This Row],[Omarahoitusosuus, €]]</f>
        <v>3339340.375396207</v>
      </c>
      <c r="J30" s="33">
        <v>262922.00434488279</v>
      </c>
      <c r="K30" s="34">
        <f>'Muut lis_väh'!O28</f>
        <v>-442516.84990525077</v>
      </c>
      <c r="L30" s="231">
        <f>Yhteenveto[[#This Row],[Valtionosuus omarahoitusosuuden jälkeen (välisumma)]]+Yhteenveto[[#This Row],[Lisäosat yhteensä]]+Yhteenveto[[#This Row],[Valtionosuuteen tehtävät vähennykset ja lisäykset, netto]]</f>
        <v>3159745.5298358393</v>
      </c>
      <c r="M30" s="34">
        <f>'Verotuloihin perust tasaus'!N35</f>
        <v>488065.53403962526</v>
      </c>
      <c r="N30" s="303">
        <f>SUM(Yhteenveto[[#This Row],[Valtionosuus ennen verotuloihin perustuvaa valtionosuuden tasausta]]+Yhteenveto[[#This Row],[Verotuloihin perustuva valtionosuuden tasaus]])</f>
        <v>3647811.0638754647</v>
      </c>
      <c r="O30" s="241">
        <v>785487.6418514651</v>
      </c>
      <c r="P30" s="372">
        <f>SUM(Yhteenveto[[#This Row],[Kunnan  peruspalvelujen valtionosuus ]:[Veroperustemuutoksista johtuvien veromenetysten korvaus]])</f>
        <v>4433298.7057269299</v>
      </c>
      <c r="Q30" s="34">
        <v>68194.41670999999</v>
      </c>
      <c r="R30" s="341">
        <f>+Yhteenveto[[#This Row],[Kunnan  peruspalvelujen valtionosuus ]]+Yhteenveto[[#This Row],[Veroperustemuutoksista johtuvien veromenetysten korvaus]]+Yhteenveto[[#This Row],[Kotikuntakorvaus, netto]]</f>
        <v>4501493.1224369295</v>
      </c>
      <c r="S30" s="11"/>
      <c r="T30"/>
    </row>
    <row r="31" spans="1:20" ht="15">
      <c r="A31" s="32">
        <v>86</v>
      </c>
      <c r="B31" s="13" t="s">
        <v>36</v>
      </c>
      <c r="C31" s="15">
        <v>7998</v>
      </c>
      <c r="D31" s="15">
        <f>Ikärakenne[[#This Row],[Laskennalliset kustannukset, IKÄRAKENNE yhteensä, €]]</f>
        <v>12864053.970000001</v>
      </c>
      <c r="E31" s="15">
        <f>'Lask. kustannukset MUUT'!AD37</f>
        <v>1659797.7866130604</v>
      </c>
      <c r="F31" s="231">
        <f>Yhteenveto[[#This Row],[Ikärakenne, laskennallinen kustannus]]+Yhteenveto[[#This Row],[Muut laskennalliset kustannukset ]]</f>
        <v>14523851.756613061</v>
      </c>
      <c r="G31" s="498">
        <v>1422.47</v>
      </c>
      <c r="H31" s="17">
        <v>11376915.060000001</v>
      </c>
      <c r="I31" s="339">
        <f>Yhteenveto[[#This Row],[Laskennalliset kustannukset yhteensä]]-Yhteenveto[[#This Row],[Omarahoitusosuus, €]]</f>
        <v>3146936.6966130603</v>
      </c>
      <c r="J31" s="33">
        <v>189072.45730807935</v>
      </c>
      <c r="K31" s="34">
        <f>'Muut lis_väh'!O29</f>
        <v>-1055600.3435230828</v>
      </c>
      <c r="L31" s="231">
        <f>Yhteenveto[[#This Row],[Valtionosuus omarahoitusosuuden jälkeen (välisumma)]]+Yhteenveto[[#This Row],[Lisäosat yhteensä]]+Yhteenveto[[#This Row],[Valtionosuuteen tehtävät vähennykset ja lisäykset, netto]]</f>
        <v>2280408.8103980566</v>
      </c>
      <c r="M31" s="34">
        <f>'Verotuloihin perust tasaus'!N36</f>
        <v>2695872.4766014088</v>
      </c>
      <c r="N31" s="303">
        <f>SUM(Yhteenveto[[#This Row],[Valtionosuus ennen verotuloihin perustuvaa valtionosuuden tasausta]]+Yhteenveto[[#This Row],[Verotuloihin perustuva valtionosuuden tasaus]])</f>
        <v>4976281.2869994659</v>
      </c>
      <c r="O31" s="241">
        <v>801694.35093113943</v>
      </c>
      <c r="P31" s="372">
        <f>SUM(Yhteenveto[[#This Row],[Kunnan  peruspalvelujen valtionosuus ]:[Veroperustemuutoksista johtuvien veromenetysten korvaus]])</f>
        <v>5777975.6379306056</v>
      </c>
      <c r="Q31" s="34">
        <v>-526551.93427000009</v>
      </c>
      <c r="R31" s="341">
        <f>+Yhteenveto[[#This Row],[Kunnan  peruspalvelujen valtionosuus ]]+Yhteenveto[[#This Row],[Veroperustemuutoksista johtuvien veromenetysten korvaus]]+Yhteenveto[[#This Row],[Kotikuntakorvaus, netto]]</f>
        <v>5251423.7036606055</v>
      </c>
      <c r="S31" s="11"/>
      <c r="T31"/>
    </row>
    <row r="32" spans="1:20" ht="15">
      <c r="A32" s="32">
        <v>90</v>
      </c>
      <c r="B32" s="13" t="s">
        <v>37</v>
      </c>
      <c r="C32" s="15">
        <v>3001</v>
      </c>
      <c r="D32" s="15">
        <f>Ikärakenne[[#This Row],[Laskennalliset kustannukset, IKÄRAKENNE yhteensä, €]]</f>
        <v>3030460.2500000005</v>
      </c>
      <c r="E32" s="15">
        <f>'Lask. kustannukset MUUT'!AD38</f>
        <v>1545309.4474424566</v>
      </c>
      <c r="F32" s="231">
        <f>Yhteenveto[[#This Row],[Ikärakenne, laskennallinen kustannus]]+Yhteenveto[[#This Row],[Muut laskennalliset kustannukset ]]</f>
        <v>4575769.6974424571</v>
      </c>
      <c r="G32" s="498">
        <v>1422.47</v>
      </c>
      <c r="H32" s="17">
        <v>4268832.47</v>
      </c>
      <c r="I32" s="339">
        <f>Yhteenveto[[#This Row],[Laskennalliset kustannukset yhteensä]]-Yhteenveto[[#This Row],[Omarahoitusosuus, €]]</f>
        <v>306937.22744245734</v>
      </c>
      <c r="J32" s="33">
        <v>1070150.2986007361</v>
      </c>
      <c r="K32" s="34">
        <f>'Muut lis_väh'!O30</f>
        <v>-1561190.8247067784</v>
      </c>
      <c r="L32" s="231">
        <f>Yhteenveto[[#This Row],[Valtionosuus omarahoitusosuuden jälkeen (välisumma)]]+Yhteenveto[[#This Row],[Lisäosat yhteensä]]+Yhteenveto[[#This Row],[Valtionosuuteen tehtävät vähennykset ja lisäykset, netto]]</f>
        <v>-184103.29866358498</v>
      </c>
      <c r="M32" s="34">
        <f>'Verotuloihin perust tasaus'!N37</f>
        <v>816268.45855994371</v>
      </c>
      <c r="N32" s="303">
        <f>SUM(Yhteenveto[[#This Row],[Valtionosuus ennen verotuloihin perustuvaa valtionosuuden tasausta]]+Yhteenveto[[#This Row],[Verotuloihin perustuva valtionosuuden tasaus]])</f>
        <v>632165.15989635873</v>
      </c>
      <c r="O32" s="241">
        <v>544357.46823930717</v>
      </c>
      <c r="P32" s="372">
        <f>SUM(Yhteenveto[[#This Row],[Kunnan  peruspalvelujen valtionosuus ]:[Veroperustemuutoksista johtuvien veromenetysten korvaus]])</f>
        <v>1176522.6281356658</v>
      </c>
      <c r="Q32" s="34">
        <v>-43039.381910000004</v>
      </c>
      <c r="R32" s="341">
        <f>+Yhteenveto[[#This Row],[Kunnan  peruspalvelujen valtionosuus ]]+Yhteenveto[[#This Row],[Veroperustemuutoksista johtuvien veromenetysten korvaus]]+Yhteenveto[[#This Row],[Kotikuntakorvaus, netto]]</f>
        <v>1133483.2462256658</v>
      </c>
      <c r="S32" s="11"/>
      <c r="T32"/>
    </row>
    <row r="33" spans="1:20" ht="15">
      <c r="A33" s="32">
        <v>91</v>
      </c>
      <c r="B33" s="13" t="s">
        <v>38</v>
      </c>
      <c r="C33" s="15">
        <v>674500</v>
      </c>
      <c r="D33" s="15">
        <f>Ikärakenne[[#This Row],[Laskennalliset kustannukset, IKÄRAKENNE yhteensä, €]]</f>
        <v>949530441.8599999</v>
      </c>
      <c r="E33" s="15">
        <f>'Lask. kustannukset MUUT'!AD39</f>
        <v>376064240.65521741</v>
      </c>
      <c r="F33" s="231">
        <f>Yhteenveto[[#This Row],[Ikärakenne, laskennallinen kustannus]]+Yhteenveto[[#This Row],[Muut laskennalliset kustannukset ]]</f>
        <v>1325594682.5152173</v>
      </c>
      <c r="G33" s="498">
        <v>1422.47</v>
      </c>
      <c r="H33" s="17">
        <v>959456015</v>
      </c>
      <c r="I33" s="339">
        <f>Yhteenveto[[#This Row],[Laskennalliset kustannukset yhteensä]]-Yhteenveto[[#This Row],[Omarahoitusosuus, €]]</f>
        <v>366138667.5152173</v>
      </c>
      <c r="J33" s="33">
        <v>31968350.366706718</v>
      </c>
      <c r="K33" s="34">
        <f>'Muut lis_väh'!O31</f>
        <v>-61707503.987161547</v>
      </c>
      <c r="L33" s="231">
        <f>Yhteenveto[[#This Row],[Valtionosuus omarahoitusosuuden jälkeen (välisumma)]]+Yhteenveto[[#This Row],[Lisäosat yhteensä]]+Yhteenveto[[#This Row],[Valtionosuuteen tehtävät vähennykset ja lisäykset, netto]]</f>
        <v>336399513.89476252</v>
      </c>
      <c r="M33" s="34">
        <f>'Verotuloihin perust tasaus'!N38</f>
        <v>-60201254.707400352</v>
      </c>
      <c r="N33" s="303">
        <f>SUM(Yhteenveto[[#This Row],[Valtionosuus ennen verotuloihin perustuvaa valtionosuuden tasausta]]+Yhteenveto[[#This Row],[Verotuloihin perustuva valtionosuuden tasaus]])</f>
        <v>276198259.18736219</v>
      </c>
      <c r="O33" s="241">
        <v>66993057.015050992</v>
      </c>
      <c r="P33" s="372">
        <f>SUM(Yhteenveto[[#This Row],[Kunnan  peruspalvelujen valtionosuus ]:[Veroperustemuutoksista johtuvien veromenetysten korvaus]])</f>
        <v>343191316.2024132</v>
      </c>
      <c r="Q33" s="34">
        <v>-104380175.41769007</v>
      </c>
      <c r="R33" s="341">
        <f>+Yhteenveto[[#This Row],[Kunnan  peruspalvelujen valtionosuus ]]+Yhteenveto[[#This Row],[Veroperustemuutoksista johtuvien veromenetysten korvaus]]+Yhteenveto[[#This Row],[Kotikuntakorvaus, netto]]</f>
        <v>238811140.78472313</v>
      </c>
      <c r="S33" s="11"/>
      <c r="T33"/>
    </row>
    <row r="34" spans="1:20" ht="15">
      <c r="A34" s="32">
        <v>92</v>
      </c>
      <c r="B34" s="13" t="s">
        <v>39</v>
      </c>
      <c r="C34" s="15">
        <v>247443</v>
      </c>
      <c r="D34" s="15">
        <f>Ikärakenne[[#This Row],[Laskennalliset kustannukset, IKÄRAKENNE yhteensä, €]]</f>
        <v>404457551.90999997</v>
      </c>
      <c r="E34" s="15">
        <f>'Lask. kustannukset MUUT'!AD40</f>
        <v>173907685.87772828</v>
      </c>
      <c r="F34" s="231">
        <f>Yhteenveto[[#This Row],[Ikärakenne, laskennallinen kustannus]]+Yhteenveto[[#This Row],[Muut laskennalliset kustannukset ]]</f>
        <v>578365237.78772831</v>
      </c>
      <c r="G34" s="498">
        <v>1422.47</v>
      </c>
      <c r="H34" s="17">
        <v>351980244.20999998</v>
      </c>
      <c r="I34" s="339">
        <f>Yhteenveto[[#This Row],[Laskennalliset kustannukset yhteensä]]-Yhteenveto[[#This Row],[Omarahoitusosuus, €]]</f>
        <v>226384993.57772833</v>
      </c>
      <c r="J34" s="33">
        <v>12516547.610086596</v>
      </c>
      <c r="K34" s="34">
        <f>'Muut lis_väh'!O32</f>
        <v>-62221466.025139615</v>
      </c>
      <c r="L34" s="231">
        <f>Yhteenveto[[#This Row],[Valtionosuus omarahoitusosuuden jälkeen (välisumma)]]+Yhteenveto[[#This Row],[Lisäosat yhteensä]]+Yhteenveto[[#This Row],[Valtionosuuteen tehtävät vähennykset ja lisäykset, netto]]</f>
        <v>176680075.16267532</v>
      </c>
      <c r="M34" s="34">
        <f>'Verotuloihin perust tasaus'!N39</f>
        <v>-4089051.074780623</v>
      </c>
      <c r="N34" s="303">
        <f>SUM(Yhteenveto[[#This Row],[Valtionosuus ennen verotuloihin perustuvaa valtionosuuden tasausta]]+Yhteenveto[[#This Row],[Verotuloihin perustuva valtionosuuden tasaus]])</f>
        <v>172591024.08789471</v>
      </c>
      <c r="O34" s="241">
        <v>18740417.852373134</v>
      </c>
      <c r="P34" s="372">
        <f>SUM(Yhteenveto[[#This Row],[Kunnan  peruspalvelujen valtionosuus ]:[Veroperustemuutoksista johtuvien veromenetysten korvaus]])</f>
        <v>191331441.94026783</v>
      </c>
      <c r="Q34" s="34">
        <v>-5809862.632410001</v>
      </c>
      <c r="R34" s="341">
        <f>+Yhteenveto[[#This Row],[Kunnan  peruspalvelujen valtionosuus ]]+Yhteenveto[[#This Row],[Veroperustemuutoksista johtuvien veromenetysten korvaus]]+Yhteenveto[[#This Row],[Kotikuntakorvaus, netto]]</f>
        <v>185521579.30785784</v>
      </c>
      <c r="S34" s="11"/>
      <c r="T34"/>
    </row>
    <row r="35" spans="1:20" ht="15">
      <c r="A35" s="32">
        <v>97</v>
      </c>
      <c r="B35" s="13" t="s">
        <v>40</v>
      </c>
      <c r="C35" s="15">
        <v>2062</v>
      </c>
      <c r="D35" s="15">
        <f>Ikärakenne[[#This Row],[Laskennalliset kustannukset, IKÄRAKENNE yhteensä, €]]</f>
        <v>2058629.0100000002</v>
      </c>
      <c r="E35" s="15">
        <f>'Lask. kustannukset MUUT'!AD41</f>
        <v>1233353.8767044977</v>
      </c>
      <c r="F35" s="231">
        <f>Yhteenveto[[#This Row],[Ikärakenne, laskennallinen kustannus]]+Yhteenveto[[#This Row],[Muut laskennalliset kustannukset ]]</f>
        <v>3291982.886704498</v>
      </c>
      <c r="G35" s="498">
        <v>1422.47</v>
      </c>
      <c r="H35" s="17">
        <v>2933133.14</v>
      </c>
      <c r="I35" s="339">
        <f>Yhteenveto[[#This Row],[Laskennalliset kustannukset yhteensä]]-Yhteenveto[[#This Row],[Omarahoitusosuus, €]]</f>
        <v>358849.74670449784</v>
      </c>
      <c r="J35" s="33">
        <v>159505.53841900034</v>
      </c>
      <c r="K35" s="34">
        <f>'Muut lis_väh'!O33</f>
        <v>-403208.1766578416</v>
      </c>
      <c r="L35" s="231">
        <f>Yhteenveto[[#This Row],[Valtionosuus omarahoitusosuuden jälkeen (välisumma)]]+Yhteenveto[[#This Row],[Lisäosat yhteensä]]+Yhteenveto[[#This Row],[Valtionosuuteen tehtävät vähennykset ja lisäykset, netto]]</f>
        <v>115147.10846565658</v>
      </c>
      <c r="M35" s="34">
        <f>'Verotuloihin perust tasaus'!N40</f>
        <v>306470.43864446232</v>
      </c>
      <c r="N35" s="303">
        <f>SUM(Yhteenveto[[#This Row],[Valtionosuus ennen verotuloihin perustuvaa valtionosuuden tasausta]]+Yhteenveto[[#This Row],[Verotuloihin perustuva valtionosuuden tasaus]])</f>
        <v>421617.5471101189</v>
      </c>
      <c r="O35" s="241">
        <v>363745.73214982572</v>
      </c>
      <c r="P35" s="372">
        <f>SUM(Yhteenveto[[#This Row],[Kunnan  peruspalvelujen valtionosuus ]:[Veroperustemuutoksista johtuvien veromenetysten korvaus]])</f>
        <v>785363.27925994457</v>
      </c>
      <c r="Q35" s="34">
        <v>31038.728090000004</v>
      </c>
      <c r="R35" s="341">
        <f>+Yhteenveto[[#This Row],[Kunnan  peruspalvelujen valtionosuus ]]+Yhteenveto[[#This Row],[Veroperustemuutoksista johtuvien veromenetysten korvaus]]+Yhteenveto[[#This Row],[Kotikuntakorvaus, netto]]</f>
        <v>816402.00734994456</v>
      </c>
      <c r="S35" s="11"/>
      <c r="T35"/>
    </row>
    <row r="36" spans="1:20" ht="15">
      <c r="A36" s="32">
        <v>98</v>
      </c>
      <c r="B36" s="13" t="s">
        <v>41</v>
      </c>
      <c r="C36" s="15">
        <v>22885</v>
      </c>
      <c r="D36" s="15">
        <f>Ikärakenne[[#This Row],[Laskennalliset kustannukset, IKÄRAKENNE yhteensä, €]]</f>
        <v>37153295.109999999</v>
      </c>
      <c r="E36" s="15">
        <f>'Lask. kustannukset MUUT'!AD42</f>
        <v>4301541.9569987953</v>
      </c>
      <c r="F36" s="231">
        <f>Yhteenveto[[#This Row],[Ikärakenne, laskennallinen kustannus]]+Yhteenveto[[#This Row],[Muut laskennalliset kustannukset ]]</f>
        <v>41454837.066998795</v>
      </c>
      <c r="G36" s="498">
        <v>1422.47</v>
      </c>
      <c r="H36" s="17">
        <v>32553225.949999999</v>
      </c>
      <c r="I36" s="339">
        <f>Yhteenveto[[#This Row],[Laskennalliset kustannukset yhteensä]]-Yhteenveto[[#This Row],[Omarahoitusosuus, €]]</f>
        <v>8901611.1169987954</v>
      </c>
      <c r="J36" s="33">
        <v>653894.2496466313</v>
      </c>
      <c r="K36" s="34">
        <f>'Muut lis_väh'!O34</f>
        <v>5380168.4108756566</v>
      </c>
      <c r="L36" s="231">
        <f>Yhteenveto[[#This Row],[Valtionosuus omarahoitusosuuden jälkeen (välisumma)]]+Yhteenveto[[#This Row],[Lisäosat yhteensä]]+Yhteenveto[[#This Row],[Valtionosuuteen tehtävät vähennykset ja lisäykset, netto]]</f>
        <v>14935673.777521085</v>
      </c>
      <c r="M36" s="34">
        <f>'Verotuloihin perust tasaus'!N41</f>
        <v>6391833.041292388</v>
      </c>
      <c r="N36" s="303">
        <f>SUM(Yhteenveto[[#This Row],[Valtionosuus ennen verotuloihin perustuvaa valtionosuuden tasausta]]+Yhteenveto[[#This Row],[Verotuloihin perustuva valtionosuuden tasaus]])</f>
        <v>21327506.818813473</v>
      </c>
      <c r="O36" s="241">
        <v>2001525.4379302121</v>
      </c>
      <c r="P36" s="372">
        <f>SUM(Yhteenveto[[#This Row],[Kunnan  peruspalvelujen valtionosuus ]:[Veroperustemuutoksista johtuvien veromenetysten korvaus]])</f>
        <v>23329032.256743684</v>
      </c>
      <c r="Q36" s="34">
        <v>-2371946.4073400004</v>
      </c>
      <c r="R36" s="341">
        <f>+Yhteenveto[[#This Row],[Kunnan  peruspalvelujen valtionosuus ]]+Yhteenveto[[#This Row],[Veroperustemuutoksista johtuvien veromenetysten korvaus]]+Yhteenveto[[#This Row],[Kotikuntakorvaus, netto]]</f>
        <v>20957085.849403683</v>
      </c>
      <c r="S36" s="11"/>
      <c r="T36"/>
    </row>
    <row r="37" spans="1:20" ht="15">
      <c r="A37" s="32">
        <v>102</v>
      </c>
      <c r="B37" s="13" t="s">
        <v>42</v>
      </c>
      <c r="C37" s="15">
        <v>9646</v>
      </c>
      <c r="D37" s="15">
        <f>Ikärakenne[[#This Row],[Laskennalliset kustannukset, IKÄRAKENNE yhteensä, €]]</f>
        <v>13093581.719999999</v>
      </c>
      <c r="E37" s="15">
        <f>'Lask. kustannukset MUUT'!AD43</f>
        <v>2356455.9330507535</v>
      </c>
      <c r="F37" s="231">
        <f>Yhteenveto[[#This Row],[Ikärakenne, laskennallinen kustannus]]+Yhteenveto[[#This Row],[Muut laskennalliset kustannukset ]]</f>
        <v>15450037.653050752</v>
      </c>
      <c r="G37" s="498">
        <v>1422.47</v>
      </c>
      <c r="H37" s="17">
        <v>13721145.620000001</v>
      </c>
      <c r="I37" s="339">
        <f>Yhteenveto[[#This Row],[Laskennalliset kustannukset yhteensä]]-Yhteenveto[[#This Row],[Omarahoitusosuus, €]]</f>
        <v>1728892.0330507513</v>
      </c>
      <c r="J37" s="33">
        <v>313708.22623008437</v>
      </c>
      <c r="K37" s="34">
        <f>'Muut lis_väh'!O35</f>
        <v>-114254.59533795225</v>
      </c>
      <c r="L37" s="231">
        <f>Yhteenveto[[#This Row],[Valtionosuus omarahoitusosuuden jälkeen (välisumma)]]+Yhteenveto[[#This Row],[Lisäosat yhteensä]]+Yhteenveto[[#This Row],[Valtionosuuteen tehtävät vähennykset ja lisäykset, netto]]</f>
        <v>1928345.6639428835</v>
      </c>
      <c r="M37" s="34">
        <f>'Verotuloihin perust tasaus'!N42</f>
        <v>3991488.0271339365</v>
      </c>
      <c r="N37" s="303">
        <f>SUM(Yhteenveto[[#This Row],[Valtionosuus ennen verotuloihin perustuvaa valtionosuuden tasausta]]+Yhteenveto[[#This Row],[Verotuloihin perustuva valtionosuuden tasaus]])</f>
        <v>5919833.6910768198</v>
      </c>
      <c r="O37" s="241">
        <v>1440321.8621548116</v>
      </c>
      <c r="P37" s="372">
        <f>SUM(Yhteenveto[[#This Row],[Kunnan  peruspalvelujen valtionosuus ]:[Veroperustemuutoksista johtuvien veromenetysten korvaus]])</f>
        <v>7360155.5532316314</v>
      </c>
      <c r="Q37" s="34">
        <v>191920.62170999995</v>
      </c>
      <c r="R37" s="341">
        <f>+Yhteenveto[[#This Row],[Kunnan  peruspalvelujen valtionosuus ]]+Yhteenveto[[#This Row],[Veroperustemuutoksista johtuvien veromenetysten korvaus]]+Yhteenveto[[#This Row],[Kotikuntakorvaus, netto]]</f>
        <v>7552076.174941631</v>
      </c>
      <c r="S37" s="11"/>
      <c r="T37"/>
    </row>
    <row r="38" spans="1:20" ht="15">
      <c r="A38" s="32">
        <v>103</v>
      </c>
      <c r="B38" s="13" t="s">
        <v>43</v>
      </c>
      <c r="C38" s="15">
        <v>2125</v>
      </c>
      <c r="D38" s="15">
        <f>Ikärakenne[[#This Row],[Laskennalliset kustannukset, IKÄRAKENNE yhteensä, €]]</f>
        <v>2843530.92</v>
      </c>
      <c r="E38" s="15">
        <f>'Lask. kustannukset MUUT'!AD44</f>
        <v>488984.94421660574</v>
      </c>
      <c r="F38" s="231">
        <f>Yhteenveto[[#This Row],[Ikärakenne, laskennallinen kustannus]]+Yhteenveto[[#This Row],[Muut laskennalliset kustannukset ]]</f>
        <v>3332515.8642166057</v>
      </c>
      <c r="G38" s="498">
        <v>1422.47</v>
      </c>
      <c r="H38" s="17">
        <v>3022748.75</v>
      </c>
      <c r="I38" s="339">
        <f>Yhteenveto[[#This Row],[Laskennalliset kustannukset yhteensä]]-Yhteenveto[[#This Row],[Omarahoitusosuus, €]]</f>
        <v>309767.11421660567</v>
      </c>
      <c r="J38" s="33">
        <v>35767.867904521016</v>
      </c>
      <c r="K38" s="34">
        <f>'Muut lis_väh'!O36</f>
        <v>46047.88463547948</v>
      </c>
      <c r="L38" s="231">
        <f>Yhteenveto[[#This Row],[Valtionosuus omarahoitusosuuden jälkeen (välisumma)]]+Yhteenveto[[#This Row],[Lisäosat yhteensä]]+Yhteenveto[[#This Row],[Valtionosuuteen tehtävät vähennykset ja lisäykset, netto]]</f>
        <v>391582.86675660615</v>
      </c>
      <c r="M38" s="34">
        <f>'Verotuloihin perust tasaus'!N43</f>
        <v>1145322.0967882611</v>
      </c>
      <c r="N38" s="303">
        <f>SUM(Yhteenveto[[#This Row],[Valtionosuus ennen verotuloihin perustuvaa valtionosuuden tasausta]]+Yhteenveto[[#This Row],[Verotuloihin perustuva valtionosuuden tasaus]])</f>
        <v>1536904.9635448672</v>
      </c>
      <c r="O38" s="241">
        <v>338113.43130093627</v>
      </c>
      <c r="P38" s="372">
        <f>SUM(Yhteenveto[[#This Row],[Kunnan  peruspalvelujen valtionosuus ]:[Veroperustemuutoksista johtuvien veromenetysten korvaus]])</f>
        <v>1875018.3948458035</v>
      </c>
      <c r="Q38" s="34">
        <v>-22149.354889999988</v>
      </c>
      <c r="R38" s="341">
        <f>+Yhteenveto[[#This Row],[Kunnan  peruspalvelujen valtionosuus ]]+Yhteenveto[[#This Row],[Veroperustemuutoksista johtuvien veromenetysten korvaus]]+Yhteenveto[[#This Row],[Kotikuntakorvaus, netto]]</f>
        <v>1852869.0399558034</v>
      </c>
      <c r="S38" s="11"/>
      <c r="T38"/>
    </row>
    <row r="39" spans="1:20" ht="15">
      <c r="A39" s="32">
        <v>105</v>
      </c>
      <c r="B39" s="13" t="s">
        <v>44</v>
      </c>
      <c r="C39" s="15">
        <v>2063</v>
      </c>
      <c r="D39" s="15">
        <f>Ikärakenne[[#This Row],[Laskennalliset kustannukset, IKÄRAKENNE yhteensä, €]]</f>
        <v>2053208.18</v>
      </c>
      <c r="E39" s="15">
        <f>'Lask. kustannukset MUUT'!AD45</f>
        <v>1483921.7300276384</v>
      </c>
      <c r="F39" s="231">
        <f>Yhteenveto[[#This Row],[Ikärakenne, laskennallinen kustannus]]+Yhteenveto[[#This Row],[Muut laskennalliset kustannukset ]]</f>
        <v>3537129.9100276381</v>
      </c>
      <c r="G39" s="498">
        <v>1422.47</v>
      </c>
      <c r="H39" s="17">
        <v>2934555.61</v>
      </c>
      <c r="I39" s="339">
        <f>Yhteenveto[[#This Row],[Laskennalliset kustannukset yhteensä]]-Yhteenveto[[#This Row],[Omarahoitusosuus, €]]</f>
        <v>602574.30002763821</v>
      </c>
      <c r="J39" s="33">
        <v>750206.37545391952</v>
      </c>
      <c r="K39" s="34">
        <f>'Muut lis_väh'!O37</f>
        <v>692711.78253556369</v>
      </c>
      <c r="L39" s="231">
        <f>Yhteenveto[[#This Row],[Valtionosuus omarahoitusosuuden jälkeen (välisumma)]]+Yhteenveto[[#This Row],[Lisäosat yhteensä]]+Yhteenveto[[#This Row],[Valtionosuuteen tehtävät vähennykset ja lisäykset, netto]]</f>
        <v>2045492.4580171215</v>
      </c>
      <c r="M39" s="34">
        <f>'Verotuloihin perust tasaus'!N44</f>
        <v>1018146.1028551168</v>
      </c>
      <c r="N39" s="303">
        <f>SUM(Yhteenveto[[#This Row],[Valtionosuus ennen verotuloihin perustuvaa valtionosuuden tasausta]]+Yhteenveto[[#This Row],[Verotuloihin perustuva valtionosuuden tasaus]])</f>
        <v>3063638.5608722381</v>
      </c>
      <c r="O39" s="241">
        <v>388623.6514767537</v>
      </c>
      <c r="P39" s="372">
        <f>SUM(Yhteenveto[[#This Row],[Kunnan  peruspalvelujen valtionosuus ]:[Veroperustemuutoksista johtuvien veromenetysten korvaus]])</f>
        <v>3452262.212348992</v>
      </c>
      <c r="Q39" s="34">
        <v>-29779.400220000003</v>
      </c>
      <c r="R39" s="341">
        <f>+Yhteenveto[[#This Row],[Kunnan  peruspalvelujen valtionosuus ]]+Yhteenveto[[#This Row],[Veroperustemuutoksista johtuvien veromenetysten korvaus]]+Yhteenveto[[#This Row],[Kotikuntakorvaus, netto]]</f>
        <v>3422482.8121289918</v>
      </c>
      <c r="S39" s="11"/>
      <c r="T39"/>
    </row>
    <row r="40" spans="1:20" ht="15">
      <c r="A40" s="32">
        <v>106</v>
      </c>
      <c r="B40" s="13" t="s">
        <v>45</v>
      </c>
      <c r="C40" s="15">
        <v>46901</v>
      </c>
      <c r="D40" s="15">
        <f>Ikärakenne[[#This Row],[Laskennalliset kustannukset, IKÄRAKENNE yhteensä, €]]</f>
        <v>68777318.850000009</v>
      </c>
      <c r="E40" s="15">
        <f>'Lask. kustannukset MUUT'!AD46</f>
        <v>14006820.12289869</v>
      </c>
      <c r="F40" s="231">
        <f>Yhteenveto[[#This Row],[Ikärakenne, laskennallinen kustannus]]+Yhteenveto[[#This Row],[Muut laskennalliset kustannukset ]]</f>
        <v>82784138.972898692</v>
      </c>
      <c r="G40" s="498">
        <v>1422.47</v>
      </c>
      <c r="H40" s="17">
        <v>66715265.469999999</v>
      </c>
      <c r="I40" s="339">
        <f>Yhteenveto[[#This Row],[Laskennalliset kustannukset yhteensä]]-Yhteenveto[[#This Row],[Omarahoitusosuus, €]]</f>
        <v>16068873.502898693</v>
      </c>
      <c r="J40" s="33">
        <v>1601105.0884965735</v>
      </c>
      <c r="K40" s="34">
        <f>'Muut lis_väh'!O38</f>
        <v>-5803371.1790521182</v>
      </c>
      <c r="L40" s="231">
        <f>Yhteenveto[[#This Row],[Valtionosuus omarahoitusosuuden jälkeen (välisumma)]]+Yhteenveto[[#This Row],[Lisäosat yhteensä]]+Yhteenveto[[#This Row],[Valtionosuuteen tehtävät vähennykset ja lisäykset, netto]]</f>
        <v>11866607.412343148</v>
      </c>
      <c r="M40" s="34">
        <f>'Verotuloihin perust tasaus'!N45</f>
        <v>-130529.87446300499</v>
      </c>
      <c r="N40" s="303">
        <f>SUM(Yhteenveto[[#This Row],[Valtionosuus ennen verotuloihin perustuvaa valtionosuuden tasausta]]+Yhteenveto[[#This Row],[Verotuloihin perustuva valtionosuuden tasaus]])</f>
        <v>11736077.537880143</v>
      </c>
      <c r="O40" s="241">
        <v>3983519.1458626278</v>
      </c>
      <c r="P40" s="372">
        <f>SUM(Yhteenveto[[#This Row],[Kunnan  peruspalvelujen valtionosuus ]:[Veroperustemuutoksista johtuvien veromenetysten korvaus]])</f>
        <v>15719596.683742771</v>
      </c>
      <c r="Q40" s="34">
        <v>-30419.308999999892</v>
      </c>
      <c r="R40" s="341">
        <f>+Yhteenveto[[#This Row],[Kunnan  peruspalvelujen valtionosuus ]]+Yhteenveto[[#This Row],[Veroperustemuutoksista johtuvien veromenetysten korvaus]]+Yhteenveto[[#This Row],[Kotikuntakorvaus, netto]]</f>
        <v>15689177.374742771</v>
      </c>
      <c r="S40" s="11"/>
      <c r="T40"/>
    </row>
    <row r="41" spans="1:20" ht="15">
      <c r="A41" s="32">
        <v>108</v>
      </c>
      <c r="B41" s="13" t="s">
        <v>46</v>
      </c>
      <c r="C41" s="15">
        <v>10319</v>
      </c>
      <c r="D41" s="15">
        <f>Ikärakenne[[#This Row],[Laskennalliset kustannukset, IKÄRAKENNE yhteensä, €]]</f>
        <v>16978246.75</v>
      </c>
      <c r="E41" s="15">
        <f>'Lask. kustannukset MUUT'!AD47</f>
        <v>2021075.713728105</v>
      </c>
      <c r="F41" s="231">
        <f>Yhteenveto[[#This Row],[Ikärakenne, laskennallinen kustannus]]+Yhteenveto[[#This Row],[Muut laskennalliset kustannukset ]]</f>
        <v>18999322.463728104</v>
      </c>
      <c r="G41" s="498">
        <v>1422.47</v>
      </c>
      <c r="H41" s="17">
        <v>14678467.93</v>
      </c>
      <c r="I41" s="339">
        <f>Yhteenveto[[#This Row],[Laskennalliset kustannukset yhteensä]]-Yhteenveto[[#This Row],[Omarahoitusosuus, €]]</f>
        <v>4320854.5337281041</v>
      </c>
      <c r="J41" s="33">
        <v>310568.74187757558</v>
      </c>
      <c r="K41" s="34">
        <f>'Muut lis_väh'!O39</f>
        <v>189788.77547875419</v>
      </c>
      <c r="L41" s="231">
        <f>Yhteenveto[[#This Row],[Valtionosuus omarahoitusosuuden jälkeen (välisumma)]]+Yhteenveto[[#This Row],[Lisäosat yhteensä]]+Yhteenveto[[#This Row],[Valtionosuuteen tehtävät vähennykset ja lisäykset, netto]]</f>
        <v>4821212.0510844337</v>
      </c>
      <c r="M41" s="34">
        <f>'Verotuloihin perust tasaus'!N46</f>
        <v>3861297.8487553885</v>
      </c>
      <c r="N41" s="303">
        <f>SUM(Yhteenveto[[#This Row],[Valtionosuus ennen verotuloihin perustuvaa valtionosuuden tasausta]]+Yhteenveto[[#This Row],[Verotuloihin perustuva valtionosuuden tasaus]])</f>
        <v>8682509.8998398222</v>
      </c>
      <c r="O41" s="241">
        <v>976108.64904044406</v>
      </c>
      <c r="P41" s="372">
        <f>SUM(Yhteenveto[[#This Row],[Kunnan  peruspalvelujen valtionosuus ]:[Veroperustemuutoksista johtuvien veromenetysten korvaus]])</f>
        <v>9658618.548880266</v>
      </c>
      <c r="Q41" s="34">
        <v>-89576.196290000022</v>
      </c>
      <c r="R41" s="341">
        <f>+Yhteenveto[[#This Row],[Kunnan  peruspalvelujen valtionosuus ]]+Yhteenveto[[#This Row],[Veroperustemuutoksista johtuvien veromenetysten korvaus]]+Yhteenveto[[#This Row],[Kotikuntakorvaus, netto]]</f>
        <v>9569042.3525902666</v>
      </c>
      <c r="S41" s="11"/>
      <c r="T41"/>
    </row>
    <row r="42" spans="1:20" ht="15">
      <c r="A42" s="32">
        <v>109</v>
      </c>
      <c r="B42" s="36" t="s">
        <v>47</v>
      </c>
      <c r="C42" s="15">
        <v>68319</v>
      </c>
      <c r="D42" s="15">
        <f>Ikärakenne[[#This Row],[Laskennalliset kustannukset, IKÄRAKENNE yhteensä, €]]</f>
        <v>95756819.670000002</v>
      </c>
      <c r="E42" s="15">
        <f>'Lask. kustannukset MUUT'!AD48</f>
        <v>19888852.468640827</v>
      </c>
      <c r="F42" s="231">
        <f>Yhteenveto[[#This Row],[Ikärakenne, laskennallinen kustannus]]+Yhteenveto[[#This Row],[Muut laskennalliset kustannukset ]]</f>
        <v>115645672.13864082</v>
      </c>
      <c r="G42" s="498">
        <v>1422.47</v>
      </c>
      <c r="H42" s="17">
        <v>97181727.930000007</v>
      </c>
      <c r="I42" s="339">
        <f>Yhteenveto[[#This Row],[Laskennalliset kustannukset yhteensä]]-Yhteenveto[[#This Row],[Omarahoitusosuus, €]]</f>
        <v>18463944.208640814</v>
      </c>
      <c r="J42" s="33">
        <v>2534762.3385906215</v>
      </c>
      <c r="K42" s="34">
        <f>'Muut lis_väh'!O40</f>
        <v>-4925985.6365356985</v>
      </c>
      <c r="L42" s="231">
        <f>Yhteenveto[[#This Row],[Valtionosuus omarahoitusosuuden jälkeen (välisumma)]]+Yhteenveto[[#This Row],[Lisäosat yhteensä]]+Yhteenveto[[#This Row],[Valtionosuuteen tehtävät vähennykset ja lisäykset, netto]]</f>
        <v>16072720.910695737</v>
      </c>
      <c r="M42" s="34">
        <f>'Verotuloihin perust tasaus'!N47</f>
        <v>6884278.8136610249</v>
      </c>
      <c r="N42" s="303">
        <f>SUM(Yhteenveto[[#This Row],[Valtionosuus ennen verotuloihin perustuvaa valtionosuuden tasausta]]+Yhteenveto[[#This Row],[Verotuloihin perustuva valtionosuuden tasaus]])</f>
        <v>22956999.724356763</v>
      </c>
      <c r="O42" s="241">
        <v>6257264.5936600827</v>
      </c>
      <c r="P42" s="372">
        <f>SUM(Yhteenveto[[#This Row],[Kunnan  peruspalvelujen valtionosuus ]:[Veroperustemuutoksista johtuvien veromenetysten korvaus]])</f>
        <v>29214264.318016846</v>
      </c>
      <c r="Q42" s="34">
        <v>55716.19550000038</v>
      </c>
      <c r="R42" s="341">
        <f>+Yhteenveto[[#This Row],[Kunnan  peruspalvelujen valtionosuus ]]+Yhteenveto[[#This Row],[Veroperustemuutoksista johtuvien veromenetysten korvaus]]+Yhteenveto[[#This Row],[Kotikuntakorvaus, netto]]</f>
        <v>29269980.513516847</v>
      </c>
      <c r="S42" s="11"/>
      <c r="T42"/>
    </row>
    <row r="43" spans="1:20" ht="15">
      <c r="A43" s="32">
        <v>111</v>
      </c>
      <c r="B43" s="36" t="s">
        <v>48</v>
      </c>
      <c r="C43" s="15">
        <v>17953</v>
      </c>
      <c r="D43" s="15">
        <f>Ikärakenne[[#This Row],[Laskennalliset kustannukset, IKÄRAKENNE yhteensä, €]]</f>
        <v>19107885.540000003</v>
      </c>
      <c r="E43" s="15">
        <f>'Lask. kustannukset MUUT'!AD49</f>
        <v>5477058.1253066817</v>
      </c>
      <c r="F43" s="231">
        <f>Yhteenveto[[#This Row],[Ikärakenne, laskennallinen kustannus]]+Yhteenveto[[#This Row],[Muut laskennalliset kustannukset ]]</f>
        <v>24584943.665306684</v>
      </c>
      <c r="G43" s="498">
        <v>1422.47</v>
      </c>
      <c r="H43" s="17">
        <v>25537603.91</v>
      </c>
      <c r="I43" s="339">
        <f>Yhteenveto[[#This Row],[Laskennalliset kustannukset yhteensä]]-Yhteenveto[[#This Row],[Omarahoitusosuus, €]]</f>
        <v>-952660.24469331652</v>
      </c>
      <c r="J43" s="33">
        <v>616242.13499629893</v>
      </c>
      <c r="K43" s="34">
        <f>'Muut lis_väh'!O41</f>
        <v>5057358.0241790107</v>
      </c>
      <c r="L43" s="231">
        <f>Yhteenveto[[#This Row],[Valtionosuus omarahoitusosuuden jälkeen (välisumma)]]+Yhteenveto[[#This Row],[Lisäosat yhteensä]]+Yhteenveto[[#This Row],[Valtionosuuteen tehtävät vähennykset ja lisäykset, netto]]</f>
        <v>4720939.9144819928</v>
      </c>
      <c r="M43" s="34">
        <f>'Verotuloihin perust tasaus'!N48</f>
        <v>5796979.6627433104</v>
      </c>
      <c r="N43" s="303">
        <f>SUM(Yhteenveto[[#This Row],[Valtionosuus ennen verotuloihin perustuvaa valtionosuuden tasausta]]+Yhteenveto[[#This Row],[Verotuloihin perustuva valtionosuuden tasaus]])</f>
        <v>10517919.577225303</v>
      </c>
      <c r="O43" s="241">
        <v>2099007.1525767767</v>
      </c>
      <c r="P43" s="372">
        <f>SUM(Yhteenveto[[#This Row],[Kunnan  peruspalvelujen valtionosuus ]:[Veroperustemuutoksista johtuvien veromenetysten korvaus]])</f>
        <v>12616926.729802079</v>
      </c>
      <c r="Q43" s="34">
        <v>142198.44859999989</v>
      </c>
      <c r="R43" s="341">
        <f>+Yhteenveto[[#This Row],[Kunnan  peruspalvelujen valtionosuus ]]+Yhteenveto[[#This Row],[Veroperustemuutoksista johtuvien veromenetysten korvaus]]+Yhteenveto[[#This Row],[Kotikuntakorvaus, netto]]</f>
        <v>12759125.178402079</v>
      </c>
      <c r="S43" s="11"/>
      <c r="T43"/>
    </row>
    <row r="44" spans="1:20" ht="15">
      <c r="A44" s="32">
        <v>139</v>
      </c>
      <c r="B44" s="36" t="s">
        <v>49</v>
      </c>
      <c r="C44" s="15">
        <v>9766</v>
      </c>
      <c r="D44" s="15">
        <f>Ikärakenne[[#This Row],[Laskennalliset kustannukset, IKÄRAKENNE yhteensä, €]]</f>
        <v>20156888.440000001</v>
      </c>
      <c r="E44" s="15">
        <f>'Lask. kustannukset MUUT'!AD50</f>
        <v>2866192.7538255989</v>
      </c>
      <c r="F44" s="231">
        <f>Yhteenveto[[#This Row],[Ikärakenne, laskennallinen kustannus]]+Yhteenveto[[#This Row],[Muut laskennalliset kustannukset ]]</f>
        <v>23023081.193825599</v>
      </c>
      <c r="G44" s="498">
        <v>1422.47</v>
      </c>
      <c r="H44" s="17">
        <v>13891842.02</v>
      </c>
      <c r="I44" s="339">
        <f>Yhteenveto[[#This Row],[Laskennalliset kustannukset yhteensä]]-Yhteenveto[[#This Row],[Omarahoitusosuus, €]]</f>
        <v>9131239.1738255993</v>
      </c>
      <c r="J44" s="33">
        <v>246354.13085134406</v>
      </c>
      <c r="K44" s="34">
        <f>'Muut lis_väh'!O42</f>
        <v>-2246398.3607905405</v>
      </c>
      <c r="L44" s="231">
        <f>Yhteenveto[[#This Row],[Valtionosuus omarahoitusosuuden jälkeen (välisumma)]]+Yhteenveto[[#This Row],[Lisäosat yhteensä]]+Yhteenveto[[#This Row],[Valtionosuuteen tehtävät vähennykset ja lisäykset, netto]]</f>
        <v>7131194.9438864021</v>
      </c>
      <c r="M44" s="34">
        <f>'Verotuloihin perust tasaus'!N49</f>
        <v>5555969.202280744</v>
      </c>
      <c r="N44" s="303">
        <f>SUM(Yhteenveto[[#This Row],[Valtionosuus ennen verotuloihin perustuvaa valtionosuuden tasausta]]+Yhteenveto[[#This Row],[Verotuloihin perustuva valtionosuuden tasaus]])</f>
        <v>12687164.146167146</v>
      </c>
      <c r="O44" s="241">
        <v>806480.76651258965</v>
      </c>
      <c r="P44" s="372">
        <f>SUM(Yhteenveto[[#This Row],[Kunnan  peruspalvelujen valtionosuus ]:[Veroperustemuutoksista johtuvien veromenetysten korvaus]])</f>
        <v>13493644.912679736</v>
      </c>
      <c r="Q44" s="34">
        <v>87738.428709999978</v>
      </c>
      <c r="R44" s="341">
        <f>+Yhteenveto[[#This Row],[Kunnan  peruspalvelujen valtionosuus ]]+Yhteenveto[[#This Row],[Veroperustemuutoksista johtuvien veromenetysten korvaus]]+Yhteenveto[[#This Row],[Kotikuntakorvaus, netto]]</f>
        <v>13581383.341389736</v>
      </c>
      <c r="S44" s="11"/>
      <c r="T44"/>
    </row>
    <row r="45" spans="1:20" ht="15">
      <c r="A45" s="32">
        <v>140</v>
      </c>
      <c r="B45" s="36" t="s">
        <v>50</v>
      </c>
      <c r="C45" s="15">
        <v>20618</v>
      </c>
      <c r="D45" s="15">
        <f>Ikärakenne[[#This Row],[Laskennalliset kustannukset, IKÄRAKENNE yhteensä, €]]</f>
        <v>29766246.09</v>
      </c>
      <c r="E45" s="15">
        <f>'Lask. kustannukset MUUT'!AD51</f>
        <v>5500381.183211742</v>
      </c>
      <c r="F45" s="231">
        <f>Yhteenveto[[#This Row],[Ikärakenne, laskennallinen kustannus]]+Yhteenveto[[#This Row],[Muut laskennalliset kustannukset ]]</f>
        <v>35266627.27321174</v>
      </c>
      <c r="G45" s="498">
        <v>1422.47</v>
      </c>
      <c r="H45" s="17">
        <v>29328486.460000001</v>
      </c>
      <c r="I45" s="339">
        <f>Yhteenveto[[#This Row],[Laskennalliset kustannukset yhteensä]]-Yhteenveto[[#This Row],[Omarahoitusosuus, €]]</f>
        <v>5938140.8132117391</v>
      </c>
      <c r="J45" s="33">
        <v>1054715.7137407097</v>
      </c>
      <c r="K45" s="34">
        <f>'Muut lis_väh'!O43</f>
        <v>6691385.465624026</v>
      </c>
      <c r="L45" s="231">
        <f>Yhteenveto[[#This Row],[Valtionosuus omarahoitusosuuden jälkeen (välisumma)]]+Yhteenveto[[#This Row],[Lisäosat yhteensä]]+Yhteenveto[[#This Row],[Valtionosuuteen tehtävät vähennykset ja lisäykset, netto]]</f>
        <v>13684241.992576476</v>
      </c>
      <c r="M45" s="34">
        <f>'Verotuloihin perust tasaus'!N50</f>
        <v>7440669.7976037255</v>
      </c>
      <c r="N45" s="303">
        <f>SUM(Yhteenveto[[#This Row],[Valtionosuus ennen verotuloihin perustuvaa valtionosuuden tasausta]]+Yhteenveto[[#This Row],[Verotuloihin perustuva valtionosuuden tasaus]])</f>
        <v>21124911.790180203</v>
      </c>
      <c r="O45" s="241">
        <v>2440172.6397569058</v>
      </c>
      <c r="P45" s="372">
        <f>SUM(Yhteenveto[[#This Row],[Kunnan  peruspalvelujen valtionosuus ]:[Veroperustemuutoksista johtuvien veromenetysten korvaus]])</f>
        <v>23565084.429937109</v>
      </c>
      <c r="Q45" s="34">
        <v>-32668.44650999998</v>
      </c>
      <c r="R45" s="341">
        <f>+Yhteenveto[[#This Row],[Kunnan  peruspalvelujen valtionosuus ]]+Yhteenveto[[#This Row],[Veroperustemuutoksista johtuvien veromenetysten korvaus]]+Yhteenveto[[#This Row],[Kotikuntakorvaus, netto]]</f>
        <v>23532415.983427111</v>
      </c>
      <c r="S45" s="11"/>
      <c r="T45"/>
    </row>
    <row r="46" spans="1:20" ht="15">
      <c r="A46" s="32">
        <v>142</v>
      </c>
      <c r="B46" s="36" t="s">
        <v>51</v>
      </c>
      <c r="C46" s="15">
        <v>6444</v>
      </c>
      <c r="D46" s="15">
        <f>Ikärakenne[[#This Row],[Laskennalliset kustannukset, IKÄRAKENNE yhteensä, €]]</f>
        <v>8657568.6400000006</v>
      </c>
      <c r="E46" s="15">
        <f>'Lask. kustannukset MUUT'!AD52</f>
        <v>1577317.1836792906</v>
      </c>
      <c r="F46" s="231">
        <f>Yhteenveto[[#This Row],[Ikärakenne, laskennallinen kustannus]]+Yhteenveto[[#This Row],[Muut laskennalliset kustannukset ]]</f>
        <v>10234885.823679291</v>
      </c>
      <c r="G46" s="498">
        <v>1422.47</v>
      </c>
      <c r="H46" s="17">
        <v>9166396.6799999997</v>
      </c>
      <c r="I46" s="339">
        <f>Yhteenveto[[#This Row],[Laskennalliset kustannukset yhteensä]]-Yhteenveto[[#This Row],[Omarahoitusosuus, €]]</f>
        <v>1068489.143679291</v>
      </c>
      <c r="J46" s="33">
        <v>172839.70210496068</v>
      </c>
      <c r="K46" s="34">
        <f>'Muut lis_väh'!O44</f>
        <v>127789.01771068404</v>
      </c>
      <c r="L46" s="231">
        <f>Yhteenveto[[#This Row],[Valtionosuus omarahoitusosuuden jälkeen (välisumma)]]+Yhteenveto[[#This Row],[Lisäosat yhteensä]]+Yhteenveto[[#This Row],[Valtionosuuteen tehtävät vähennykset ja lisäykset, netto]]</f>
        <v>1369117.8634949357</v>
      </c>
      <c r="M46" s="34">
        <f>'Verotuloihin perust tasaus'!N51</f>
        <v>2721035.668085373</v>
      </c>
      <c r="N46" s="303">
        <f>SUM(Yhteenveto[[#This Row],[Valtionosuus ennen verotuloihin perustuvaa valtionosuuden tasausta]]+Yhteenveto[[#This Row],[Verotuloihin perustuva valtionosuuden tasaus]])</f>
        <v>4090153.5315803085</v>
      </c>
      <c r="O46" s="241">
        <v>781655.16086139728</v>
      </c>
      <c r="P46" s="372">
        <f>SUM(Yhteenveto[[#This Row],[Kunnan  peruspalvelujen valtionosuus ]:[Veroperustemuutoksista johtuvien veromenetysten korvaus]])</f>
        <v>4871808.6924417056</v>
      </c>
      <c r="Q46" s="34">
        <v>497122.43490999995</v>
      </c>
      <c r="R46" s="341">
        <f>+Yhteenveto[[#This Row],[Kunnan  peruspalvelujen valtionosuus ]]+Yhteenveto[[#This Row],[Veroperustemuutoksista johtuvien veromenetysten korvaus]]+Yhteenveto[[#This Row],[Kotikuntakorvaus, netto]]</f>
        <v>5368931.1273517059</v>
      </c>
      <c r="S46" s="11"/>
      <c r="T46"/>
    </row>
    <row r="47" spans="1:20" ht="15">
      <c r="A47" s="32">
        <v>143</v>
      </c>
      <c r="B47" s="13" t="s">
        <v>52</v>
      </c>
      <c r="C47" s="15">
        <v>6850</v>
      </c>
      <c r="D47" s="15">
        <f>Ikärakenne[[#This Row],[Laskennalliset kustannukset, IKÄRAKENNE yhteensä, €]]</f>
        <v>9252540.4200000018</v>
      </c>
      <c r="E47" s="15">
        <f>'Lask. kustannukset MUUT'!AD53</f>
        <v>2098300.7489890782</v>
      </c>
      <c r="F47" s="231">
        <f>Yhteenveto[[#This Row],[Ikärakenne, laskennallinen kustannus]]+Yhteenveto[[#This Row],[Muut laskennalliset kustannukset ]]</f>
        <v>11350841.168989081</v>
      </c>
      <c r="G47" s="498">
        <v>1422.47</v>
      </c>
      <c r="H47" s="17">
        <v>9743919.5</v>
      </c>
      <c r="I47" s="339">
        <f>Yhteenveto[[#This Row],[Laskennalliset kustannukset yhteensä]]-Yhteenveto[[#This Row],[Omarahoitusosuus, €]]</f>
        <v>1606921.6689890809</v>
      </c>
      <c r="J47" s="33">
        <v>256286.51278601406</v>
      </c>
      <c r="K47" s="34">
        <f>'Muut lis_väh'!O45</f>
        <v>-1052899.8358498013</v>
      </c>
      <c r="L47" s="231">
        <f>Yhteenveto[[#This Row],[Valtionosuus omarahoitusosuuden jälkeen (välisumma)]]+Yhteenveto[[#This Row],[Lisäosat yhteensä]]+Yhteenveto[[#This Row],[Valtionosuuteen tehtävät vähennykset ja lisäykset, netto]]</f>
        <v>810308.34592529363</v>
      </c>
      <c r="M47" s="34">
        <f>'Verotuloihin perust tasaus'!N52</f>
        <v>2655933.5645136219</v>
      </c>
      <c r="N47" s="303">
        <f>SUM(Yhteenveto[[#This Row],[Valtionosuus ennen verotuloihin perustuvaa valtionosuuden tasausta]]+Yhteenveto[[#This Row],[Verotuloihin perustuva valtionosuuden tasaus]])</f>
        <v>3466241.9104389157</v>
      </c>
      <c r="O47" s="241">
        <v>928720.39389936696</v>
      </c>
      <c r="P47" s="372">
        <f>SUM(Yhteenveto[[#This Row],[Kunnan  peruspalvelujen valtionosuus ]:[Veroperustemuutoksista johtuvien veromenetysten korvaus]])</f>
        <v>4394962.3043382829</v>
      </c>
      <c r="Q47" s="34">
        <v>154659.33237999998</v>
      </c>
      <c r="R47" s="341">
        <f>+Yhteenveto[[#This Row],[Kunnan  peruspalvelujen valtionosuus ]]+Yhteenveto[[#This Row],[Veroperustemuutoksista johtuvien veromenetysten korvaus]]+Yhteenveto[[#This Row],[Kotikuntakorvaus, netto]]</f>
        <v>4549621.6367182825</v>
      </c>
      <c r="S47" s="11"/>
      <c r="T47"/>
    </row>
    <row r="48" spans="1:20" ht="15">
      <c r="A48" s="32">
        <v>145</v>
      </c>
      <c r="B48" s="13" t="s">
        <v>53</v>
      </c>
      <c r="C48" s="15">
        <v>12343</v>
      </c>
      <c r="D48" s="15">
        <f>Ikärakenne[[#This Row],[Laskennalliset kustannukset, IKÄRAKENNE yhteensä, €]]</f>
        <v>22992889.399999999</v>
      </c>
      <c r="E48" s="15">
        <f>'Lask. kustannukset MUUT'!AD54</f>
        <v>1819607.8876732707</v>
      </c>
      <c r="F48" s="231">
        <f>Yhteenveto[[#This Row],[Ikärakenne, laskennallinen kustannus]]+Yhteenveto[[#This Row],[Muut laskennalliset kustannukset ]]</f>
        <v>24812497.287673268</v>
      </c>
      <c r="G48" s="498">
        <v>1422.47</v>
      </c>
      <c r="H48" s="17">
        <v>17557547.210000001</v>
      </c>
      <c r="I48" s="339">
        <f>Yhteenveto[[#This Row],[Laskennalliset kustannukset yhteensä]]-Yhteenveto[[#This Row],[Omarahoitusosuus, €]]</f>
        <v>7254950.0776732676</v>
      </c>
      <c r="J48" s="33">
        <v>334302.19827215129</v>
      </c>
      <c r="K48" s="34">
        <f>'Muut lis_väh'!O46</f>
        <v>-17986.428377294447</v>
      </c>
      <c r="L48" s="231">
        <f>Yhteenveto[[#This Row],[Valtionosuus omarahoitusosuuden jälkeen (välisumma)]]+Yhteenveto[[#This Row],[Lisäosat yhteensä]]+Yhteenveto[[#This Row],[Valtionosuuteen tehtävät vähennykset ja lisäykset, netto]]</f>
        <v>7571265.8475681245</v>
      </c>
      <c r="M48" s="34">
        <f>'Verotuloihin perust tasaus'!N53</f>
        <v>5836621.5941011347</v>
      </c>
      <c r="N48" s="303">
        <f>SUM(Yhteenveto[[#This Row],[Valtionosuus ennen verotuloihin perustuvaa valtionosuuden tasausta]]+Yhteenveto[[#This Row],[Verotuloihin perustuva valtionosuuden tasaus]])</f>
        <v>13407887.441669259</v>
      </c>
      <c r="O48" s="241">
        <v>1312091.2345264507</v>
      </c>
      <c r="P48" s="372">
        <f>SUM(Yhteenveto[[#This Row],[Kunnan  peruspalvelujen valtionosuus ]:[Veroperustemuutoksista johtuvien veromenetysten korvaus]])</f>
        <v>14719978.676195711</v>
      </c>
      <c r="Q48" s="34">
        <v>147831.53721999997</v>
      </c>
      <c r="R48" s="341">
        <f>+Yhteenveto[[#This Row],[Kunnan  peruspalvelujen valtionosuus ]]+Yhteenveto[[#This Row],[Veroperustemuutoksista johtuvien veromenetysten korvaus]]+Yhteenveto[[#This Row],[Kotikuntakorvaus, netto]]</f>
        <v>14867810.21341571</v>
      </c>
      <c r="S48" s="11"/>
      <c r="T48"/>
    </row>
    <row r="49" spans="1:20" ht="15">
      <c r="A49" s="32">
        <v>146</v>
      </c>
      <c r="B49" s="13" t="s">
        <v>54</v>
      </c>
      <c r="C49" s="15">
        <v>4406</v>
      </c>
      <c r="D49" s="15">
        <f>Ikärakenne[[#This Row],[Laskennalliset kustannukset, IKÄRAKENNE yhteensä, €]]</f>
        <v>3789694.5899999994</v>
      </c>
      <c r="E49" s="15">
        <f>'Lask. kustannukset MUUT'!AD55</f>
        <v>3288138.5030821399</v>
      </c>
      <c r="F49" s="231">
        <f>Yhteenveto[[#This Row],[Ikärakenne, laskennallinen kustannus]]+Yhteenveto[[#This Row],[Muut laskennalliset kustannukset ]]</f>
        <v>7077833.0930821393</v>
      </c>
      <c r="G49" s="498">
        <v>1422.47</v>
      </c>
      <c r="H49" s="17">
        <v>6267402.8200000003</v>
      </c>
      <c r="I49" s="339">
        <f>Yhteenveto[[#This Row],[Laskennalliset kustannukset yhteensä]]-Yhteenveto[[#This Row],[Omarahoitusosuus, €]]</f>
        <v>810430.27308213897</v>
      </c>
      <c r="J49" s="33">
        <v>1464727.3724538542</v>
      </c>
      <c r="K49" s="34">
        <f>'Muut lis_väh'!O47</f>
        <v>154201.25371903265</v>
      </c>
      <c r="L49" s="231">
        <f>Yhteenveto[[#This Row],[Valtionosuus omarahoitusosuuden jälkeen (välisumma)]]+Yhteenveto[[#This Row],[Lisäosat yhteensä]]+Yhteenveto[[#This Row],[Valtionosuuteen tehtävät vähennykset ja lisäykset, netto]]</f>
        <v>2429358.8992550261</v>
      </c>
      <c r="M49" s="34">
        <f>'Verotuloihin perust tasaus'!N54</f>
        <v>1235076.2231778956</v>
      </c>
      <c r="N49" s="303">
        <f>SUM(Yhteenveto[[#This Row],[Valtionosuus ennen verotuloihin perustuvaa valtionosuuden tasausta]]+Yhteenveto[[#This Row],[Verotuloihin perustuva valtionosuuden tasaus]])</f>
        <v>3664435.122432922</v>
      </c>
      <c r="O49" s="241">
        <v>805548.78035769064</v>
      </c>
      <c r="P49" s="372">
        <f>SUM(Yhteenveto[[#This Row],[Kunnan  peruspalvelujen valtionosuus ]:[Veroperustemuutoksista johtuvien veromenetysten korvaus]])</f>
        <v>4469983.9027906125</v>
      </c>
      <c r="Q49" s="34">
        <v>90449.372310000035</v>
      </c>
      <c r="R49" s="341">
        <f>+Yhteenveto[[#This Row],[Kunnan  peruspalvelujen valtionosuus ]]+Yhteenveto[[#This Row],[Veroperustemuutoksista johtuvien veromenetysten korvaus]]+Yhteenveto[[#This Row],[Kotikuntakorvaus, netto]]</f>
        <v>4560433.275100613</v>
      </c>
      <c r="S49" s="11"/>
      <c r="T49"/>
    </row>
    <row r="50" spans="1:20" ht="15">
      <c r="A50" s="32">
        <v>148</v>
      </c>
      <c r="B50" s="13" t="s">
        <v>55</v>
      </c>
      <c r="C50" s="15">
        <v>7127</v>
      </c>
      <c r="D50" s="15">
        <f>Ikärakenne[[#This Row],[Laskennalliset kustannukset, IKÄRAKENNE yhteensä, €]]</f>
        <v>8673520.5500000007</v>
      </c>
      <c r="E50" s="15">
        <f>'Lask. kustannukset MUUT'!AD56</f>
        <v>7620430.5615559751</v>
      </c>
      <c r="F50" s="231">
        <f>Yhteenveto[[#This Row],[Ikärakenne, laskennallinen kustannus]]+Yhteenveto[[#This Row],[Muut laskennalliset kustannukset ]]</f>
        <v>16293951.111555975</v>
      </c>
      <c r="G50" s="498">
        <v>1422.47</v>
      </c>
      <c r="H50" s="17">
        <v>10137943.689999999</v>
      </c>
      <c r="I50" s="339">
        <f>Yhteenveto[[#This Row],[Laskennalliset kustannukset yhteensä]]-Yhteenveto[[#This Row],[Omarahoitusosuus, €]]</f>
        <v>6156007.4215559755</v>
      </c>
      <c r="J50" s="33">
        <v>3022243.2582249646</v>
      </c>
      <c r="K50" s="34">
        <f>'Muut lis_väh'!O48</f>
        <v>2792197.2267863746</v>
      </c>
      <c r="L50" s="231">
        <f>Yhteenveto[[#This Row],[Valtionosuus omarahoitusosuuden jälkeen (välisumma)]]+Yhteenveto[[#This Row],[Lisäosat yhteensä]]+Yhteenveto[[#This Row],[Valtionosuuteen tehtävät vähennykset ja lisäykset, netto]]</f>
        <v>11970447.906567315</v>
      </c>
      <c r="M50" s="34">
        <f>'Verotuloihin perust tasaus'!N55</f>
        <v>-6426.7456041643827</v>
      </c>
      <c r="N50" s="303">
        <f>SUM(Yhteenveto[[#This Row],[Valtionosuus ennen verotuloihin perustuvaa valtionosuuden tasausta]]+Yhteenveto[[#This Row],[Verotuloihin perustuva valtionosuuden tasaus]])</f>
        <v>11964021.16096315</v>
      </c>
      <c r="O50" s="241">
        <v>798966.47472739499</v>
      </c>
      <c r="P50" s="372">
        <f>SUM(Yhteenveto[[#This Row],[Kunnan  peruspalvelujen valtionosuus ]:[Veroperustemuutoksista johtuvien veromenetysten korvaus]])</f>
        <v>12762987.635690544</v>
      </c>
      <c r="Q50" s="34">
        <v>576.86358000003383</v>
      </c>
      <c r="R50" s="341">
        <f>+Yhteenveto[[#This Row],[Kunnan  peruspalvelujen valtionosuus ]]+Yhteenveto[[#This Row],[Veroperustemuutoksista johtuvien veromenetysten korvaus]]+Yhteenveto[[#This Row],[Kotikuntakorvaus, netto]]</f>
        <v>12763564.499270543</v>
      </c>
      <c r="S50" s="11"/>
      <c r="T50"/>
    </row>
    <row r="51" spans="1:20" ht="15">
      <c r="A51" s="32">
        <v>149</v>
      </c>
      <c r="B51" s="13" t="s">
        <v>56</v>
      </c>
      <c r="C51" s="15">
        <v>5379</v>
      </c>
      <c r="D51" s="15">
        <f>Ikärakenne[[#This Row],[Laskennalliset kustannukset, IKÄRAKENNE yhteensä, €]]</f>
        <v>7981929.8300000001</v>
      </c>
      <c r="E51" s="15">
        <f>'Lask. kustannukset MUUT'!AD57</f>
        <v>2206449.2079766504</v>
      </c>
      <c r="F51" s="231">
        <f>Yhteenveto[[#This Row],[Ikärakenne, laskennallinen kustannus]]+Yhteenveto[[#This Row],[Muut laskennalliset kustannukset ]]</f>
        <v>10188379.037976651</v>
      </c>
      <c r="G51" s="498">
        <v>1422.47</v>
      </c>
      <c r="H51" s="17">
        <v>7651466.1299999999</v>
      </c>
      <c r="I51" s="339">
        <f>Yhteenveto[[#This Row],[Laskennalliset kustannukset yhteensä]]-Yhteenveto[[#This Row],[Omarahoitusosuus, €]]</f>
        <v>2536912.9079766506</v>
      </c>
      <c r="J51" s="33">
        <v>181134.85143803185</v>
      </c>
      <c r="K51" s="34">
        <f>'Muut lis_väh'!O49</f>
        <v>487480.0120495616</v>
      </c>
      <c r="L51" s="231">
        <f>Yhteenveto[[#This Row],[Valtionosuus omarahoitusosuuden jälkeen (välisumma)]]+Yhteenveto[[#This Row],[Lisäosat yhteensä]]+Yhteenveto[[#This Row],[Valtionosuuteen tehtävät vähennykset ja lisäykset, netto]]</f>
        <v>3205527.7714642445</v>
      </c>
      <c r="M51" s="34">
        <f>'Verotuloihin perust tasaus'!N56</f>
        <v>-32844.930044946283</v>
      </c>
      <c r="N51" s="303">
        <f>SUM(Yhteenveto[[#This Row],[Valtionosuus ennen verotuloihin perustuvaa valtionosuuden tasausta]]+Yhteenveto[[#This Row],[Verotuloihin perustuva valtionosuuden tasaus]])</f>
        <v>3172682.8414192982</v>
      </c>
      <c r="O51" s="241">
        <v>557059.59251294157</v>
      </c>
      <c r="P51" s="372">
        <f>SUM(Yhteenveto[[#This Row],[Kunnan  peruspalvelujen valtionosuus ]:[Veroperustemuutoksista johtuvien veromenetysten korvaus]])</f>
        <v>3729742.4339322397</v>
      </c>
      <c r="Q51" s="34">
        <v>-2475110.4203600003</v>
      </c>
      <c r="R51" s="341">
        <f>+Yhteenveto[[#This Row],[Kunnan  peruspalvelujen valtionosuus ]]+Yhteenveto[[#This Row],[Veroperustemuutoksista johtuvien veromenetysten korvaus]]+Yhteenveto[[#This Row],[Kotikuntakorvaus, netto]]</f>
        <v>1254632.0135722393</v>
      </c>
      <c r="S51" s="11"/>
      <c r="T51"/>
    </row>
    <row r="52" spans="1:20" ht="15">
      <c r="A52" s="32">
        <v>151</v>
      </c>
      <c r="B52" s="13" t="s">
        <v>57</v>
      </c>
      <c r="C52" s="15">
        <v>1814</v>
      </c>
      <c r="D52" s="15">
        <f>Ikärakenne[[#This Row],[Laskennalliset kustannukset, IKÄRAKENNE yhteensä, €]]</f>
        <v>2111913.4500000002</v>
      </c>
      <c r="E52" s="15">
        <f>'Lask. kustannukset MUUT'!AD58</f>
        <v>800715.31397656153</v>
      </c>
      <c r="F52" s="231">
        <f>Yhteenveto[[#This Row],[Ikärakenne, laskennallinen kustannus]]+Yhteenveto[[#This Row],[Muut laskennalliset kustannukset ]]</f>
        <v>2912628.7639765618</v>
      </c>
      <c r="G52" s="498">
        <v>1422.47</v>
      </c>
      <c r="H52" s="17">
        <v>2580360.58</v>
      </c>
      <c r="I52" s="339">
        <f>Yhteenveto[[#This Row],[Laskennalliset kustannukset yhteensä]]-Yhteenveto[[#This Row],[Omarahoitusosuus, €]]</f>
        <v>332268.18397656176</v>
      </c>
      <c r="J52" s="33">
        <v>236119.2464923184</v>
      </c>
      <c r="K52" s="34">
        <f>'Muut lis_väh'!O50</f>
        <v>-576511.89927993761</v>
      </c>
      <c r="L52" s="231">
        <f>Yhteenveto[[#This Row],[Valtionosuus omarahoitusosuuden jälkeen (välisumma)]]+Yhteenveto[[#This Row],[Lisäosat yhteensä]]+Yhteenveto[[#This Row],[Valtionosuuteen tehtävät vähennykset ja lisäykset, netto]]</f>
        <v>-8124.468811057508</v>
      </c>
      <c r="M52" s="34">
        <f>'Verotuloihin perust tasaus'!N57</f>
        <v>571494.48604335717</v>
      </c>
      <c r="N52" s="303">
        <f>SUM(Yhteenveto[[#This Row],[Valtionosuus ennen verotuloihin perustuvaa valtionosuuden tasausta]]+Yhteenveto[[#This Row],[Verotuloihin perustuva valtionosuuden tasaus]])</f>
        <v>563370.01723229967</v>
      </c>
      <c r="O52" s="241">
        <v>368091.75961563422</v>
      </c>
      <c r="P52" s="372">
        <f>SUM(Yhteenveto[[#This Row],[Kunnan  peruspalvelujen valtionosuus ]:[Veroperustemuutoksista johtuvien veromenetysten korvaus]])</f>
        <v>931461.77684793388</v>
      </c>
      <c r="Q52" s="34">
        <v>62225.612399999998</v>
      </c>
      <c r="R52" s="341">
        <f>+Yhteenveto[[#This Row],[Kunnan  peruspalvelujen valtionosuus ]]+Yhteenveto[[#This Row],[Veroperustemuutoksista johtuvien veromenetysten korvaus]]+Yhteenveto[[#This Row],[Kotikuntakorvaus, netto]]</f>
        <v>993687.38924793387</v>
      </c>
      <c r="S52" s="11"/>
      <c r="T52"/>
    </row>
    <row r="53" spans="1:20" ht="15">
      <c r="A53" s="32">
        <v>152</v>
      </c>
      <c r="B53" s="13" t="s">
        <v>58</v>
      </c>
      <c r="C53" s="15">
        <v>4357</v>
      </c>
      <c r="D53" s="15">
        <f>Ikärakenne[[#This Row],[Laskennalliset kustannukset, IKÄRAKENNE yhteensä, €]]</f>
        <v>6769985.1900000004</v>
      </c>
      <c r="E53" s="15">
        <f>'Lask. kustannukset MUUT'!AD59</f>
        <v>811838.04592024104</v>
      </c>
      <c r="F53" s="231">
        <f>Yhteenveto[[#This Row],[Ikärakenne, laskennallinen kustannus]]+Yhteenveto[[#This Row],[Muut laskennalliset kustannukset ]]</f>
        <v>7581823.2359202411</v>
      </c>
      <c r="G53" s="498">
        <v>1422.47</v>
      </c>
      <c r="H53" s="17">
        <v>6197701.79</v>
      </c>
      <c r="I53" s="339">
        <f>Yhteenveto[[#This Row],[Laskennalliset kustannukset yhteensä]]-Yhteenveto[[#This Row],[Omarahoitusosuus, €]]</f>
        <v>1384121.4459202411</v>
      </c>
      <c r="J53" s="33">
        <v>116152.00865143776</v>
      </c>
      <c r="K53" s="34">
        <f>'Muut lis_väh'!O51</f>
        <v>-174972.10022514558</v>
      </c>
      <c r="L53" s="231">
        <f>Yhteenveto[[#This Row],[Valtionosuus omarahoitusosuuden jälkeen (välisumma)]]+Yhteenveto[[#This Row],[Lisäosat yhteensä]]+Yhteenveto[[#This Row],[Valtionosuuteen tehtävät vähennykset ja lisäykset, netto]]</f>
        <v>1325301.3543465333</v>
      </c>
      <c r="M53" s="34">
        <f>'Verotuloihin perust tasaus'!N58</f>
        <v>2152128.1796950474</v>
      </c>
      <c r="N53" s="303">
        <f>SUM(Yhteenveto[[#This Row],[Valtionosuus ennen verotuloihin perustuvaa valtionosuuden tasausta]]+Yhteenveto[[#This Row],[Verotuloihin perustuva valtionosuuden tasaus]])</f>
        <v>3477429.5340415807</v>
      </c>
      <c r="O53" s="241">
        <v>604321.08359500067</v>
      </c>
      <c r="P53" s="372">
        <f>SUM(Yhteenveto[[#This Row],[Kunnan  peruspalvelujen valtionosuus ]:[Veroperustemuutoksista johtuvien veromenetysten korvaus]])</f>
        <v>4081750.6176365814</v>
      </c>
      <c r="Q53" s="34">
        <v>313544.26928999997</v>
      </c>
      <c r="R53" s="341">
        <f>+Yhteenveto[[#This Row],[Kunnan  peruspalvelujen valtionosuus ]]+Yhteenveto[[#This Row],[Veroperustemuutoksista johtuvien veromenetysten korvaus]]+Yhteenveto[[#This Row],[Kotikuntakorvaus, netto]]</f>
        <v>4395294.8869265812</v>
      </c>
      <c r="S53" s="11"/>
      <c r="T53"/>
    </row>
    <row r="54" spans="1:20" ht="15">
      <c r="A54" s="32">
        <v>153</v>
      </c>
      <c r="B54" s="13" t="s">
        <v>59</v>
      </c>
      <c r="C54" s="15">
        <v>24919</v>
      </c>
      <c r="D54" s="15">
        <f>Ikärakenne[[#This Row],[Laskennalliset kustannukset, IKÄRAKENNE yhteensä, €]]</f>
        <v>28952308.010000002</v>
      </c>
      <c r="E54" s="15">
        <f>'Lask. kustannukset MUUT'!AD60</f>
        <v>8912598.3266261593</v>
      </c>
      <c r="F54" s="231">
        <f>Yhteenveto[[#This Row],[Ikärakenne, laskennallinen kustannus]]+Yhteenveto[[#This Row],[Muut laskennalliset kustannukset ]]</f>
        <v>37864906.336626157</v>
      </c>
      <c r="G54" s="498">
        <v>1422.47</v>
      </c>
      <c r="H54" s="17">
        <v>35446529.93</v>
      </c>
      <c r="I54" s="339">
        <f>Yhteenveto[[#This Row],[Laskennalliset kustannukset yhteensä]]-Yhteenveto[[#This Row],[Omarahoitusosuus, €]]</f>
        <v>2418376.4066261575</v>
      </c>
      <c r="J54" s="33">
        <v>784370.00529571669</v>
      </c>
      <c r="K54" s="34">
        <f>'Muut lis_väh'!O52</f>
        <v>7798030.2070955047</v>
      </c>
      <c r="L54" s="231">
        <f>Yhteenveto[[#This Row],[Valtionosuus omarahoitusosuuden jälkeen (välisumma)]]+Yhteenveto[[#This Row],[Lisäosat yhteensä]]+Yhteenveto[[#This Row],[Valtionosuuteen tehtävät vähennykset ja lisäykset, netto]]</f>
        <v>11000776.619017379</v>
      </c>
      <c r="M54" s="34">
        <f>'Verotuloihin perust tasaus'!N59</f>
        <v>7357804.1510569416</v>
      </c>
      <c r="N54" s="303">
        <f>SUM(Yhteenveto[[#This Row],[Valtionosuus ennen verotuloihin perustuvaa valtionosuuden tasausta]]+Yhteenveto[[#This Row],[Verotuloihin perustuva valtionosuuden tasaus]])</f>
        <v>18358580.770074323</v>
      </c>
      <c r="O54" s="241">
        <v>2363632.9472177485</v>
      </c>
      <c r="P54" s="372">
        <f>SUM(Yhteenveto[[#This Row],[Kunnan  peruspalvelujen valtionosuus ]:[Veroperustemuutoksista johtuvien veromenetysten korvaus]])</f>
        <v>20722213.71729207</v>
      </c>
      <c r="Q54" s="34">
        <v>-895419.94268999947</v>
      </c>
      <c r="R54" s="341">
        <f>+Yhteenveto[[#This Row],[Kunnan  peruspalvelujen valtionosuus ]]+Yhteenveto[[#This Row],[Veroperustemuutoksista johtuvien veromenetysten korvaus]]+Yhteenveto[[#This Row],[Kotikuntakorvaus, netto]]</f>
        <v>19826793.77460207</v>
      </c>
      <c r="S54" s="11"/>
      <c r="T54"/>
    </row>
    <row r="55" spans="1:20" ht="15">
      <c r="A55" s="32">
        <v>165</v>
      </c>
      <c r="B55" s="13" t="s">
        <v>60</v>
      </c>
      <c r="C55" s="15">
        <v>16123</v>
      </c>
      <c r="D55" s="15">
        <f>Ikärakenne[[#This Row],[Laskennalliset kustannukset, IKÄRAKENNE yhteensä, €]]</f>
        <v>25205365.84</v>
      </c>
      <c r="E55" s="15">
        <f>'Lask. kustannukset MUUT'!AD61</f>
        <v>3462066.8106692433</v>
      </c>
      <c r="F55" s="231">
        <f>Yhteenveto[[#This Row],[Ikärakenne, laskennallinen kustannus]]+Yhteenveto[[#This Row],[Muut laskennalliset kustannukset ]]</f>
        <v>28667432.650669243</v>
      </c>
      <c r="G55" s="498">
        <v>1422.47</v>
      </c>
      <c r="H55" s="17">
        <v>22934483.809999999</v>
      </c>
      <c r="I55" s="339">
        <f>Yhteenveto[[#This Row],[Laskennalliset kustannukset yhteensä]]-Yhteenveto[[#This Row],[Omarahoitusosuus, €]]</f>
        <v>5732948.8406692445</v>
      </c>
      <c r="J55" s="33">
        <v>462006.09973687318</v>
      </c>
      <c r="K55" s="34">
        <f>'Muut lis_väh'!O53</f>
        <v>-455260.38916376058</v>
      </c>
      <c r="L55" s="231">
        <f>Yhteenveto[[#This Row],[Valtionosuus omarahoitusosuuden jälkeen (välisumma)]]+Yhteenveto[[#This Row],[Lisäosat yhteensä]]+Yhteenveto[[#This Row],[Valtionosuuteen tehtävät vähennykset ja lisäykset, netto]]</f>
        <v>5739694.5512423571</v>
      </c>
      <c r="M55" s="34">
        <f>'Verotuloihin perust tasaus'!N60</f>
        <v>4033164.8343041367</v>
      </c>
      <c r="N55" s="303">
        <f>SUM(Yhteenveto[[#This Row],[Valtionosuus ennen verotuloihin perustuvaa valtionosuuden tasausta]]+Yhteenveto[[#This Row],[Verotuloihin perustuva valtionosuuden tasaus]])</f>
        <v>9772859.3855464943</v>
      </c>
      <c r="O55" s="241">
        <v>1442742.5626683075</v>
      </c>
      <c r="P55" s="372">
        <f>SUM(Yhteenveto[[#This Row],[Kunnan  peruspalvelujen valtionosuus ]:[Veroperustemuutoksista johtuvien veromenetysten korvaus]])</f>
        <v>11215601.948214801</v>
      </c>
      <c r="Q55" s="34">
        <v>250257.92139999999</v>
      </c>
      <c r="R55" s="341">
        <f>+Yhteenveto[[#This Row],[Kunnan  peruspalvelujen valtionosuus ]]+Yhteenveto[[#This Row],[Veroperustemuutoksista johtuvien veromenetysten korvaus]]+Yhteenveto[[#This Row],[Kotikuntakorvaus, netto]]</f>
        <v>11465859.8696148</v>
      </c>
      <c r="S55" s="11"/>
      <c r="T55"/>
    </row>
    <row r="56" spans="1:20" ht="15">
      <c r="A56" s="32">
        <v>167</v>
      </c>
      <c r="B56" s="13" t="s">
        <v>61</v>
      </c>
      <c r="C56" s="15">
        <v>78062</v>
      </c>
      <c r="D56" s="15">
        <f>Ikärakenne[[#This Row],[Laskennalliset kustannukset, IKÄRAKENNE yhteensä, €]]</f>
        <v>102041846.59999999</v>
      </c>
      <c r="E56" s="15">
        <f>'Lask. kustannukset MUUT'!AD62</f>
        <v>26468521.18803519</v>
      </c>
      <c r="F56" s="231">
        <f>Yhteenveto[[#This Row],[Ikärakenne, laskennallinen kustannus]]+Yhteenveto[[#This Row],[Muut laskennalliset kustannukset ]]</f>
        <v>128510367.78803518</v>
      </c>
      <c r="G56" s="498">
        <v>1422.47</v>
      </c>
      <c r="H56" s="17">
        <v>111040853.14</v>
      </c>
      <c r="I56" s="339">
        <f>Yhteenveto[[#This Row],[Laskennalliset kustannukset yhteensä]]-Yhteenveto[[#This Row],[Omarahoitusosuus, €]]</f>
        <v>17469514.648035184</v>
      </c>
      <c r="J56" s="33">
        <v>3218547.8296220344</v>
      </c>
      <c r="K56" s="34">
        <f>'Muut lis_väh'!O54</f>
        <v>-4452150.4110006699</v>
      </c>
      <c r="L56" s="231">
        <f>Yhteenveto[[#This Row],[Valtionosuus omarahoitusosuuden jälkeen (välisumma)]]+Yhteenveto[[#This Row],[Lisäosat yhteensä]]+Yhteenveto[[#This Row],[Valtionosuuteen tehtävät vähennykset ja lisäykset, netto]]</f>
        <v>16235912.066656549</v>
      </c>
      <c r="M56" s="34">
        <f>'Verotuloihin perust tasaus'!N61</f>
        <v>23117542.810696449</v>
      </c>
      <c r="N56" s="303">
        <f>SUM(Yhteenveto[[#This Row],[Valtionosuus ennen verotuloihin perustuvaa valtionosuuden tasausta]]+Yhteenveto[[#This Row],[Verotuloihin perustuva valtionosuuden tasaus]])</f>
        <v>39353454.877352998</v>
      </c>
      <c r="O56" s="241">
        <v>8178197.8319230787</v>
      </c>
      <c r="P56" s="372">
        <f>SUM(Yhteenveto[[#This Row],[Kunnan  peruspalvelujen valtionosuus ]:[Veroperustemuutoksista johtuvien veromenetysten korvaus]])</f>
        <v>47531652.70927608</v>
      </c>
      <c r="Q56" s="34">
        <v>-10252467.16468</v>
      </c>
      <c r="R56" s="341">
        <f>+Yhteenveto[[#This Row],[Kunnan  peruspalvelujen valtionosuus ]]+Yhteenveto[[#This Row],[Veroperustemuutoksista johtuvien veromenetysten korvaus]]+Yhteenveto[[#This Row],[Kotikuntakorvaus, netto]]</f>
        <v>37279185.544596076</v>
      </c>
      <c r="S56" s="11"/>
      <c r="T56"/>
    </row>
    <row r="57" spans="1:20" ht="15">
      <c r="A57" s="32">
        <v>169</v>
      </c>
      <c r="B57" s="13" t="s">
        <v>62</v>
      </c>
      <c r="C57" s="15">
        <v>4916</v>
      </c>
      <c r="D57" s="15">
        <f>Ikärakenne[[#This Row],[Laskennalliset kustannukset, IKÄRAKENNE yhteensä, €]]</f>
        <v>7207627.6299999999</v>
      </c>
      <c r="E57" s="15">
        <f>'Lask. kustannukset MUUT'!AD63</f>
        <v>1025811.839830731</v>
      </c>
      <c r="F57" s="231">
        <f>Yhteenveto[[#This Row],[Ikärakenne, laskennallinen kustannus]]+Yhteenveto[[#This Row],[Muut laskennalliset kustannukset ]]</f>
        <v>8233439.4698307309</v>
      </c>
      <c r="G57" s="498">
        <v>1422.47</v>
      </c>
      <c r="H57" s="17">
        <v>6992862.5200000005</v>
      </c>
      <c r="I57" s="339">
        <f>Yhteenveto[[#This Row],[Laskennalliset kustannukset yhteensä]]-Yhteenveto[[#This Row],[Omarahoitusosuus, €]]</f>
        <v>1240576.9498307304</v>
      </c>
      <c r="J57" s="33">
        <v>132288.31986520864</v>
      </c>
      <c r="K57" s="34">
        <f>'Muut lis_väh'!O55</f>
        <v>209733.91032079689</v>
      </c>
      <c r="L57" s="231">
        <f>Yhteenveto[[#This Row],[Valtionosuus omarahoitusosuuden jälkeen (välisumma)]]+Yhteenveto[[#This Row],[Lisäosat yhteensä]]+Yhteenveto[[#This Row],[Valtionosuuteen tehtävät vähennykset ja lisäykset, netto]]</f>
        <v>1582599.180016736</v>
      </c>
      <c r="M57" s="34">
        <f>'Verotuloihin perust tasaus'!N62</f>
        <v>2062941.1019576166</v>
      </c>
      <c r="N57" s="303">
        <f>SUM(Yhteenveto[[#This Row],[Valtionosuus ennen verotuloihin perustuvaa valtionosuuden tasausta]]+Yhteenveto[[#This Row],[Verotuloihin perustuva valtionosuuden tasaus]])</f>
        <v>3645540.2819743529</v>
      </c>
      <c r="O57" s="241">
        <v>541154.77081354591</v>
      </c>
      <c r="P57" s="372">
        <f>SUM(Yhteenveto[[#This Row],[Kunnan  peruspalvelujen valtionosuus ]:[Veroperustemuutoksista johtuvien veromenetysten korvaus]])</f>
        <v>4186695.052787899</v>
      </c>
      <c r="Q57" s="34">
        <v>-14667.46577999997</v>
      </c>
      <c r="R57" s="341">
        <f>+Yhteenveto[[#This Row],[Kunnan  peruspalvelujen valtionosuus ]]+Yhteenveto[[#This Row],[Veroperustemuutoksista johtuvien veromenetysten korvaus]]+Yhteenveto[[#This Row],[Kotikuntakorvaus, netto]]</f>
        <v>4172027.5870078988</v>
      </c>
      <c r="S57" s="11"/>
      <c r="T57"/>
    </row>
    <row r="58" spans="1:20" ht="15">
      <c r="A58" s="32">
        <v>171</v>
      </c>
      <c r="B58" s="13" t="s">
        <v>63</v>
      </c>
      <c r="C58" s="15">
        <v>4590</v>
      </c>
      <c r="D58" s="15">
        <f>Ikärakenne[[#This Row],[Laskennalliset kustannukset, IKÄRAKENNE yhteensä, €]]</f>
        <v>6201918.3100000005</v>
      </c>
      <c r="E58" s="15">
        <f>'Lask. kustannukset MUUT'!AD64</f>
        <v>1506772.6147095975</v>
      </c>
      <c r="F58" s="231">
        <f>Yhteenveto[[#This Row],[Ikärakenne, laskennallinen kustannus]]+Yhteenveto[[#This Row],[Muut laskennalliset kustannukset ]]</f>
        <v>7708690.9247095976</v>
      </c>
      <c r="G58" s="498">
        <v>1422.47</v>
      </c>
      <c r="H58" s="17">
        <v>6529137.2999999998</v>
      </c>
      <c r="I58" s="339">
        <f>Yhteenveto[[#This Row],[Laskennalliset kustannukset yhteensä]]-Yhteenveto[[#This Row],[Omarahoitusosuus, €]]</f>
        <v>1179553.6247095978</v>
      </c>
      <c r="J58" s="33">
        <v>157683.49010958074</v>
      </c>
      <c r="K58" s="34">
        <f>'Muut lis_väh'!O56</f>
        <v>-252170.90548112494</v>
      </c>
      <c r="L58" s="231">
        <f>Yhteenveto[[#This Row],[Valtionosuus omarahoitusosuuden jälkeen (välisumma)]]+Yhteenveto[[#This Row],[Lisäosat yhteensä]]+Yhteenveto[[#This Row],[Valtionosuuteen tehtävät vähennykset ja lisäykset, netto]]</f>
        <v>1085066.2093380536</v>
      </c>
      <c r="M58" s="34">
        <f>'Verotuloihin perust tasaus'!N63</f>
        <v>1451546.3075582753</v>
      </c>
      <c r="N58" s="303">
        <f>SUM(Yhteenveto[[#This Row],[Valtionosuus ennen verotuloihin perustuvaa valtionosuuden tasausta]]+Yhteenveto[[#This Row],[Verotuloihin perustuva valtionosuuden tasaus]])</f>
        <v>2536612.5168963289</v>
      </c>
      <c r="O58" s="241">
        <v>660500.4935014525</v>
      </c>
      <c r="P58" s="372">
        <f>SUM(Yhteenveto[[#This Row],[Kunnan  peruspalvelujen valtionosuus ]:[Veroperustemuutoksista johtuvien veromenetysten korvaus]])</f>
        <v>3197113.0103977816</v>
      </c>
      <c r="Q58" s="34">
        <v>-17778.746399999989</v>
      </c>
      <c r="R58" s="341">
        <f>+Yhteenveto[[#This Row],[Kunnan  peruspalvelujen valtionosuus ]]+Yhteenveto[[#This Row],[Veroperustemuutoksista johtuvien veromenetysten korvaus]]+Yhteenveto[[#This Row],[Kotikuntakorvaus, netto]]</f>
        <v>3179334.2639977816</v>
      </c>
      <c r="S58" s="11"/>
      <c r="T58"/>
    </row>
    <row r="59" spans="1:20" ht="15">
      <c r="A59" s="32">
        <v>172</v>
      </c>
      <c r="B59" s="13" t="s">
        <v>64</v>
      </c>
      <c r="C59" s="15">
        <v>4079</v>
      </c>
      <c r="D59" s="15">
        <f>Ikärakenne[[#This Row],[Laskennalliset kustannukset, IKÄRAKENNE yhteensä, €]]</f>
        <v>4301975.38</v>
      </c>
      <c r="E59" s="15">
        <f>'Lask. kustannukset MUUT'!AD65</f>
        <v>1641993.2004829908</v>
      </c>
      <c r="F59" s="231">
        <f>Yhteenveto[[#This Row],[Ikärakenne, laskennallinen kustannus]]+Yhteenveto[[#This Row],[Muut laskennalliset kustannukset ]]</f>
        <v>5943968.5804829905</v>
      </c>
      <c r="G59" s="498">
        <v>1422.47</v>
      </c>
      <c r="H59" s="17">
        <v>5802255.1299999999</v>
      </c>
      <c r="I59" s="339">
        <f>Yhteenveto[[#This Row],[Laskennalliset kustannukset yhteensä]]-Yhteenveto[[#This Row],[Omarahoitusosuus, €]]</f>
        <v>141713.45048299059</v>
      </c>
      <c r="J59" s="33">
        <v>681042.79430213501</v>
      </c>
      <c r="K59" s="34">
        <f>'Muut lis_väh'!O57</f>
        <v>-207491.80057992256</v>
      </c>
      <c r="L59" s="231">
        <f>Yhteenveto[[#This Row],[Valtionosuus omarahoitusosuuden jälkeen (välisumma)]]+Yhteenveto[[#This Row],[Lisäosat yhteensä]]+Yhteenveto[[#This Row],[Valtionosuuteen tehtävät vähennykset ja lisäykset, netto]]</f>
        <v>615264.44420520309</v>
      </c>
      <c r="M59" s="34">
        <f>'Verotuloihin perust tasaus'!N64</f>
        <v>1770314.8589206918</v>
      </c>
      <c r="N59" s="303">
        <f>SUM(Yhteenveto[[#This Row],[Valtionosuus ennen verotuloihin perustuvaa valtionosuuden tasausta]]+Yhteenveto[[#This Row],[Verotuloihin perustuva valtionosuuden tasaus]])</f>
        <v>2385579.3031258946</v>
      </c>
      <c r="O59" s="241">
        <v>707964.21234266763</v>
      </c>
      <c r="P59" s="372">
        <f>SUM(Yhteenveto[[#This Row],[Kunnan  peruspalvelujen valtionosuus ]:[Veroperustemuutoksista johtuvien veromenetysten korvaus]])</f>
        <v>3093543.515468562</v>
      </c>
      <c r="Q59" s="34">
        <v>-103709.35399999999</v>
      </c>
      <c r="R59" s="341">
        <f>+Yhteenveto[[#This Row],[Kunnan  peruspalvelujen valtionosuus ]]+Yhteenveto[[#This Row],[Veroperustemuutoksista johtuvien veromenetysten korvaus]]+Yhteenveto[[#This Row],[Kotikuntakorvaus, netto]]</f>
        <v>2989834.1614685622</v>
      </c>
      <c r="S59" s="11"/>
      <c r="T59"/>
    </row>
    <row r="60" spans="1:20" ht="15">
      <c r="A60" s="32">
        <v>176</v>
      </c>
      <c r="B60" s="13" t="s">
        <v>65</v>
      </c>
      <c r="C60" s="15">
        <v>4259</v>
      </c>
      <c r="D60" s="15">
        <f>Ikärakenne[[#This Row],[Laskennalliset kustannukset, IKÄRAKENNE yhteensä, €]]</f>
        <v>4140263.3700000006</v>
      </c>
      <c r="E60" s="15">
        <f>'Lask. kustannukset MUUT'!AD66</f>
        <v>2354322.1305646952</v>
      </c>
      <c r="F60" s="231">
        <f>Yhteenveto[[#This Row],[Ikärakenne, laskennallinen kustannus]]+Yhteenveto[[#This Row],[Muut laskennalliset kustannukset ]]</f>
        <v>6494585.5005646963</v>
      </c>
      <c r="G60" s="498">
        <v>1422.47</v>
      </c>
      <c r="H60" s="17">
        <v>6058299.7300000004</v>
      </c>
      <c r="I60" s="339">
        <f>Yhteenveto[[#This Row],[Laskennalliset kustannukset yhteensä]]-Yhteenveto[[#This Row],[Omarahoitusosuus, €]]</f>
        <v>436285.77056469582</v>
      </c>
      <c r="J60" s="33">
        <v>1377780.9116044971</v>
      </c>
      <c r="K60" s="34">
        <f>'Muut lis_väh'!O58</f>
        <v>-2103560.7112213275</v>
      </c>
      <c r="L60" s="231">
        <f>Yhteenveto[[#This Row],[Valtionosuus omarahoitusosuuden jälkeen (välisumma)]]+Yhteenveto[[#This Row],[Lisäosat yhteensä]]+Yhteenveto[[#This Row],[Valtionosuuteen tehtävät vähennykset ja lisäykset, netto]]</f>
        <v>-289494.0290521346</v>
      </c>
      <c r="M60" s="34">
        <f>'Verotuloihin perust tasaus'!N65</f>
        <v>2245372.9264073009</v>
      </c>
      <c r="N60" s="303">
        <f>SUM(Yhteenveto[[#This Row],[Valtionosuus ennen verotuloihin perustuvaa valtionosuuden tasausta]]+Yhteenveto[[#This Row],[Verotuloihin perustuva valtionosuuden tasaus]])</f>
        <v>1955878.8973551663</v>
      </c>
      <c r="O60" s="241">
        <v>771682.12187272147</v>
      </c>
      <c r="P60" s="372">
        <f>SUM(Yhteenveto[[#This Row],[Kunnan  peruspalvelujen valtionosuus ]:[Veroperustemuutoksista johtuvien veromenetysten korvaus]])</f>
        <v>2727561.0192278875</v>
      </c>
      <c r="Q60" s="34">
        <v>-163119.99821999998</v>
      </c>
      <c r="R60" s="341">
        <f>+Yhteenveto[[#This Row],[Kunnan  peruspalvelujen valtionosuus ]]+Yhteenveto[[#This Row],[Veroperustemuutoksista johtuvien veromenetysten korvaus]]+Yhteenveto[[#This Row],[Kotikuntakorvaus, netto]]</f>
        <v>2564441.0210078876</v>
      </c>
      <c r="S60" s="11"/>
      <c r="T60"/>
    </row>
    <row r="61" spans="1:20" ht="15">
      <c r="A61" s="32">
        <v>177</v>
      </c>
      <c r="B61" s="13" t="s">
        <v>66</v>
      </c>
      <c r="C61" s="15">
        <v>1708</v>
      </c>
      <c r="D61" s="15">
        <f>Ikärakenne[[#This Row],[Laskennalliset kustannukset, IKÄRAKENNE yhteensä, €]]</f>
        <v>2387471.1</v>
      </c>
      <c r="E61" s="15">
        <f>'Lask. kustannukset MUUT'!AD67</f>
        <v>448325.91669991019</v>
      </c>
      <c r="F61" s="231">
        <f>Yhteenveto[[#This Row],[Ikärakenne, laskennallinen kustannus]]+Yhteenveto[[#This Row],[Muut laskennalliset kustannukset ]]</f>
        <v>2835797.0166999102</v>
      </c>
      <c r="G61" s="498">
        <v>1422.47</v>
      </c>
      <c r="H61" s="17">
        <v>2429578.7600000002</v>
      </c>
      <c r="I61" s="339">
        <f>Yhteenveto[[#This Row],[Laskennalliset kustannukset yhteensä]]-Yhteenveto[[#This Row],[Omarahoitusosuus, €]]</f>
        <v>406218.25669990992</v>
      </c>
      <c r="J61" s="33">
        <v>126451.64512284745</v>
      </c>
      <c r="K61" s="34">
        <f>'Muut lis_väh'!O59</f>
        <v>577933.53268026176</v>
      </c>
      <c r="L61" s="231">
        <f>Yhteenveto[[#This Row],[Valtionosuus omarahoitusosuuden jälkeen (välisumma)]]+Yhteenveto[[#This Row],[Lisäosat yhteensä]]+Yhteenveto[[#This Row],[Valtionosuuteen tehtävät vähennykset ja lisäykset, netto]]</f>
        <v>1110603.4345030191</v>
      </c>
      <c r="M61" s="34">
        <f>'Verotuloihin perust tasaus'!N66</f>
        <v>294746.75162615499</v>
      </c>
      <c r="N61" s="303">
        <f>SUM(Yhteenveto[[#This Row],[Valtionosuus ennen verotuloihin perustuvaa valtionosuuden tasausta]]+Yhteenveto[[#This Row],[Verotuloihin perustuva valtionosuuden tasaus]])</f>
        <v>1405350.1861291742</v>
      </c>
      <c r="O61" s="241">
        <v>272751.56610402418</v>
      </c>
      <c r="P61" s="372">
        <f>SUM(Yhteenveto[[#This Row],[Kunnan  peruspalvelujen valtionosuus ]:[Veroperustemuutoksista johtuvien veromenetysten korvaus]])</f>
        <v>1678101.7522331984</v>
      </c>
      <c r="Q61" s="34">
        <v>151235.97801999998</v>
      </c>
      <c r="R61" s="341">
        <f>+Yhteenveto[[#This Row],[Kunnan  peruspalvelujen valtionosuus ]]+Yhteenveto[[#This Row],[Veroperustemuutoksista johtuvien veromenetysten korvaus]]+Yhteenveto[[#This Row],[Kotikuntakorvaus, netto]]</f>
        <v>1829337.7302531984</v>
      </c>
      <c r="S61" s="11"/>
      <c r="T61"/>
    </row>
    <row r="62" spans="1:20" ht="15">
      <c r="A62" s="32">
        <v>178</v>
      </c>
      <c r="B62" s="13" t="s">
        <v>67</v>
      </c>
      <c r="C62" s="15">
        <v>5734</v>
      </c>
      <c r="D62" s="15">
        <f>Ikärakenne[[#This Row],[Laskennalliset kustannukset, IKÄRAKENNE yhteensä, €]]</f>
        <v>6453040.3399999999</v>
      </c>
      <c r="E62" s="15">
        <f>'Lask. kustannukset MUUT'!AD68</f>
        <v>1948164.5052024375</v>
      </c>
      <c r="F62" s="231">
        <f>Yhteenveto[[#This Row],[Ikärakenne, laskennallinen kustannus]]+Yhteenveto[[#This Row],[Muut laskennalliset kustannukset ]]</f>
        <v>8401204.8452024367</v>
      </c>
      <c r="G62" s="498">
        <v>1422.47</v>
      </c>
      <c r="H62" s="17">
        <v>8156442.9800000004</v>
      </c>
      <c r="I62" s="339">
        <f>Yhteenveto[[#This Row],[Laskennalliset kustannukset yhteensä]]-Yhteenveto[[#This Row],[Omarahoitusosuus, €]]</f>
        <v>244761.86520243622</v>
      </c>
      <c r="J62" s="33">
        <v>470833.92476891499</v>
      </c>
      <c r="K62" s="34">
        <f>'Muut lis_väh'!O60</f>
        <v>271904.2913281325</v>
      </c>
      <c r="L62" s="231">
        <f>Yhteenveto[[#This Row],[Valtionosuus omarahoitusosuuden jälkeen (välisumma)]]+Yhteenveto[[#This Row],[Lisäosat yhteensä]]+Yhteenveto[[#This Row],[Valtionosuuteen tehtävät vähennykset ja lisäykset, netto]]</f>
        <v>987500.08129948366</v>
      </c>
      <c r="M62" s="34">
        <f>'Verotuloihin perust tasaus'!N67</f>
        <v>2484773.6241630623</v>
      </c>
      <c r="N62" s="303">
        <f>SUM(Yhteenveto[[#This Row],[Valtionosuus ennen verotuloihin perustuvaa valtionosuuden tasausta]]+Yhteenveto[[#This Row],[Verotuloihin perustuva valtionosuuden tasaus]])</f>
        <v>3472273.7054625461</v>
      </c>
      <c r="O62" s="241">
        <v>1039996.2107316088</v>
      </c>
      <c r="P62" s="372">
        <f>SUM(Yhteenveto[[#This Row],[Kunnan  peruspalvelujen valtionosuus ]:[Veroperustemuutoksista johtuvien veromenetysten korvaus]])</f>
        <v>4512269.9161941549</v>
      </c>
      <c r="Q62" s="34">
        <v>32520.290289999975</v>
      </c>
      <c r="R62" s="341">
        <f>+Yhteenveto[[#This Row],[Kunnan  peruspalvelujen valtionosuus ]]+Yhteenveto[[#This Row],[Veroperustemuutoksista johtuvien veromenetysten korvaus]]+Yhteenveto[[#This Row],[Kotikuntakorvaus, netto]]</f>
        <v>4544790.2064841548</v>
      </c>
      <c r="S62" s="11"/>
      <c r="T62"/>
    </row>
    <row r="63" spans="1:20" ht="15">
      <c r="A63" s="32">
        <v>179</v>
      </c>
      <c r="B63" s="13" t="s">
        <v>68</v>
      </c>
      <c r="C63" s="15">
        <v>147746</v>
      </c>
      <c r="D63" s="15">
        <f>Ikärakenne[[#This Row],[Laskennalliset kustannukset, IKÄRAKENNE yhteensä, €]]</f>
        <v>212846895.87</v>
      </c>
      <c r="E63" s="15">
        <f>'Lask. kustannukset MUUT'!AD69</f>
        <v>44992245.021635599</v>
      </c>
      <c r="F63" s="231">
        <f>Yhteenveto[[#This Row],[Ikärakenne, laskennallinen kustannus]]+Yhteenveto[[#This Row],[Muut laskennalliset kustannukset ]]</f>
        <v>257839140.8916356</v>
      </c>
      <c r="G63" s="498">
        <v>1422.47</v>
      </c>
      <c r="H63" s="17">
        <v>210164252.62</v>
      </c>
      <c r="I63" s="339">
        <f>Yhteenveto[[#This Row],[Laskennalliset kustannukset yhteensä]]-Yhteenveto[[#This Row],[Omarahoitusosuus, €]]</f>
        <v>47674888.271635592</v>
      </c>
      <c r="J63" s="33">
        <v>6814174.9413668001</v>
      </c>
      <c r="K63" s="34">
        <f>'Muut lis_väh'!O61</f>
        <v>-33706533.240553223</v>
      </c>
      <c r="L63" s="231">
        <f>Yhteenveto[[#This Row],[Valtionosuus omarahoitusosuuden jälkeen (välisumma)]]+Yhteenveto[[#This Row],[Lisäosat yhteensä]]+Yhteenveto[[#This Row],[Valtionosuuteen tehtävät vähennykset ja lisäykset, netto]]</f>
        <v>20782529.972449169</v>
      </c>
      <c r="M63" s="34">
        <f>'Verotuloihin perust tasaus'!N68</f>
        <v>35678278.040327311</v>
      </c>
      <c r="N63" s="303">
        <f>SUM(Yhteenveto[[#This Row],[Valtionosuus ennen verotuloihin perustuvaa valtionosuuden tasausta]]+Yhteenveto[[#This Row],[Verotuloihin perustuva valtionosuuden tasaus]])</f>
        <v>56460808.012776479</v>
      </c>
      <c r="O63" s="241">
        <v>12474196.504651826</v>
      </c>
      <c r="P63" s="372">
        <f>SUM(Yhteenveto[[#This Row],[Kunnan  peruspalvelujen valtionosuus ]:[Veroperustemuutoksista johtuvien veromenetysten korvaus]])</f>
        <v>68935004.517428309</v>
      </c>
      <c r="Q63" s="34">
        <v>-11336385.950850001</v>
      </c>
      <c r="R63" s="341">
        <f>+Yhteenveto[[#This Row],[Kunnan  peruspalvelujen valtionosuus ]]+Yhteenveto[[#This Row],[Veroperustemuutoksista johtuvien veromenetysten korvaus]]+Yhteenveto[[#This Row],[Kotikuntakorvaus, netto]]</f>
        <v>57598618.566578306</v>
      </c>
      <c r="S63" s="11"/>
      <c r="T63"/>
    </row>
    <row r="64" spans="1:20" ht="15">
      <c r="A64" s="32">
        <v>181</v>
      </c>
      <c r="B64" s="13" t="s">
        <v>69</v>
      </c>
      <c r="C64" s="15">
        <v>1682</v>
      </c>
      <c r="D64" s="15">
        <f>Ikärakenne[[#This Row],[Laskennalliset kustannukset, IKÄRAKENNE yhteensä, €]]</f>
        <v>2423997.0700000003</v>
      </c>
      <c r="E64" s="15">
        <f>'Lask. kustannukset MUUT'!AD70</f>
        <v>443756.78174384864</v>
      </c>
      <c r="F64" s="231">
        <f>Yhteenveto[[#This Row],[Ikärakenne, laskennallinen kustannus]]+Yhteenveto[[#This Row],[Muut laskennalliset kustannukset ]]</f>
        <v>2867753.851743849</v>
      </c>
      <c r="G64" s="498">
        <v>1422.47</v>
      </c>
      <c r="H64" s="17">
        <v>2392594.54</v>
      </c>
      <c r="I64" s="339">
        <f>Yhteenveto[[#This Row],[Laskennalliset kustannukset yhteensä]]-Yhteenveto[[#This Row],[Omarahoitusosuus, €]]</f>
        <v>475159.31174384896</v>
      </c>
      <c r="J64" s="33">
        <v>89998.507882289618</v>
      </c>
      <c r="K64" s="34">
        <f>'Muut lis_väh'!O62</f>
        <v>516657.98825739516</v>
      </c>
      <c r="L64" s="231">
        <f>Yhteenveto[[#This Row],[Valtionosuus omarahoitusosuuden jälkeen (välisumma)]]+Yhteenveto[[#This Row],[Lisäosat yhteensä]]+Yhteenveto[[#This Row],[Valtionosuuteen tehtävät vähennykset ja lisäykset, netto]]</f>
        <v>1081815.8078835336</v>
      </c>
      <c r="M64" s="34">
        <f>'Verotuloihin perust tasaus'!N69</f>
        <v>958831.59535630525</v>
      </c>
      <c r="N64" s="303">
        <f>SUM(Yhteenveto[[#This Row],[Valtionosuus ennen verotuloihin perustuvaa valtionosuuden tasausta]]+Yhteenveto[[#This Row],[Verotuloihin perustuva valtionosuuden tasaus]])</f>
        <v>2040647.4032398388</v>
      </c>
      <c r="O64" s="241">
        <v>297580.53447451466</v>
      </c>
      <c r="P64" s="372">
        <f>SUM(Yhteenveto[[#This Row],[Kunnan  peruspalvelujen valtionosuus ]:[Veroperustemuutoksista johtuvien veromenetysten korvaus]])</f>
        <v>2338227.9377143532</v>
      </c>
      <c r="Q64" s="34">
        <v>-59262.488000000005</v>
      </c>
      <c r="R64" s="341">
        <f>+Yhteenveto[[#This Row],[Kunnan  peruspalvelujen valtionosuus ]]+Yhteenveto[[#This Row],[Veroperustemuutoksista johtuvien veromenetysten korvaus]]+Yhteenveto[[#This Row],[Kotikuntakorvaus, netto]]</f>
        <v>2278965.4497143533</v>
      </c>
      <c r="S64" s="11"/>
      <c r="T64"/>
    </row>
    <row r="65" spans="1:20" ht="15">
      <c r="A65" s="32">
        <v>182</v>
      </c>
      <c r="B65" s="13" t="s">
        <v>70</v>
      </c>
      <c r="C65" s="15">
        <v>19182</v>
      </c>
      <c r="D65" s="15">
        <f>Ikärakenne[[#This Row],[Laskennalliset kustannukset, IKÄRAKENNE yhteensä, €]]</f>
        <v>23292876.940000001</v>
      </c>
      <c r="E65" s="15">
        <f>'Lask. kustannukset MUUT'!AD71</f>
        <v>5777978.7737647267</v>
      </c>
      <c r="F65" s="231">
        <f>Yhteenveto[[#This Row],[Ikärakenne, laskennallinen kustannus]]+Yhteenveto[[#This Row],[Muut laskennalliset kustannukset ]]</f>
        <v>29070855.713764727</v>
      </c>
      <c r="G65" s="498">
        <v>1422.47</v>
      </c>
      <c r="H65" s="17">
        <v>27285819.539999999</v>
      </c>
      <c r="I65" s="339">
        <f>Yhteenveto[[#This Row],[Laskennalliset kustannukset yhteensä]]-Yhteenveto[[#This Row],[Omarahoitusosuus, €]]</f>
        <v>1785036.173764728</v>
      </c>
      <c r="J65" s="33">
        <v>921369.68092193583</v>
      </c>
      <c r="K65" s="34">
        <f>'Muut lis_väh'!O63</f>
        <v>-2447483.3138388735</v>
      </c>
      <c r="L65" s="231">
        <f>Yhteenveto[[#This Row],[Valtionosuus omarahoitusosuuden jälkeen (välisumma)]]+Yhteenveto[[#This Row],[Lisäosat yhteensä]]+Yhteenveto[[#This Row],[Valtionosuuteen tehtävät vähennykset ja lisäykset, netto]]</f>
        <v>258922.54084779043</v>
      </c>
      <c r="M65" s="34">
        <f>'Verotuloihin perust tasaus'!N70</f>
        <v>3039612.5042206044</v>
      </c>
      <c r="N65" s="303">
        <f>SUM(Yhteenveto[[#This Row],[Valtionosuus ennen verotuloihin perustuvaa valtionosuuden tasausta]]+Yhteenveto[[#This Row],[Verotuloihin perustuva valtionosuuden tasaus]])</f>
        <v>3298535.0450683949</v>
      </c>
      <c r="O65" s="241">
        <v>1997713.3010734983</v>
      </c>
      <c r="P65" s="372">
        <f>SUM(Yhteenveto[[#This Row],[Kunnan  peruspalvelujen valtionosuus ]:[Veroperustemuutoksista johtuvien veromenetysten korvaus]])</f>
        <v>5296248.3461418934</v>
      </c>
      <c r="Q65" s="34">
        <v>-84983.353469999915</v>
      </c>
      <c r="R65" s="341">
        <f>+Yhteenveto[[#This Row],[Kunnan  peruspalvelujen valtionosuus ]]+Yhteenveto[[#This Row],[Veroperustemuutoksista johtuvien veromenetysten korvaus]]+Yhteenveto[[#This Row],[Kotikuntakorvaus, netto]]</f>
        <v>5211264.9926718939</v>
      </c>
      <c r="S65" s="11"/>
      <c r="T65"/>
    </row>
    <row r="66" spans="1:20" ht="15">
      <c r="A66" s="32">
        <v>186</v>
      </c>
      <c r="B66" s="13" t="s">
        <v>71</v>
      </c>
      <c r="C66" s="15">
        <v>46490</v>
      </c>
      <c r="D66" s="15">
        <f>Ikärakenne[[#This Row],[Laskennalliset kustannukset, IKÄRAKENNE yhteensä, €]]</f>
        <v>75621575.169999987</v>
      </c>
      <c r="E66" s="15">
        <f>'Lask. kustannukset MUUT'!AD72</f>
        <v>13943487.739503184</v>
      </c>
      <c r="F66" s="231">
        <f>Yhteenveto[[#This Row],[Ikärakenne, laskennallinen kustannus]]+Yhteenveto[[#This Row],[Muut laskennalliset kustannukset ]]</f>
        <v>89565062.909503177</v>
      </c>
      <c r="G66" s="498">
        <v>1422.47</v>
      </c>
      <c r="H66" s="17">
        <v>66130630.300000004</v>
      </c>
      <c r="I66" s="339">
        <f>Yhteenveto[[#This Row],[Laskennalliset kustannukset yhteensä]]-Yhteenveto[[#This Row],[Omarahoitusosuus, €]]</f>
        <v>23434432.609503172</v>
      </c>
      <c r="J66" s="33">
        <v>2091801.4809837695</v>
      </c>
      <c r="K66" s="34">
        <f>'Muut lis_väh'!O64</f>
        <v>-13109863.334925437</v>
      </c>
      <c r="L66" s="231">
        <f>Yhteenveto[[#This Row],[Valtionosuus omarahoitusosuuden jälkeen (välisumma)]]+Yhteenveto[[#This Row],[Lisäosat yhteensä]]+Yhteenveto[[#This Row],[Valtionosuuteen tehtävät vähennykset ja lisäykset, netto]]</f>
        <v>12416370.755561506</v>
      </c>
      <c r="M66" s="34">
        <f>'Verotuloihin perust tasaus'!N71</f>
        <v>377914.9509465319</v>
      </c>
      <c r="N66" s="303">
        <f>SUM(Yhteenveto[[#This Row],[Valtionosuus ennen verotuloihin perustuvaa valtionosuuden tasausta]]+Yhteenveto[[#This Row],[Verotuloihin perustuva valtionosuuden tasaus]])</f>
        <v>12794285.706508039</v>
      </c>
      <c r="O66" s="241">
        <v>2790868.7919819523</v>
      </c>
      <c r="P66" s="372">
        <f>SUM(Yhteenveto[[#This Row],[Kunnan  peruspalvelujen valtionosuus ]:[Veroperustemuutoksista johtuvien veromenetysten korvaus]])</f>
        <v>15585154.498489991</v>
      </c>
      <c r="Q66" s="34">
        <v>-3024062.3141899994</v>
      </c>
      <c r="R66" s="341">
        <f>+Yhteenveto[[#This Row],[Kunnan  peruspalvelujen valtionosuus ]]+Yhteenveto[[#This Row],[Veroperustemuutoksista johtuvien veromenetysten korvaus]]+Yhteenveto[[#This Row],[Kotikuntakorvaus, netto]]</f>
        <v>12561092.184299991</v>
      </c>
      <c r="S66" s="11"/>
      <c r="T66"/>
    </row>
    <row r="67" spans="1:20" ht="15">
      <c r="A67" s="32">
        <v>202</v>
      </c>
      <c r="B67" s="13" t="s">
        <v>72</v>
      </c>
      <c r="C67" s="15">
        <v>36339</v>
      </c>
      <c r="D67" s="15">
        <f>Ikärakenne[[#This Row],[Laskennalliset kustannukset, IKÄRAKENNE yhteensä, €]]</f>
        <v>65588185.670000002</v>
      </c>
      <c r="E67" s="15">
        <f>'Lask. kustannukset MUUT'!AD73</f>
        <v>7581275.7633914091</v>
      </c>
      <c r="F67" s="231">
        <f>Yhteenveto[[#This Row],[Ikärakenne, laskennallinen kustannus]]+Yhteenveto[[#This Row],[Muut laskennalliset kustannukset ]]</f>
        <v>73169461.433391407</v>
      </c>
      <c r="G67" s="498">
        <v>1422.47</v>
      </c>
      <c r="H67" s="17">
        <v>51691137.329999998</v>
      </c>
      <c r="I67" s="339">
        <f>Yhteenveto[[#This Row],[Laskennalliset kustannukset yhteensä]]-Yhteenveto[[#This Row],[Omarahoitusosuus, €]]</f>
        <v>21478324.103391409</v>
      </c>
      <c r="J67" s="33">
        <v>1619568.4858761211</v>
      </c>
      <c r="K67" s="34">
        <f>'Muut lis_väh'!O65</f>
        <v>4988804.552942954</v>
      </c>
      <c r="L67" s="231">
        <f>Yhteenveto[[#This Row],[Valtionosuus omarahoitusosuuden jälkeen (välisumma)]]+Yhteenveto[[#This Row],[Lisäosat yhteensä]]+Yhteenveto[[#This Row],[Valtionosuuteen tehtävät vähennykset ja lisäykset, netto]]</f>
        <v>28086697.142210484</v>
      </c>
      <c r="M67" s="34">
        <f>'Verotuloihin perust tasaus'!N72</f>
        <v>117382.73574579714</v>
      </c>
      <c r="N67" s="303">
        <f>SUM(Yhteenveto[[#This Row],[Valtionosuus ennen verotuloihin perustuvaa valtionosuuden tasausta]]+Yhteenveto[[#This Row],[Verotuloihin perustuva valtionosuuden tasaus]])</f>
        <v>28204079.877956282</v>
      </c>
      <c r="O67" s="241">
        <v>1714766.632498268</v>
      </c>
      <c r="P67" s="372">
        <f>SUM(Yhteenveto[[#This Row],[Kunnan  peruspalvelujen valtionosuus ]:[Veroperustemuutoksista johtuvien veromenetysten korvaus]])</f>
        <v>29918846.51045455</v>
      </c>
      <c r="Q67" s="34">
        <v>-2904457.6891400013</v>
      </c>
      <c r="R67" s="341">
        <f>+Yhteenveto[[#This Row],[Kunnan  peruspalvelujen valtionosuus ]]+Yhteenveto[[#This Row],[Veroperustemuutoksista johtuvien veromenetysten korvaus]]+Yhteenveto[[#This Row],[Kotikuntakorvaus, netto]]</f>
        <v>27014388.821314551</v>
      </c>
      <c r="S67" s="11"/>
      <c r="T67"/>
    </row>
    <row r="68" spans="1:20" ht="15">
      <c r="A68" s="32">
        <v>204</v>
      </c>
      <c r="B68" s="13" t="s">
        <v>73</v>
      </c>
      <c r="C68" s="15">
        <v>2628</v>
      </c>
      <c r="D68" s="15">
        <f>Ikärakenne[[#This Row],[Laskennalliset kustannukset, IKÄRAKENNE yhteensä, €]]</f>
        <v>2755270.14</v>
      </c>
      <c r="E68" s="15">
        <f>'Lask. kustannukset MUUT'!AD74</f>
        <v>1070626.6579491445</v>
      </c>
      <c r="F68" s="231">
        <f>Yhteenveto[[#This Row],[Ikärakenne, laskennallinen kustannus]]+Yhteenveto[[#This Row],[Muut laskennalliset kustannukset ]]</f>
        <v>3825896.7979491446</v>
      </c>
      <c r="G68" s="498">
        <v>1422.47</v>
      </c>
      <c r="H68" s="17">
        <v>3738251.16</v>
      </c>
      <c r="I68" s="339">
        <f>Yhteenveto[[#This Row],[Laskennalliset kustannukset yhteensä]]-Yhteenveto[[#This Row],[Omarahoitusosuus, €]]</f>
        <v>87645.637949144468</v>
      </c>
      <c r="J68" s="33">
        <v>376373.17425342352</v>
      </c>
      <c r="K68" s="34">
        <f>'Muut lis_väh'!O66</f>
        <v>-1892598.3239405418</v>
      </c>
      <c r="L68" s="231">
        <f>Yhteenveto[[#This Row],[Valtionosuus omarahoitusosuuden jälkeen (välisumma)]]+Yhteenveto[[#This Row],[Lisäosat yhteensä]]+Yhteenveto[[#This Row],[Valtionosuuteen tehtävät vähennykset ja lisäykset, netto]]</f>
        <v>-1428579.5117379739</v>
      </c>
      <c r="M68" s="34">
        <f>'Verotuloihin perust tasaus'!N73</f>
        <v>1164629.2335547213</v>
      </c>
      <c r="N68" s="303">
        <f>SUM(Yhteenveto[[#This Row],[Valtionosuus ennen verotuloihin perustuvaa valtionosuuden tasausta]]+Yhteenveto[[#This Row],[Verotuloihin perustuva valtionosuuden tasaus]])</f>
        <v>-263950.27818325255</v>
      </c>
      <c r="O68" s="241">
        <v>449533.2811149247</v>
      </c>
      <c r="P68" s="372">
        <f>SUM(Yhteenveto[[#This Row],[Kunnan  peruspalvelujen valtionosuus ]:[Veroperustemuutoksista johtuvien veromenetysten korvaus]])</f>
        <v>185583.00293167215</v>
      </c>
      <c r="Q68" s="34">
        <v>-785302.04411000002</v>
      </c>
      <c r="R68" s="341">
        <f>+Yhteenveto[[#This Row],[Kunnan  peruspalvelujen valtionosuus ]]+Yhteenveto[[#This Row],[Veroperustemuutoksista johtuvien veromenetysten korvaus]]+Yhteenveto[[#This Row],[Kotikuntakorvaus, netto]]</f>
        <v>-599719.04117832787</v>
      </c>
      <c r="S68" s="11"/>
      <c r="T68"/>
    </row>
    <row r="69" spans="1:20" ht="15">
      <c r="A69" s="32">
        <v>205</v>
      </c>
      <c r="B69" s="13" t="s">
        <v>74</v>
      </c>
      <c r="C69" s="15">
        <v>36513</v>
      </c>
      <c r="D69" s="15">
        <f>Ikärakenne[[#This Row],[Laskennalliset kustannukset, IKÄRAKENNE yhteensä, €]]</f>
        <v>55355173.039999999</v>
      </c>
      <c r="E69" s="15">
        <f>'Lask. kustannukset MUUT'!AD75</f>
        <v>10932062.999746656</v>
      </c>
      <c r="F69" s="231">
        <f>Yhteenveto[[#This Row],[Ikärakenne, laskennallinen kustannus]]+Yhteenveto[[#This Row],[Muut laskennalliset kustannukset ]]</f>
        <v>66287236.039746657</v>
      </c>
      <c r="G69" s="498">
        <v>1422.47</v>
      </c>
      <c r="H69" s="17">
        <v>51938647.109999999</v>
      </c>
      <c r="I69" s="339">
        <f>Yhteenveto[[#This Row],[Laskennalliset kustannukset yhteensä]]-Yhteenveto[[#This Row],[Omarahoitusosuus, €]]</f>
        <v>14348588.929746658</v>
      </c>
      <c r="J69" s="33">
        <v>1633363.2176973547</v>
      </c>
      <c r="K69" s="34">
        <f>'Muut lis_väh'!O67</f>
        <v>-9841486.2576480675</v>
      </c>
      <c r="L69" s="231">
        <f>Yhteenveto[[#This Row],[Valtionosuus omarahoitusosuuden jälkeen (välisumma)]]+Yhteenveto[[#This Row],[Lisäosat yhteensä]]+Yhteenveto[[#This Row],[Valtionosuuteen tehtävät vähennykset ja lisäykset, netto]]</f>
        <v>6140465.8897959441</v>
      </c>
      <c r="M69" s="34">
        <f>'Verotuloihin perust tasaus'!N74</f>
        <v>12650258.97627263</v>
      </c>
      <c r="N69" s="303">
        <f>SUM(Yhteenveto[[#This Row],[Valtionosuus ennen verotuloihin perustuvaa valtionosuuden tasausta]]+Yhteenveto[[#This Row],[Verotuloihin perustuva valtionosuuden tasaus]])</f>
        <v>18790724.866068572</v>
      </c>
      <c r="O69" s="241">
        <v>3293957.0640806407</v>
      </c>
      <c r="P69" s="372">
        <f>SUM(Yhteenveto[[#This Row],[Kunnan  peruspalvelujen valtionosuus ]:[Veroperustemuutoksista johtuvien veromenetysten korvaus]])</f>
        <v>22084681.930149212</v>
      </c>
      <c r="Q69" s="34">
        <v>-216234.00309000001</v>
      </c>
      <c r="R69" s="341">
        <f>+Yhteenveto[[#This Row],[Kunnan  peruspalvelujen valtionosuus ]]+Yhteenveto[[#This Row],[Veroperustemuutoksista johtuvien veromenetysten korvaus]]+Yhteenveto[[#This Row],[Kotikuntakorvaus, netto]]</f>
        <v>21868447.927059211</v>
      </c>
      <c r="S69" s="11"/>
      <c r="T69"/>
    </row>
    <row r="70" spans="1:20" ht="15">
      <c r="A70" s="32">
        <v>208</v>
      </c>
      <c r="B70" s="13" t="s">
        <v>75</v>
      </c>
      <c r="C70" s="15">
        <v>12372</v>
      </c>
      <c r="D70" s="15">
        <f>Ikärakenne[[#This Row],[Laskennalliset kustannukset, IKÄRAKENNE yhteensä, €]]</f>
        <v>21228135.309999999</v>
      </c>
      <c r="E70" s="15">
        <f>'Lask. kustannukset MUUT'!AD76</f>
        <v>2962654.7054147096</v>
      </c>
      <c r="F70" s="231">
        <f>Yhteenveto[[#This Row],[Ikärakenne, laskennallinen kustannus]]+Yhteenveto[[#This Row],[Muut laskennalliset kustannukset ]]</f>
        <v>24190790.015414707</v>
      </c>
      <c r="G70" s="498">
        <v>1422.47</v>
      </c>
      <c r="H70" s="17">
        <v>17598798.84</v>
      </c>
      <c r="I70" s="339">
        <f>Yhteenveto[[#This Row],[Laskennalliset kustannukset yhteensä]]-Yhteenveto[[#This Row],[Omarahoitusosuus, €]]</f>
        <v>6591991.1754147075</v>
      </c>
      <c r="J70" s="33">
        <v>778550.68424176332</v>
      </c>
      <c r="K70" s="34">
        <f>'Muut lis_väh'!O68</f>
        <v>218409.27602848428</v>
      </c>
      <c r="L70" s="231">
        <f>Yhteenveto[[#This Row],[Valtionosuus omarahoitusosuuden jälkeen (välisumma)]]+Yhteenveto[[#This Row],[Lisäosat yhteensä]]+Yhteenveto[[#This Row],[Valtionosuuteen tehtävät vähennykset ja lisäykset, netto]]</f>
        <v>7588951.1356849549</v>
      </c>
      <c r="M70" s="34">
        <f>'Verotuloihin perust tasaus'!N75</f>
        <v>5163308.8587161554</v>
      </c>
      <c r="N70" s="303">
        <f>SUM(Yhteenveto[[#This Row],[Valtionosuus ennen verotuloihin perustuvaa valtionosuuden tasausta]]+Yhteenveto[[#This Row],[Verotuloihin perustuva valtionosuuden tasaus]])</f>
        <v>12752259.99440111</v>
      </c>
      <c r="O70" s="241">
        <v>1646294.2613879489</v>
      </c>
      <c r="P70" s="372">
        <f>SUM(Yhteenveto[[#This Row],[Kunnan  peruspalvelujen valtionosuus ]:[Veroperustemuutoksista johtuvien veromenetysten korvaus]])</f>
        <v>14398554.25578906</v>
      </c>
      <c r="Q70" s="34">
        <v>36356.590709999989</v>
      </c>
      <c r="R70" s="341">
        <f>+Yhteenveto[[#This Row],[Kunnan  peruspalvelujen valtionosuus ]]+Yhteenveto[[#This Row],[Veroperustemuutoksista johtuvien veromenetysten korvaus]]+Yhteenveto[[#This Row],[Kotikuntakorvaus, netto]]</f>
        <v>14434910.846499059</v>
      </c>
      <c r="S70" s="11"/>
      <c r="T70"/>
    </row>
    <row r="71" spans="1:20" ht="15">
      <c r="A71" s="32">
        <v>211</v>
      </c>
      <c r="B71" s="13" t="s">
        <v>76</v>
      </c>
      <c r="C71" s="15">
        <v>33473</v>
      </c>
      <c r="D71" s="15">
        <f>Ikärakenne[[#This Row],[Laskennalliset kustannukset, IKÄRAKENNE yhteensä, €]]</f>
        <v>59317607.950000003</v>
      </c>
      <c r="E71" s="15">
        <f>'Lask. kustannukset MUUT'!AD77</f>
        <v>5824237.6036391882</v>
      </c>
      <c r="F71" s="231">
        <f>Yhteenveto[[#This Row],[Ikärakenne, laskennallinen kustannus]]+Yhteenveto[[#This Row],[Muut laskennalliset kustannukset ]]</f>
        <v>65141845.553639188</v>
      </c>
      <c r="G71" s="498">
        <v>1422.47</v>
      </c>
      <c r="H71" s="17">
        <v>47614338.310000002</v>
      </c>
      <c r="I71" s="339">
        <f>Yhteenveto[[#This Row],[Laskennalliset kustannukset yhteensä]]-Yhteenveto[[#This Row],[Omarahoitusosuus, €]]</f>
        <v>17527507.243639186</v>
      </c>
      <c r="J71" s="33">
        <v>1384761.8795009847</v>
      </c>
      <c r="K71" s="34">
        <f>'Muut lis_väh'!O69</f>
        <v>-2668704.6760364212</v>
      </c>
      <c r="L71" s="231">
        <f>Yhteenveto[[#This Row],[Valtionosuus omarahoitusosuuden jälkeen (välisumma)]]+Yhteenveto[[#This Row],[Lisäosat yhteensä]]+Yhteenveto[[#This Row],[Valtionosuuteen tehtävät vähennykset ja lisäykset, netto]]</f>
        <v>16243564.44710375</v>
      </c>
      <c r="M71" s="34">
        <f>'Verotuloihin perust tasaus'!N76</f>
        <v>5430195.9786602315</v>
      </c>
      <c r="N71" s="303">
        <f>SUM(Yhteenveto[[#This Row],[Valtionosuus ennen verotuloihin perustuvaa valtionosuuden tasausta]]+Yhteenveto[[#This Row],[Verotuloihin perustuva valtionosuuden tasaus]])</f>
        <v>21673760.42576398</v>
      </c>
      <c r="O71" s="241">
        <v>1815844.283180587</v>
      </c>
      <c r="P71" s="372">
        <f>SUM(Yhteenveto[[#This Row],[Kunnan  peruspalvelujen valtionosuus ]:[Veroperustemuutoksista johtuvien veromenetysten korvaus]])</f>
        <v>23489604.708944567</v>
      </c>
      <c r="Q71" s="34">
        <v>-1117586.4991000001</v>
      </c>
      <c r="R71" s="341">
        <f>+Yhteenveto[[#This Row],[Kunnan  peruspalvelujen valtionosuus ]]+Yhteenveto[[#This Row],[Veroperustemuutoksista johtuvien veromenetysten korvaus]]+Yhteenveto[[#This Row],[Kotikuntakorvaus, netto]]</f>
        <v>22372018.209844567</v>
      </c>
      <c r="S71" s="11"/>
      <c r="T71"/>
    </row>
    <row r="72" spans="1:20" ht="15">
      <c r="A72" s="32">
        <v>213</v>
      </c>
      <c r="B72" s="13" t="s">
        <v>77</v>
      </c>
      <c r="C72" s="15">
        <v>5114</v>
      </c>
      <c r="D72" s="15">
        <f>Ikärakenne[[#This Row],[Laskennalliset kustannukset, IKÄRAKENNE yhteensä, €]]</f>
        <v>5760246.4000000004</v>
      </c>
      <c r="E72" s="15">
        <f>'Lask. kustannukset MUUT'!AD78</f>
        <v>1771603.9558921556</v>
      </c>
      <c r="F72" s="231">
        <f>Yhteenveto[[#This Row],[Ikärakenne, laskennallinen kustannus]]+Yhteenveto[[#This Row],[Muut laskennalliset kustannukset ]]</f>
        <v>7531850.3558921563</v>
      </c>
      <c r="G72" s="498">
        <v>1422.47</v>
      </c>
      <c r="H72" s="17">
        <v>7274511.5800000001</v>
      </c>
      <c r="I72" s="339">
        <f>Yhteenveto[[#This Row],[Laskennalliset kustannukset yhteensä]]-Yhteenveto[[#This Row],[Omarahoitusosuus, €]]</f>
        <v>257338.77589215618</v>
      </c>
      <c r="J72" s="33">
        <v>647351.2302802034</v>
      </c>
      <c r="K72" s="34">
        <f>'Muut lis_väh'!O70</f>
        <v>-626969.76924791734</v>
      </c>
      <c r="L72" s="231">
        <f>Yhteenveto[[#This Row],[Valtionosuus omarahoitusosuuden jälkeen (välisumma)]]+Yhteenveto[[#This Row],[Lisäosat yhteensä]]+Yhteenveto[[#This Row],[Valtionosuuteen tehtävät vähennykset ja lisäykset, netto]]</f>
        <v>277720.23692444223</v>
      </c>
      <c r="M72" s="34">
        <f>'Verotuloihin perust tasaus'!N77</f>
        <v>1525456.7693117168</v>
      </c>
      <c r="N72" s="303">
        <f>SUM(Yhteenveto[[#This Row],[Valtionosuus ennen verotuloihin perustuvaa valtionosuuden tasausta]]+Yhteenveto[[#This Row],[Verotuloihin perustuva valtionosuuden tasaus]])</f>
        <v>1803177.006236159</v>
      </c>
      <c r="O72" s="241">
        <v>798048.22597768996</v>
      </c>
      <c r="P72" s="372">
        <f>SUM(Yhteenveto[[#This Row],[Kunnan  peruspalvelujen valtionosuus ]:[Veroperustemuutoksista johtuvien veromenetysten korvaus]])</f>
        <v>2601225.2322138492</v>
      </c>
      <c r="Q72" s="34">
        <v>-80078.436909999989</v>
      </c>
      <c r="R72" s="341">
        <f>+Yhteenveto[[#This Row],[Kunnan  peruspalvelujen valtionosuus ]]+Yhteenveto[[#This Row],[Veroperustemuutoksista johtuvien veromenetysten korvaus]]+Yhteenveto[[#This Row],[Kotikuntakorvaus, netto]]</f>
        <v>2521146.795303849</v>
      </c>
      <c r="S72" s="11"/>
      <c r="T72"/>
    </row>
    <row r="73" spans="1:20" ht="15">
      <c r="A73" s="32">
        <v>214</v>
      </c>
      <c r="B73" s="13" t="s">
        <v>78</v>
      </c>
      <c r="C73" s="15">
        <v>12394</v>
      </c>
      <c r="D73" s="15">
        <f>Ikärakenne[[#This Row],[Laskennalliset kustannukset, IKÄRAKENNE yhteensä, €]]</f>
        <v>17116323.289999999</v>
      </c>
      <c r="E73" s="15">
        <f>'Lask. kustannukset MUUT'!AD79</f>
        <v>3787500.3677690662</v>
      </c>
      <c r="F73" s="231">
        <f>Yhteenveto[[#This Row],[Ikärakenne, laskennallinen kustannus]]+Yhteenveto[[#This Row],[Muut laskennalliset kustannukset ]]</f>
        <v>20903823.657769065</v>
      </c>
      <c r="G73" s="498">
        <v>1422.47</v>
      </c>
      <c r="H73" s="17">
        <v>17630093.18</v>
      </c>
      <c r="I73" s="339">
        <f>Yhteenveto[[#This Row],[Laskennalliset kustannukset yhteensä]]-Yhteenveto[[#This Row],[Omarahoitusosuus, €]]</f>
        <v>3273730.4777690656</v>
      </c>
      <c r="J73" s="33">
        <v>669563.50594744086</v>
      </c>
      <c r="K73" s="34">
        <f>'Muut lis_väh'!O71</f>
        <v>-529287.06519041827</v>
      </c>
      <c r="L73" s="231">
        <f>Yhteenveto[[#This Row],[Valtionosuus omarahoitusosuuden jälkeen (välisumma)]]+Yhteenveto[[#This Row],[Lisäosat yhteensä]]+Yhteenveto[[#This Row],[Valtionosuuteen tehtävät vähennykset ja lisäykset, netto]]</f>
        <v>3414006.9185260884</v>
      </c>
      <c r="M73" s="34">
        <f>'Verotuloihin perust tasaus'!N78</f>
        <v>5080038.9806861263</v>
      </c>
      <c r="N73" s="303">
        <f>SUM(Yhteenveto[[#This Row],[Valtionosuus ennen verotuloihin perustuvaa valtionosuuden tasausta]]+Yhteenveto[[#This Row],[Verotuloihin perustuva valtionosuuden tasaus]])</f>
        <v>8494045.8992122151</v>
      </c>
      <c r="O73" s="241">
        <v>1798950.5520576923</v>
      </c>
      <c r="P73" s="372">
        <f>SUM(Yhteenveto[[#This Row],[Kunnan  peruspalvelujen valtionosuus ]:[Veroperustemuutoksista johtuvien veromenetysten korvaus]])</f>
        <v>10292996.451269908</v>
      </c>
      <c r="Q73" s="34">
        <v>305720.35996999993</v>
      </c>
      <c r="R73" s="341">
        <f>+Yhteenveto[[#This Row],[Kunnan  peruspalvelujen valtionosuus ]]+Yhteenveto[[#This Row],[Veroperustemuutoksista johtuvien veromenetysten korvaus]]+Yhteenveto[[#This Row],[Kotikuntakorvaus, netto]]</f>
        <v>10598716.811239908</v>
      </c>
      <c r="S73" s="11"/>
      <c r="T73"/>
    </row>
    <row r="74" spans="1:20" ht="15">
      <c r="A74" s="32">
        <v>216</v>
      </c>
      <c r="B74" s="13" t="s">
        <v>79</v>
      </c>
      <c r="C74" s="15">
        <v>1217</v>
      </c>
      <c r="D74" s="15">
        <f>Ikärakenne[[#This Row],[Laskennalliset kustannukset, IKÄRAKENNE yhteensä, €]]</f>
        <v>1470062.5799999998</v>
      </c>
      <c r="E74" s="15">
        <f>'Lask. kustannukset MUUT'!AD80</f>
        <v>584599.26736769767</v>
      </c>
      <c r="F74" s="231">
        <f>Yhteenveto[[#This Row],[Ikärakenne, laskennallinen kustannus]]+Yhteenveto[[#This Row],[Muut laskennalliset kustannukset ]]</f>
        <v>2054661.8473676974</v>
      </c>
      <c r="G74" s="498">
        <v>1422.47</v>
      </c>
      <c r="H74" s="17">
        <v>1731145.99</v>
      </c>
      <c r="I74" s="339">
        <f>Yhteenveto[[#This Row],[Laskennalliset kustannukset yhteensä]]-Yhteenveto[[#This Row],[Omarahoitusosuus, €]]</f>
        <v>323515.8573676974</v>
      </c>
      <c r="J74" s="33">
        <v>396719.18473615905</v>
      </c>
      <c r="K74" s="34">
        <f>'Muut lis_väh'!O72</f>
        <v>61148.436498623065</v>
      </c>
      <c r="L74" s="231">
        <f>Yhteenveto[[#This Row],[Valtionosuus omarahoitusosuuden jälkeen (välisumma)]]+Yhteenveto[[#This Row],[Lisäosat yhteensä]]+Yhteenveto[[#This Row],[Valtionosuuteen tehtävät vähennykset ja lisäykset, netto]]</f>
        <v>781383.47860247956</v>
      </c>
      <c r="M74" s="34">
        <f>'Verotuloihin perust tasaus'!N79</f>
        <v>532673.31780518719</v>
      </c>
      <c r="N74" s="303">
        <f>SUM(Yhteenveto[[#This Row],[Valtionosuus ennen verotuloihin perustuvaa valtionosuuden tasausta]]+Yhteenveto[[#This Row],[Verotuloihin perustuva valtionosuuden tasaus]])</f>
        <v>1314056.7964076668</v>
      </c>
      <c r="O74" s="241">
        <v>229623.37679993192</v>
      </c>
      <c r="P74" s="372">
        <f>SUM(Yhteenveto[[#This Row],[Kunnan  peruspalvelujen valtionosuus ]:[Veroperustemuutoksista johtuvien veromenetysten korvaus]])</f>
        <v>1543680.1732075987</v>
      </c>
      <c r="Q74" s="34">
        <v>34075.9306</v>
      </c>
      <c r="R74" s="341">
        <f>+Yhteenveto[[#This Row],[Kunnan  peruspalvelujen valtionosuus ]]+Yhteenveto[[#This Row],[Veroperustemuutoksista johtuvien veromenetysten korvaus]]+Yhteenveto[[#This Row],[Kotikuntakorvaus, netto]]</f>
        <v>1577756.1038075988</v>
      </c>
      <c r="S74" s="11"/>
      <c r="T74"/>
    </row>
    <row r="75" spans="1:20" ht="15">
      <c r="A75" s="32">
        <v>217</v>
      </c>
      <c r="B75" s="13" t="s">
        <v>80</v>
      </c>
      <c r="C75" s="15">
        <v>5246</v>
      </c>
      <c r="D75" s="15">
        <f>Ikärakenne[[#This Row],[Laskennalliset kustannukset, IKÄRAKENNE yhteensä, €]]</f>
        <v>9098578.9199999981</v>
      </c>
      <c r="E75" s="15">
        <f>'Lask. kustannukset MUUT'!AD81</f>
        <v>1284398.4804238398</v>
      </c>
      <c r="F75" s="231">
        <f>Yhteenveto[[#This Row],[Ikärakenne, laskennallinen kustannus]]+Yhteenveto[[#This Row],[Muut laskennalliset kustannukset ]]</f>
        <v>10382977.400423838</v>
      </c>
      <c r="G75" s="498">
        <v>1422.47</v>
      </c>
      <c r="H75" s="17">
        <v>7462277.6200000001</v>
      </c>
      <c r="I75" s="339">
        <f>Yhteenveto[[#This Row],[Laskennalliset kustannukset yhteensä]]-Yhteenveto[[#This Row],[Omarahoitusosuus, €]]</f>
        <v>2920699.7804238377</v>
      </c>
      <c r="J75" s="33">
        <v>240571.35380741721</v>
      </c>
      <c r="K75" s="34">
        <f>'Muut lis_väh'!O73</f>
        <v>-1808310.5390926355</v>
      </c>
      <c r="L75" s="231">
        <f>Yhteenveto[[#This Row],[Valtionosuus omarahoitusosuuden jälkeen (välisumma)]]+Yhteenveto[[#This Row],[Lisäosat yhteensä]]+Yhteenveto[[#This Row],[Valtionosuuteen tehtävät vähennykset ja lisäykset, netto]]</f>
        <v>1352960.5951386194</v>
      </c>
      <c r="M75" s="34">
        <f>'Verotuloihin perust tasaus'!N80</f>
        <v>2777954.073431252</v>
      </c>
      <c r="N75" s="303">
        <f>SUM(Yhteenveto[[#This Row],[Valtionosuus ennen verotuloihin perustuvaa valtionosuuden tasausta]]+Yhteenveto[[#This Row],[Verotuloihin perustuva valtionosuuden tasaus]])</f>
        <v>4130914.6685698712</v>
      </c>
      <c r="O75" s="241">
        <v>665322.61978268577</v>
      </c>
      <c r="P75" s="372">
        <f>SUM(Yhteenveto[[#This Row],[Kunnan  peruspalvelujen valtionosuus ]:[Veroperustemuutoksista johtuvien veromenetysten korvaus]])</f>
        <v>4796237.2883525565</v>
      </c>
      <c r="Q75" s="34">
        <v>-26594.041490000003</v>
      </c>
      <c r="R75" s="341">
        <f>+Yhteenveto[[#This Row],[Kunnan  peruspalvelujen valtionosuus ]]+Yhteenveto[[#This Row],[Veroperustemuutoksista johtuvien veromenetysten korvaus]]+Yhteenveto[[#This Row],[Kotikuntakorvaus, netto]]</f>
        <v>4769643.2468625568</v>
      </c>
      <c r="S75" s="11"/>
      <c r="T75"/>
    </row>
    <row r="76" spans="1:20" ht="15">
      <c r="A76" s="32">
        <v>218</v>
      </c>
      <c r="B76" s="13" t="s">
        <v>81</v>
      </c>
      <c r="C76" s="15">
        <v>1188</v>
      </c>
      <c r="D76" s="15">
        <f>Ikärakenne[[#This Row],[Laskennalliset kustannukset, IKÄRAKENNE yhteensä, €]]</f>
        <v>1361050.4700000002</v>
      </c>
      <c r="E76" s="15">
        <f>'Lask. kustannukset MUUT'!AD82</f>
        <v>320619.1293586141</v>
      </c>
      <c r="F76" s="231">
        <f>Yhteenveto[[#This Row],[Ikärakenne, laskennallinen kustannus]]+Yhteenveto[[#This Row],[Muut laskennalliset kustannukset ]]</f>
        <v>1681669.5993586143</v>
      </c>
      <c r="G76" s="498">
        <v>1422.47</v>
      </c>
      <c r="H76" s="17">
        <v>1689894.36</v>
      </c>
      <c r="I76" s="339">
        <f>Yhteenveto[[#This Row],[Laskennalliset kustannukset yhteensä]]-Yhteenveto[[#This Row],[Omarahoitusosuus, €]]</f>
        <v>-8224.7606413858011</v>
      </c>
      <c r="J76" s="33">
        <v>74082.078523805569</v>
      </c>
      <c r="K76" s="34">
        <f>'Muut lis_väh'!O74</f>
        <v>389852.15853843611</v>
      </c>
      <c r="L76" s="231">
        <f>Yhteenveto[[#This Row],[Valtionosuus omarahoitusosuuden jälkeen (välisumma)]]+Yhteenveto[[#This Row],[Lisäosat yhteensä]]+Yhteenveto[[#This Row],[Valtionosuuteen tehtävät vähennykset ja lisäykset, netto]]</f>
        <v>455709.47642085585</v>
      </c>
      <c r="M76" s="34">
        <f>'Verotuloihin perust tasaus'!N81</f>
        <v>718730.79100878967</v>
      </c>
      <c r="N76" s="303">
        <f>SUM(Yhteenveto[[#This Row],[Valtionosuus ennen verotuloihin perustuvaa valtionosuuden tasausta]]+Yhteenveto[[#This Row],[Verotuloihin perustuva valtionosuuden tasaus]])</f>
        <v>1174440.2674296456</v>
      </c>
      <c r="O76" s="241">
        <v>250718.55375674641</v>
      </c>
      <c r="P76" s="372">
        <f>SUM(Yhteenveto[[#This Row],[Kunnan  peruspalvelujen valtionosuus ]:[Veroperustemuutoksista johtuvien veromenetysten korvaus]])</f>
        <v>1425158.8211863921</v>
      </c>
      <c r="Q76" s="34">
        <v>-288830.55088999995</v>
      </c>
      <c r="R76" s="341">
        <f>+Yhteenveto[[#This Row],[Kunnan  peruspalvelujen valtionosuus ]]+Yhteenveto[[#This Row],[Veroperustemuutoksista johtuvien veromenetysten korvaus]]+Yhteenveto[[#This Row],[Kotikuntakorvaus, netto]]</f>
        <v>1136328.270296392</v>
      </c>
      <c r="S76" s="11"/>
      <c r="T76"/>
    </row>
    <row r="77" spans="1:20" ht="15">
      <c r="A77" s="32">
        <v>224</v>
      </c>
      <c r="B77" s="13" t="s">
        <v>82</v>
      </c>
      <c r="C77" s="15">
        <v>8581</v>
      </c>
      <c r="D77" s="15">
        <f>Ikärakenne[[#This Row],[Laskennalliset kustannukset, IKÄRAKENNE yhteensä, €]]</f>
        <v>12383370.369999999</v>
      </c>
      <c r="E77" s="15">
        <f>'Lask. kustannukset MUUT'!AD83</f>
        <v>3084431.0827224092</v>
      </c>
      <c r="F77" s="231">
        <f>Yhteenveto[[#This Row],[Ikärakenne, laskennallinen kustannus]]+Yhteenveto[[#This Row],[Muut laskennalliset kustannukset ]]</f>
        <v>15467801.452722408</v>
      </c>
      <c r="G77" s="498">
        <v>1422.47</v>
      </c>
      <c r="H77" s="17">
        <v>12206215.07</v>
      </c>
      <c r="I77" s="339">
        <f>Yhteenveto[[#This Row],[Laskennalliset kustannukset yhteensä]]-Yhteenveto[[#This Row],[Omarahoitusosuus, €]]</f>
        <v>3261586.3827224076</v>
      </c>
      <c r="J77" s="33">
        <v>226066.5049068419</v>
      </c>
      <c r="K77" s="34">
        <f>'Muut lis_väh'!O75</f>
        <v>-755224.50836592307</v>
      </c>
      <c r="L77" s="231">
        <f>Yhteenveto[[#This Row],[Valtionosuus omarahoitusosuuden jälkeen (välisumma)]]+Yhteenveto[[#This Row],[Lisäosat yhteensä]]+Yhteenveto[[#This Row],[Valtionosuuteen tehtävät vähennykset ja lisäykset, netto]]</f>
        <v>2732428.3792633265</v>
      </c>
      <c r="M77" s="34">
        <f>'Verotuloihin perust tasaus'!N82</f>
        <v>3751145.249187903</v>
      </c>
      <c r="N77" s="303">
        <f>SUM(Yhteenveto[[#This Row],[Valtionosuus ennen verotuloihin perustuvaa valtionosuuden tasausta]]+Yhteenveto[[#This Row],[Verotuloihin perustuva valtionosuuden tasaus]])</f>
        <v>6483573.62845123</v>
      </c>
      <c r="O77" s="241">
        <v>869626.52316402539</v>
      </c>
      <c r="P77" s="372">
        <f>SUM(Yhteenveto[[#This Row],[Kunnan  peruspalvelujen valtionosuus ]:[Veroperustemuutoksista johtuvien veromenetysten korvaus]])</f>
        <v>7353200.1516152555</v>
      </c>
      <c r="Q77" s="34">
        <v>336357.17490999994</v>
      </c>
      <c r="R77" s="341">
        <f>+Yhteenveto[[#This Row],[Kunnan  peruspalvelujen valtionosuus ]]+Yhteenveto[[#This Row],[Veroperustemuutoksista johtuvien veromenetysten korvaus]]+Yhteenveto[[#This Row],[Kotikuntakorvaus, netto]]</f>
        <v>7689557.3265252551</v>
      </c>
      <c r="S77" s="11"/>
      <c r="T77"/>
    </row>
    <row r="78" spans="1:20" ht="15">
      <c r="A78" s="32">
        <v>226</v>
      </c>
      <c r="B78" s="13" t="s">
        <v>83</v>
      </c>
      <c r="C78" s="15">
        <v>3625</v>
      </c>
      <c r="D78" s="15">
        <f>Ikärakenne[[#This Row],[Laskennalliset kustannukset, IKÄRAKENNE yhteensä, €]]</f>
        <v>4203388.75</v>
      </c>
      <c r="E78" s="15">
        <f>'Lask. kustannukset MUUT'!AD84</f>
        <v>1370332.2254427944</v>
      </c>
      <c r="F78" s="231">
        <f>Yhteenveto[[#This Row],[Ikärakenne, laskennallinen kustannus]]+Yhteenveto[[#This Row],[Muut laskennalliset kustannukset ]]</f>
        <v>5573720.9754427942</v>
      </c>
      <c r="G78" s="498">
        <v>1422.47</v>
      </c>
      <c r="H78" s="17">
        <v>5156453.75</v>
      </c>
      <c r="I78" s="339">
        <f>Yhteenveto[[#This Row],[Laskennalliset kustannukset yhteensä]]-Yhteenveto[[#This Row],[Omarahoitusosuus, €]]</f>
        <v>417267.22544279415</v>
      </c>
      <c r="J78" s="33">
        <v>583959.25514604582</v>
      </c>
      <c r="K78" s="34">
        <f>'Muut lis_väh'!O76</f>
        <v>446884.67172477394</v>
      </c>
      <c r="L78" s="231">
        <f>Yhteenveto[[#This Row],[Valtionosuus omarahoitusosuuden jälkeen (välisumma)]]+Yhteenveto[[#This Row],[Lisäosat yhteensä]]+Yhteenveto[[#This Row],[Valtionosuuteen tehtävät vähennykset ja lisäykset, netto]]</f>
        <v>1448111.1523136138</v>
      </c>
      <c r="M78" s="34">
        <f>'Verotuloihin perust tasaus'!N83</f>
        <v>1704697.1281478482</v>
      </c>
      <c r="N78" s="303">
        <f>SUM(Yhteenveto[[#This Row],[Valtionosuus ennen verotuloihin perustuvaa valtionosuuden tasausta]]+Yhteenveto[[#This Row],[Verotuloihin perustuva valtionosuuden tasaus]])</f>
        <v>3152808.2804614622</v>
      </c>
      <c r="O78" s="241">
        <v>586938.56858092395</v>
      </c>
      <c r="P78" s="372">
        <f>SUM(Yhteenveto[[#This Row],[Kunnan  peruspalvelujen valtionosuus ]:[Veroperustemuutoksista johtuvien veromenetysten korvaus]])</f>
        <v>3739746.8490423863</v>
      </c>
      <c r="Q78" s="34">
        <v>47409.990400000002</v>
      </c>
      <c r="R78" s="341">
        <f>+Yhteenveto[[#This Row],[Kunnan  peruspalvelujen valtionosuus ]]+Yhteenveto[[#This Row],[Veroperustemuutoksista johtuvien veromenetysten korvaus]]+Yhteenveto[[#This Row],[Kotikuntakorvaus, netto]]</f>
        <v>3787156.8394423863</v>
      </c>
      <c r="S78" s="11"/>
      <c r="T78"/>
    </row>
    <row r="79" spans="1:20" ht="15">
      <c r="A79" s="32">
        <v>230</v>
      </c>
      <c r="B79" s="13" t="s">
        <v>84</v>
      </c>
      <c r="C79" s="15">
        <v>2216</v>
      </c>
      <c r="D79" s="15">
        <f>Ikärakenne[[#This Row],[Laskennalliset kustannukset, IKÄRAKENNE yhteensä, €]]</f>
        <v>2760126.59</v>
      </c>
      <c r="E79" s="15">
        <f>'Lask. kustannukset MUUT'!AD85</f>
        <v>905095.6444490396</v>
      </c>
      <c r="F79" s="231">
        <f>Yhteenveto[[#This Row],[Ikärakenne, laskennallinen kustannus]]+Yhteenveto[[#This Row],[Muut laskennalliset kustannukset ]]</f>
        <v>3665222.2344490392</v>
      </c>
      <c r="G79" s="498">
        <v>1422.47</v>
      </c>
      <c r="H79" s="17">
        <v>3152193.52</v>
      </c>
      <c r="I79" s="339">
        <f>Yhteenveto[[#This Row],[Laskennalliset kustannukset yhteensä]]-Yhteenveto[[#This Row],[Omarahoitusosuus, €]]</f>
        <v>513028.71444903919</v>
      </c>
      <c r="J79" s="33">
        <v>300768.44812041667</v>
      </c>
      <c r="K79" s="34">
        <f>'Muut lis_väh'!O77</f>
        <v>14823.551683025798</v>
      </c>
      <c r="L79" s="231">
        <f>Yhteenveto[[#This Row],[Valtionosuus omarahoitusosuuden jälkeen (välisumma)]]+Yhteenveto[[#This Row],[Lisäosat yhteensä]]+Yhteenveto[[#This Row],[Valtionosuuteen tehtävät vähennykset ja lisäykset, netto]]</f>
        <v>828620.71425248159</v>
      </c>
      <c r="M79" s="34">
        <f>'Verotuloihin perust tasaus'!N84</f>
        <v>1323419.0175612068</v>
      </c>
      <c r="N79" s="303">
        <f>SUM(Yhteenveto[[#This Row],[Valtionosuus ennen verotuloihin perustuvaa valtionosuuden tasausta]]+Yhteenveto[[#This Row],[Verotuloihin perustuva valtionosuuden tasaus]])</f>
        <v>2152039.7318136883</v>
      </c>
      <c r="O79" s="241">
        <v>458472.2630332401</v>
      </c>
      <c r="P79" s="372">
        <f>SUM(Yhteenveto[[#This Row],[Kunnan  peruspalvelujen valtionosuus ]:[Veroperustemuutoksista johtuvien veromenetysten korvaus]])</f>
        <v>2610511.9948469284</v>
      </c>
      <c r="Q79" s="34">
        <v>98717.750289999996</v>
      </c>
      <c r="R79" s="341">
        <f>+Yhteenveto[[#This Row],[Kunnan  peruspalvelujen valtionosuus ]]+Yhteenveto[[#This Row],[Veroperustemuutoksista johtuvien veromenetysten korvaus]]+Yhteenveto[[#This Row],[Kotikuntakorvaus, netto]]</f>
        <v>2709229.7451369283</v>
      </c>
      <c r="S79" s="11"/>
      <c r="T79"/>
    </row>
    <row r="80" spans="1:20" ht="15">
      <c r="A80" s="32">
        <v>231</v>
      </c>
      <c r="B80" s="13" t="s">
        <v>85</v>
      </c>
      <c r="C80" s="15">
        <v>1208</v>
      </c>
      <c r="D80" s="15">
        <f>Ikärakenne[[#This Row],[Laskennalliset kustannukset, IKÄRAKENNE yhteensä, €]]</f>
        <v>1445385.24</v>
      </c>
      <c r="E80" s="15">
        <f>'Lask. kustannukset MUUT'!AD86</f>
        <v>624081.27943998482</v>
      </c>
      <c r="F80" s="231">
        <f>Yhteenveto[[#This Row],[Ikärakenne, laskennallinen kustannus]]+Yhteenveto[[#This Row],[Muut laskennalliset kustannukset ]]</f>
        <v>2069466.5194399848</v>
      </c>
      <c r="G80" s="498">
        <v>1422.47</v>
      </c>
      <c r="H80" s="17">
        <v>1718343.76</v>
      </c>
      <c r="I80" s="339">
        <f>Yhteenveto[[#This Row],[Laskennalliset kustannukset yhteensä]]-Yhteenveto[[#This Row],[Omarahoitusosuus, €]]</f>
        <v>351122.7594399848</v>
      </c>
      <c r="J80" s="33">
        <v>95968.549186577467</v>
      </c>
      <c r="K80" s="34">
        <f>'Muut lis_väh'!O78</f>
        <v>-1411747.6306633023</v>
      </c>
      <c r="L80" s="231">
        <f>Yhteenveto[[#This Row],[Valtionosuus omarahoitusosuuden jälkeen (välisumma)]]+Yhteenveto[[#This Row],[Lisäosat yhteensä]]+Yhteenveto[[#This Row],[Valtionosuuteen tehtävät vähennykset ja lisäykset, netto]]</f>
        <v>-964656.32203674002</v>
      </c>
      <c r="M80" s="34">
        <f>'Verotuloihin perust tasaus'!N85</f>
        <v>-43815.724043800685</v>
      </c>
      <c r="N80" s="303">
        <f>SUM(Yhteenveto[[#This Row],[Valtionosuus ennen verotuloihin perustuvaa valtionosuuden tasausta]]+Yhteenveto[[#This Row],[Verotuloihin perustuva valtionosuuden tasaus]])</f>
        <v>-1008472.0460805407</v>
      </c>
      <c r="O80" s="241">
        <v>136065.32130331092</v>
      </c>
      <c r="P80" s="372">
        <f>SUM(Yhteenveto[[#This Row],[Kunnan  peruspalvelujen valtionosuus ]:[Veroperustemuutoksista johtuvien veromenetysten korvaus]])</f>
        <v>-872406.72477722983</v>
      </c>
      <c r="Q80" s="34">
        <v>-153934.31258000003</v>
      </c>
      <c r="R80" s="341">
        <f>+Yhteenveto[[#This Row],[Kunnan  peruspalvelujen valtionosuus ]]+Yhteenveto[[#This Row],[Veroperustemuutoksista johtuvien veromenetysten korvaus]]+Yhteenveto[[#This Row],[Kotikuntakorvaus, netto]]</f>
        <v>-1026341.0373572299</v>
      </c>
      <c r="S80" s="11"/>
      <c r="T80"/>
    </row>
    <row r="81" spans="1:20" ht="15">
      <c r="A81" s="32">
        <v>232</v>
      </c>
      <c r="B81" s="13" t="s">
        <v>86</v>
      </c>
      <c r="C81" s="15">
        <v>12618</v>
      </c>
      <c r="D81" s="15">
        <f>Ikärakenne[[#This Row],[Laskennalliset kustannukset, IKÄRAKENNE yhteensä, €]]</f>
        <v>18660664.68</v>
      </c>
      <c r="E81" s="15">
        <f>'Lask. kustannukset MUUT'!AD87</f>
        <v>3373332.4876738209</v>
      </c>
      <c r="F81" s="231">
        <f>Yhteenveto[[#This Row],[Ikärakenne, laskennallinen kustannus]]+Yhteenveto[[#This Row],[Muut laskennalliset kustannukset ]]</f>
        <v>22033997.167673819</v>
      </c>
      <c r="G81" s="498">
        <v>1422.47</v>
      </c>
      <c r="H81" s="17">
        <v>17948726.460000001</v>
      </c>
      <c r="I81" s="339">
        <f>Yhteenveto[[#This Row],[Laskennalliset kustannukset yhteensä]]-Yhteenveto[[#This Row],[Omarahoitusosuus, €]]</f>
        <v>4085270.7076738179</v>
      </c>
      <c r="J81" s="33">
        <v>454540.99847711966</v>
      </c>
      <c r="K81" s="34">
        <f>'Muut lis_väh'!O79</f>
        <v>-667443.62097573781</v>
      </c>
      <c r="L81" s="231">
        <f>Yhteenveto[[#This Row],[Valtionosuus omarahoitusosuuden jälkeen (välisumma)]]+Yhteenveto[[#This Row],[Lisäosat yhteensä]]+Yhteenveto[[#This Row],[Valtionosuuteen tehtävät vähennykset ja lisäykset, netto]]</f>
        <v>3872368.0851751999</v>
      </c>
      <c r="M81" s="34">
        <f>'Verotuloihin perust tasaus'!N86</f>
        <v>5266984.1541345138</v>
      </c>
      <c r="N81" s="303">
        <f>SUM(Yhteenveto[[#This Row],[Valtionosuus ennen verotuloihin perustuvaa valtionosuuden tasausta]]+Yhteenveto[[#This Row],[Verotuloihin perustuva valtionosuuden tasaus]])</f>
        <v>9139352.2393097132</v>
      </c>
      <c r="O81" s="241">
        <v>1900359.0778562401</v>
      </c>
      <c r="P81" s="372">
        <f>SUM(Yhteenveto[[#This Row],[Kunnan  peruspalvelujen valtionosuus ]:[Veroperustemuutoksista johtuvien veromenetysten korvaus]])</f>
        <v>11039711.317165954</v>
      </c>
      <c r="Q81" s="34">
        <v>62077.456180000008</v>
      </c>
      <c r="R81" s="341">
        <f>+Yhteenveto[[#This Row],[Kunnan  peruspalvelujen valtionosuus ]]+Yhteenveto[[#This Row],[Veroperustemuutoksista johtuvien veromenetysten korvaus]]+Yhteenveto[[#This Row],[Kotikuntakorvaus, netto]]</f>
        <v>11101788.773345955</v>
      </c>
      <c r="S81" s="11"/>
      <c r="T81"/>
    </row>
    <row r="82" spans="1:20" ht="15">
      <c r="A82" s="32">
        <v>233</v>
      </c>
      <c r="B82" s="13" t="s">
        <v>87</v>
      </c>
      <c r="C82" s="15">
        <v>15165</v>
      </c>
      <c r="D82" s="15">
        <f>Ikärakenne[[#This Row],[Laskennalliset kustannukset, IKÄRAKENNE yhteensä, €]]</f>
        <v>22168822.509999998</v>
      </c>
      <c r="E82" s="15">
        <f>'Lask. kustannukset MUUT'!AD88</f>
        <v>3960639.7866708492</v>
      </c>
      <c r="F82" s="231">
        <f>Yhteenveto[[#This Row],[Ikärakenne, laskennallinen kustannus]]+Yhteenveto[[#This Row],[Muut laskennalliset kustannukset ]]</f>
        <v>26129462.296670847</v>
      </c>
      <c r="G82" s="498">
        <v>1422.47</v>
      </c>
      <c r="H82" s="17">
        <v>21571757.550000001</v>
      </c>
      <c r="I82" s="339">
        <f>Yhteenveto[[#This Row],[Laskennalliset kustannukset yhteensä]]-Yhteenveto[[#This Row],[Omarahoitusosuus, €]]</f>
        <v>4557704.7466708459</v>
      </c>
      <c r="J82" s="33">
        <v>436639.77920820622</v>
      </c>
      <c r="K82" s="34">
        <f>'Muut lis_väh'!O80</f>
        <v>1138960.6649141568</v>
      </c>
      <c r="L82" s="231">
        <f>Yhteenveto[[#This Row],[Valtionosuus omarahoitusosuuden jälkeen (välisumma)]]+Yhteenveto[[#This Row],[Lisäosat yhteensä]]+Yhteenveto[[#This Row],[Valtionosuuteen tehtävät vähennykset ja lisäykset, netto]]</f>
        <v>6133305.1907932088</v>
      </c>
      <c r="M82" s="34">
        <f>'Verotuloihin perust tasaus'!N87</f>
        <v>6934208.0649599098</v>
      </c>
      <c r="N82" s="303">
        <f>SUM(Yhteenveto[[#This Row],[Valtionosuus ennen verotuloihin perustuvaa valtionosuuden tasausta]]+Yhteenveto[[#This Row],[Verotuloihin perustuva valtionosuuden tasaus]])</f>
        <v>13067513.255753119</v>
      </c>
      <c r="O82" s="241">
        <v>2331401.5761136455</v>
      </c>
      <c r="P82" s="372">
        <f>SUM(Yhteenveto[[#This Row],[Kunnan  peruspalvelujen valtionosuus ]:[Veroperustemuutoksista johtuvien veromenetysten korvaus]])</f>
        <v>15398914.831866764</v>
      </c>
      <c r="Q82" s="34">
        <v>45455.589200000046</v>
      </c>
      <c r="R82" s="341">
        <f>+Yhteenveto[[#This Row],[Kunnan  peruspalvelujen valtionosuus ]]+Yhteenveto[[#This Row],[Veroperustemuutoksista johtuvien veromenetysten korvaus]]+Yhteenveto[[#This Row],[Kotikuntakorvaus, netto]]</f>
        <v>15444370.421066763</v>
      </c>
      <c r="S82" s="11"/>
      <c r="T82"/>
    </row>
    <row r="83" spans="1:20" ht="15">
      <c r="A83" s="32">
        <v>235</v>
      </c>
      <c r="B83" s="13" t="s">
        <v>88</v>
      </c>
      <c r="C83" s="15">
        <v>10270</v>
      </c>
      <c r="D83" s="15">
        <f>Ikärakenne[[#This Row],[Laskennalliset kustannukset, IKÄRAKENNE yhteensä, €]]</f>
        <v>18106689.5</v>
      </c>
      <c r="E83" s="15">
        <f>'Lask. kustannukset MUUT'!AD89</f>
        <v>3980156.9171741772</v>
      </c>
      <c r="F83" s="231">
        <f>Yhteenveto[[#This Row],[Ikärakenne, laskennallinen kustannus]]+Yhteenveto[[#This Row],[Muut laskennalliset kustannukset ]]</f>
        <v>22086846.417174175</v>
      </c>
      <c r="G83" s="498">
        <v>1422.47</v>
      </c>
      <c r="H83" s="17">
        <v>14608766.9</v>
      </c>
      <c r="I83" s="339">
        <f>Yhteenveto[[#This Row],[Laskennalliset kustannukset yhteensä]]-Yhteenveto[[#This Row],[Omarahoitusosuus, €]]</f>
        <v>7478079.517174175</v>
      </c>
      <c r="J83" s="33">
        <v>320412.48906250531</v>
      </c>
      <c r="K83" s="34">
        <f>'Muut lis_väh'!O81</f>
        <v>11792390.244122297</v>
      </c>
      <c r="L83" s="231">
        <f>Yhteenveto[[#This Row],[Valtionosuus omarahoitusosuuden jälkeen (välisumma)]]+Yhteenveto[[#This Row],[Lisäosat yhteensä]]+Yhteenveto[[#This Row],[Valtionosuuteen tehtävät vähennykset ja lisäykset, netto]]</f>
        <v>19590882.250358976</v>
      </c>
      <c r="M83" s="34">
        <f>'Verotuloihin perust tasaus'!N88</f>
        <v>-1506370.6217859972</v>
      </c>
      <c r="N83" s="303">
        <f>SUM(Yhteenveto[[#This Row],[Valtionosuus ennen verotuloihin perustuvaa valtionosuuden tasausta]]+Yhteenveto[[#This Row],[Verotuloihin perustuva valtionosuuden tasaus]])</f>
        <v>18084511.628572978</v>
      </c>
      <c r="O83" s="241">
        <v>474357.23216801789</v>
      </c>
      <c r="P83" s="372">
        <f>SUM(Yhteenveto[[#This Row],[Kunnan  peruspalvelujen valtionosuus ]:[Veroperustemuutoksista johtuvien veromenetysten korvaus]])</f>
        <v>18558868.860740997</v>
      </c>
      <c r="Q83" s="34">
        <v>2326859.6325599998</v>
      </c>
      <c r="R83" s="341">
        <f>+Yhteenveto[[#This Row],[Kunnan  peruspalvelujen valtionosuus ]]+Yhteenveto[[#This Row],[Veroperustemuutoksista johtuvien veromenetysten korvaus]]+Yhteenveto[[#This Row],[Kotikuntakorvaus, netto]]</f>
        <v>20885728.493300997</v>
      </c>
      <c r="S83" s="11"/>
      <c r="T83"/>
    </row>
    <row r="84" spans="1:20" ht="15">
      <c r="A84" s="32">
        <v>236</v>
      </c>
      <c r="B84" s="13" t="s">
        <v>89</v>
      </c>
      <c r="C84" s="15">
        <v>4137</v>
      </c>
      <c r="D84" s="15">
        <f>Ikärakenne[[#This Row],[Laskennalliset kustannukset, IKÄRAKENNE yhteensä, €]]</f>
        <v>7072392.9500000002</v>
      </c>
      <c r="E84" s="15">
        <f>'Lask. kustannukset MUUT'!AD90</f>
        <v>923600.46333409881</v>
      </c>
      <c r="F84" s="231">
        <f>Yhteenveto[[#This Row],[Ikärakenne, laskennallinen kustannus]]+Yhteenveto[[#This Row],[Muut laskennalliset kustannukset ]]</f>
        <v>7995993.4133340986</v>
      </c>
      <c r="G84" s="498">
        <v>1422.47</v>
      </c>
      <c r="H84" s="17">
        <v>5884758.3899999997</v>
      </c>
      <c r="I84" s="339">
        <f>Yhteenveto[[#This Row],[Laskennalliset kustannukset yhteensä]]-Yhteenveto[[#This Row],[Omarahoitusosuus, €]]</f>
        <v>2111235.023334099</v>
      </c>
      <c r="J84" s="33">
        <v>195587.55490955344</v>
      </c>
      <c r="K84" s="34">
        <f>'Muut lis_väh'!O82</f>
        <v>-364526.97496353392</v>
      </c>
      <c r="L84" s="231">
        <f>Yhteenveto[[#This Row],[Valtionosuus omarahoitusosuuden jälkeen (välisumma)]]+Yhteenveto[[#This Row],[Lisäosat yhteensä]]+Yhteenveto[[#This Row],[Valtionosuuteen tehtävät vähennykset ja lisäykset, netto]]</f>
        <v>1942295.6032801184</v>
      </c>
      <c r="M84" s="34">
        <f>'Verotuloihin perust tasaus'!N89</f>
        <v>2237160.2339855218</v>
      </c>
      <c r="N84" s="303">
        <f>SUM(Yhteenveto[[#This Row],[Valtionosuus ennen verotuloihin perustuvaa valtionosuuden tasausta]]+Yhteenveto[[#This Row],[Verotuloihin perustuva valtionosuuden tasaus]])</f>
        <v>4179455.8372656405</v>
      </c>
      <c r="O84" s="241">
        <v>551145.92916101415</v>
      </c>
      <c r="P84" s="372">
        <f>SUM(Yhteenveto[[#This Row],[Kunnan  peruspalvelujen valtionosuus ]:[Veroperustemuutoksista johtuvien veromenetysten korvaus]])</f>
        <v>4730601.7664266545</v>
      </c>
      <c r="Q84" s="34">
        <v>350019.06975000002</v>
      </c>
      <c r="R84" s="341">
        <f>+Yhteenveto[[#This Row],[Kunnan  peruspalvelujen valtionosuus ]]+Yhteenveto[[#This Row],[Veroperustemuutoksista johtuvien veromenetysten korvaus]]+Yhteenveto[[#This Row],[Kotikuntakorvaus, netto]]</f>
        <v>5080620.8361766543</v>
      </c>
      <c r="S84" s="11"/>
      <c r="T84"/>
    </row>
    <row r="85" spans="1:20" ht="15">
      <c r="A85" s="32">
        <v>239</v>
      </c>
      <c r="B85" s="13" t="s">
        <v>90</v>
      </c>
      <c r="C85" s="15">
        <v>2035</v>
      </c>
      <c r="D85" s="15">
        <f>Ikärakenne[[#This Row],[Laskennalliset kustannukset, IKÄRAKENNE yhteensä, €]]</f>
        <v>2268435.9300000002</v>
      </c>
      <c r="E85" s="15">
        <f>'Lask. kustannukset MUUT'!AD91</f>
        <v>763538.27013027621</v>
      </c>
      <c r="F85" s="231">
        <f>Yhteenveto[[#This Row],[Ikärakenne, laskennallinen kustannus]]+Yhteenveto[[#This Row],[Muut laskennalliset kustannukset ]]</f>
        <v>3031974.2001302764</v>
      </c>
      <c r="G85" s="498">
        <v>1422.47</v>
      </c>
      <c r="H85" s="17">
        <v>2894726.45</v>
      </c>
      <c r="I85" s="339">
        <f>Yhteenveto[[#This Row],[Laskennalliset kustannukset yhteensä]]-Yhteenveto[[#This Row],[Omarahoitusosuus, €]]</f>
        <v>137247.7501302762</v>
      </c>
      <c r="J85" s="33">
        <v>686864.75841338572</v>
      </c>
      <c r="K85" s="34">
        <f>'Muut lis_väh'!O83</f>
        <v>-65982.998448528029</v>
      </c>
      <c r="L85" s="231">
        <f>Yhteenveto[[#This Row],[Valtionosuus omarahoitusosuuden jälkeen (välisumma)]]+Yhteenveto[[#This Row],[Lisäosat yhteensä]]+Yhteenveto[[#This Row],[Valtionosuuteen tehtävät vähennykset ja lisäykset, netto]]</f>
        <v>758129.51009513391</v>
      </c>
      <c r="M85" s="34">
        <f>'Verotuloihin perust tasaus'!N90</f>
        <v>132996.29144115339</v>
      </c>
      <c r="N85" s="303">
        <f>SUM(Yhteenveto[[#This Row],[Valtionosuus ennen verotuloihin perustuvaa valtionosuuden tasausta]]+Yhteenveto[[#This Row],[Verotuloihin perustuva valtionosuuden tasaus]])</f>
        <v>891125.8015362873</v>
      </c>
      <c r="O85" s="241">
        <v>353097.51365372853</v>
      </c>
      <c r="P85" s="372">
        <f>SUM(Yhteenveto[[#This Row],[Kunnan  peruspalvelujen valtionosuus ]:[Veroperustemuutoksista johtuvien veromenetysten korvaus]])</f>
        <v>1244223.3151900158</v>
      </c>
      <c r="Q85" s="34">
        <v>68151.861200000014</v>
      </c>
      <c r="R85" s="341">
        <f>+Yhteenveto[[#This Row],[Kunnan  peruspalvelujen valtionosuus ]]+Yhteenveto[[#This Row],[Veroperustemuutoksista johtuvien veromenetysten korvaus]]+Yhteenveto[[#This Row],[Kotikuntakorvaus, netto]]</f>
        <v>1312375.1763900158</v>
      </c>
      <c r="S85" s="11"/>
      <c r="T85"/>
    </row>
    <row r="86" spans="1:20" ht="15">
      <c r="A86" s="32">
        <v>240</v>
      </c>
      <c r="B86" s="13" t="s">
        <v>91</v>
      </c>
      <c r="C86" s="15">
        <v>19371</v>
      </c>
      <c r="D86" s="15">
        <f>Ikärakenne[[#This Row],[Laskennalliset kustannukset, IKÄRAKENNE yhteensä, €]]</f>
        <v>26818451.629999999</v>
      </c>
      <c r="E86" s="15">
        <f>'Lask. kustannukset MUUT'!AD92</f>
        <v>6029024.1690457091</v>
      </c>
      <c r="F86" s="231">
        <f>Yhteenveto[[#This Row],[Ikärakenne, laskennallinen kustannus]]+Yhteenveto[[#This Row],[Muut laskennalliset kustannukset ]]</f>
        <v>32847475.799045708</v>
      </c>
      <c r="G86" s="498">
        <v>1422.47</v>
      </c>
      <c r="H86" s="17">
        <v>27554666.370000001</v>
      </c>
      <c r="I86" s="339">
        <f>Yhteenveto[[#This Row],[Laskennalliset kustannukset yhteensä]]-Yhteenveto[[#This Row],[Omarahoitusosuus, €]]</f>
        <v>5292809.429045707</v>
      </c>
      <c r="J86" s="33">
        <v>748556.31521330168</v>
      </c>
      <c r="K86" s="34">
        <f>'Muut lis_väh'!O84</f>
        <v>-13511135.38748822</v>
      </c>
      <c r="L86" s="231">
        <f>Yhteenveto[[#This Row],[Valtionosuus omarahoitusosuuden jälkeen (välisumma)]]+Yhteenveto[[#This Row],[Lisäosat yhteensä]]+Yhteenveto[[#This Row],[Valtionosuuteen tehtävät vähennykset ja lisäykset, netto]]</f>
        <v>-7469769.6432292107</v>
      </c>
      <c r="M86" s="34">
        <f>'Verotuloihin perust tasaus'!N91</f>
        <v>3947911.4910867889</v>
      </c>
      <c r="N86" s="303">
        <f>SUM(Yhteenveto[[#This Row],[Valtionosuus ennen verotuloihin perustuvaa valtionosuuden tasausta]]+Yhteenveto[[#This Row],[Verotuloihin perustuva valtionosuuden tasaus]])</f>
        <v>-3521858.1521424218</v>
      </c>
      <c r="O86" s="241">
        <v>1834099.6022493725</v>
      </c>
      <c r="P86" s="372">
        <f>SUM(Yhteenveto[[#This Row],[Kunnan  peruspalvelujen valtionosuus ]:[Veroperustemuutoksista johtuvien veromenetysten korvaus]])</f>
        <v>-1687758.5498930493</v>
      </c>
      <c r="Q86" s="34">
        <v>-120971.12975999998</v>
      </c>
      <c r="R86" s="341">
        <f>+Yhteenveto[[#This Row],[Kunnan  peruspalvelujen valtionosuus ]]+Yhteenveto[[#This Row],[Veroperustemuutoksista johtuvien veromenetysten korvaus]]+Yhteenveto[[#This Row],[Kotikuntakorvaus, netto]]</f>
        <v>-1808729.6796530492</v>
      </c>
      <c r="S86" s="11"/>
      <c r="T86"/>
    </row>
    <row r="87" spans="1:20" ht="15">
      <c r="A87" s="32">
        <v>241</v>
      </c>
      <c r="B87" s="13" t="s">
        <v>92</v>
      </c>
      <c r="C87" s="15">
        <v>7691</v>
      </c>
      <c r="D87" s="15">
        <f>Ikärakenne[[#This Row],[Laskennalliset kustannukset, IKÄRAKENNE yhteensä, €]]</f>
        <v>12187682.800000001</v>
      </c>
      <c r="E87" s="15">
        <f>'Lask. kustannukset MUUT'!AD93</f>
        <v>1495389.3370056055</v>
      </c>
      <c r="F87" s="231">
        <f>Yhteenveto[[#This Row],[Ikärakenne, laskennallinen kustannus]]+Yhteenveto[[#This Row],[Muut laskennalliset kustannukset ]]</f>
        <v>13683072.137005607</v>
      </c>
      <c r="G87" s="498">
        <v>1422.47</v>
      </c>
      <c r="H87" s="17">
        <v>10940216.77</v>
      </c>
      <c r="I87" s="339">
        <f>Yhteenveto[[#This Row],[Laskennalliset kustannukset yhteensä]]-Yhteenveto[[#This Row],[Omarahoitusosuus, €]]</f>
        <v>2742855.3670056071</v>
      </c>
      <c r="J87" s="33">
        <v>283419.65542157262</v>
      </c>
      <c r="K87" s="34">
        <f>'Muut lis_väh'!O85</f>
        <v>-3088979.623292638</v>
      </c>
      <c r="L87" s="231">
        <f>Yhteenveto[[#This Row],[Valtionosuus omarahoitusosuuden jälkeen (välisumma)]]+Yhteenveto[[#This Row],[Lisäosat yhteensä]]+Yhteenveto[[#This Row],[Valtionosuuteen tehtävät vähennykset ja lisäykset, netto]]</f>
        <v>-62704.600865458138</v>
      </c>
      <c r="M87" s="34">
        <f>'Verotuloihin perust tasaus'!N92</f>
        <v>1607256.3033204607</v>
      </c>
      <c r="N87" s="303">
        <f>SUM(Yhteenveto[[#This Row],[Valtionosuus ennen verotuloihin perustuvaa valtionosuuden tasausta]]+Yhteenveto[[#This Row],[Verotuloihin perustuva valtionosuuden tasaus]])</f>
        <v>1544551.7024550026</v>
      </c>
      <c r="O87" s="241">
        <v>616568.30058993271</v>
      </c>
      <c r="P87" s="372">
        <f>SUM(Yhteenveto[[#This Row],[Kunnan  peruspalvelujen valtionosuus ]:[Veroperustemuutoksista johtuvien veromenetysten korvaus]])</f>
        <v>2161120.0030449354</v>
      </c>
      <c r="Q87" s="34">
        <v>234086.82760000002</v>
      </c>
      <c r="R87" s="341">
        <f>+Yhteenveto[[#This Row],[Kunnan  peruspalvelujen valtionosuus ]]+Yhteenveto[[#This Row],[Veroperustemuutoksista johtuvien veromenetysten korvaus]]+Yhteenveto[[#This Row],[Kotikuntakorvaus, netto]]</f>
        <v>2395206.8306449354</v>
      </c>
      <c r="S87" s="11"/>
      <c r="T87"/>
    </row>
    <row r="88" spans="1:20" ht="15">
      <c r="A88" s="32">
        <v>244</v>
      </c>
      <c r="B88" s="13" t="s">
        <v>93</v>
      </c>
      <c r="C88" s="15">
        <v>19514</v>
      </c>
      <c r="D88" s="15">
        <f>Ikärakenne[[#This Row],[Laskennalliset kustannukset, IKÄRAKENNE yhteensä, €]]</f>
        <v>43409365.449999996</v>
      </c>
      <c r="E88" s="15">
        <f>'Lask. kustannukset MUUT'!AD94</f>
        <v>2542237.6138932565</v>
      </c>
      <c r="F88" s="231">
        <f>Yhteenveto[[#This Row],[Ikärakenne, laskennallinen kustannus]]+Yhteenveto[[#This Row],[Muut laskennalliset kustannukset ]]</f>
        <v>45951603.063893251</v>
      </c>
      <c r="G88" s="498">
        <v>1422.47</v>
      </c>
      <c r="H88" s="17">
        <v>27758079.580000002</v>
      </c>
      <c r="I88" s="339">
        <f>Yhteenveto[[#This Row],[Laskennalliset kustannukset yhteensä]]-Yhteenveto[[#This Row],[Omarahoitusosuus, €]]</f>
        <v>18193523.483893249</v>
      </c>
      <c r="J88" s="33">
        <v>898050.92013095284</v>
      </c>
      <c r="K88" s="34">
        <f>'Muut lis_väh'!O86</f>
        <v>-821838.52732679236</v>
      </c>
      <c r="L88" s="231">
        <f>Yhteenveto[[#This Row],[Valtionosuus omarahoitusosuuden jälkeen (välisumma)]]+Yhteenveto[[#This Row],[Lisäosat yhteensä]]+Yhteenveto[[#This Row],[Valtionosuuteen tehtävät vähennykset ja lisäykset, netto]]</f>
        <v>18269735.87669741</v>
      </c>
      <c r="M88" s="34">
        <f>'Verotuloihin perust tasaus'!N93</f>
        <v>3433814.6657096166</v>
      </c>
      <c r="N88" s="303">
        <f>SUM(Yhteenveto[[#This Row],[Valtionosuus ennen verotuloihin perustuvaa valtionosuuden tasausta]]+Yhteenveto[[#This Row],[Verotuloihin perustuva valtionosuuden tasaus]])</f>
        <v>21703550.542407028</v>
      </c>
      <c r="O88" s="241">
        <v>923682.63573941821</v>
      </c>
      <c r="P88" s="372">
        <f>SUM(Yhteenveto[[#This Row],[Kunnan  peruspalvelujen valtionosuus ]:[Veroperustemuutoksista johtuvien veromenetysten korvaus]])</f>
        <v>22627233.178146448</v>
      </c>
      <c r="Q88" s="34">
        <v>207229.57239999989</v>
      </c>
      <c r="R88" s="341">
        <f>+Yhteenveto[[#This Row],[Kunnan  peruspalvelujen valtionosuus ]]+Yhteenveto[[#This Row],[Veroperustemuutoksista johtuvien veromenetysten korvaus]]+Yhteenveto[[#This Row],[Kotikuntakorvaus, netto]]</f>
        <v>22834462.750546448</v>
      </c>
      <c r="S88" s="11"/>
      <c r="T88"/>
    </row>
    <row r="89" spans="1:20" ht="15">
      <c r="A89" s="32">
        <v>245</v>
      </c>
      <c r="B89" s="13" t="s">
        <v>94</v>
      </c>
      <c r="C89" s="15">
        <v>38211</v>
      </c>
      <c r="D89" s="15">
        <f>Ikärakenne[[#This Row],[Laskennalliset kustannukset, IKÄRAKENNE yhteensä, €]]</f>
        <v>60100203.310000002</v>
      </c>
      <c r="E89" s="15">
        <f>'Lask. kustannukset MUUT'!AD95</f>
        <v>17599791.837604854</v>
      </c>
      <c r="F89" s="231">
        <f>Yhteenveto[[#This Row],[Ikärakenne, laskennallinen kustannus]]+Yhteenveto[[#This Row],[Muut laskennalliset kustannukset ]]</f>
        <v>77699995.147604853</v>
      </c>
      <c r="G89" s="498">
        <v>1422.47</v>
      </c>
      <c r="H89" s="17">
        <v>54354001.170000002</v>
      </c>
      <c r="I89" s="339">
        <f>Yhteenveto[[#This Row],[Laskennalliset kustannukset yhteensä]]-Yhteenveto[[#This Row],[Omarahoitusosuus, €]]</f>
        <v>23345993.977604851</v>
      </c>
      <c r="J89" s="33">
        <v>1570595.9129225707</v>
      </c>
      <c r="K89" s="34">
        <f>'Muut lis_väh'!O87</f>
        <v>-7513911.5612728884</v>
      </c>
      <c r="L89" s="231">
        <f>Yhteenveto[[#This Row],[Valtionosuus omarahoitusosuuden jälkeen (välisumma)]]+Yhteenveto[[#This Row],[Lisäosat yhteensä]]+Yhteenveto[[#This Row],[Valtionosuuteen tehtävät vähennykset ja lisäykset, netto]]</f>
        <v>17402678.329254534</v>
      </c>
      <c r="M89" s="34">
        <f>'Verotuloihin perust tasaus'!N94</f>
        <v>1183730.7157774987</v>
      </c>
      <c r="N89" s="303">
        <f>SUM(Yhteenveto[[#This Row],[Valtionosuus ennen verotuloihin perustuvaa valtionosuuden tasausta]]+Yhteenveto[[#This Row],[Verotuloihin perustuva valtionosuuden tasaus]])</f>
        <v>18586409.045032032</v>
      </c>
      <c r="O89" s="241">
        <v>2879881.6675811997</v>
      </c>
      <c r="P89" s="372">
        <f>SUM(Yhteenveto[[#This Row],[Kunnan  peruspalvelujen valtionosuus ]:[Veroperustemuutoksista johtuvien veromenetysten korvaus]])</f>
        <v>21466290.712613232</v>
      </c>
      <c r="Q89" s="34">
        <v>-1162819.8539700001</v>
      </c>
      <c r="R89" s="341">
        <f>+Yhteenveto[[#This Row],[Kunnan  peruspalvelujen valtionosuus ]]+Yhteenveto[[#This Row],[Veroperustemuutoksista johtuvien veromenetysten korvaus]]+Yhteenveto[[#This Row],[Kotikuntakorvaus, netto]]</f>
        <v>20303470.858643234</v>
      </c>
      <c r="S89" s="11"/>
      <c r="T89"/>
    </row>
    <row r="90" spans="1:20" ht="15">
      <c r="A90" s="32">
        <v>249</v>
      </c>
      <c r="B90" s="13" t="s">
        <v>95</v>
      </c>
      <c r="C90" s="15">
        <v>9184</v>
      </c>
      <c r="D90" s="15">
        <f>Ikärakenne[[#This Row],[Laskennalliset kustannukset, IKÄRAKENNE yhteensä, €]]</f>
        <v>11848720.59</v>
      </c>
      <c r="E90" s="15">
        <f>'Lask. kustannukset MUUT'!AD96</f>
        <v>3026552.9386395933</v>
      </c>
      <c r="F90" s="231">
        <f>Yhteenveto[[#This Row],[Ikärakenne, laskennallinen kustannus]]+Yhteenveto[[#This Row],[Muut laskennalliset kustannukset ]]</f>
        <v>14875273.528639592</v>
      </c>
      <c r="G90" s="498">
        <v>1422.47</v>
      </c>
      <c r="H90" s="17">
        <v>13063964.48</v>
      </c>
      <c r="I90" s="339">
        <f>Yhteenveto[[#This Row],[Laskennalliset kustannukset yhteensä]]-Yhteenveto[[#This Row],[Omarahoitusosuus, €]]</f>
        <v>1811309.0486395918</v>
      </c>
      <c r="J90" s="33">
        <v>725004.16625106253</v>
      </c>
      <c r="K90" s="34">
        <f>'Muut lis_väh'!O88</f>
        <v>714729.90029003692</v>
      </c>
      <c r="L90" s="231">
        <f>Yhteenveto[[#This Row],[Valtionosuus omarahoitusosuuden jälkeen (välisumma)]]+Yhteenveto[[#This Row],[Lisäosat yhteensä]]+Yhteenveto[[#This Row],[Valtionosuuteen tehtävät vähennykset ja lisäykset, netto]]</f>
        <v>3251043.1151806912</v>
      </c>
      <c r="M90" s="34">
        <f>'Verotuloihin perust tasaus'!N95</f>
        <v>3210073.8386369827</v>
      </c>
      <c r="N90" s="303">
        <f>SUM(Yhteenveto[[#This Row],[Valtionosuus ennen verotuloihin perustuvaa valtionosuuden tasausta]]+Yhteenveto[[#This Row],[Verotuloihin perustuva valtionosuuden tasaus]])</f>
        <v>6461116.953817674</v>
      </c>
      <c r="O90" s="241">
        <v>1081588.8480448562</v>
      </c>
      <c r="P90" s="372">
        <f>SUM(Yhteenveto[[#This Row],[Kunnan  peruspalvelujen valtionosuus ]:[Veroperustemuutoksista johtuvien veromenetysten korvaus]])</f>
        <v>7542705.8018625304</v>
      </c>
      <c r="Q90" s="34">
        <v>-28832.146090000024</v>
      </c>
      <c r="R90" s="341">
        <f>+Yhteenveto[[#This Row],[Kunnan  peruspalvelujen valtionosuus ]]+Yhteenveto[[#This Row],[Veroperustemuutoksista johtuvien veromenetysten korvaus]]+Yhteenveto[[#This Row],[Kotikuntakorvaus, netto]]</f>
        <v>7513873.6557725305</v>
      </c>
      <c r="S90" s="11"/>
      <c r="T90"/>
    </row>
    <row r="91" spans="1:20" ht="15">
      <c r="A91" s="32">
        <v>250</v>
      </c>
      <c r="B91" s="13" t="s">
        <v>96</v>
      </c>
      <c r="C91" s="15">
        <v>1749</v>
      </c>
      <c r="D91" s="15">
        <f>Ikärakenne[[#This Row],[Laskennalliset kustannukset, IKÄRAKENNE yhteensä, €]]</f>
        <v>2094365.8</v>
      </c>
      <c r="E91" s="15">
        <f>'Lask. kustannukset MUUT'!AD97</f>
        <v>545471.23772614344</v>
      </c>
      <c r="F91" s="231">
        <f>Yhteenveto[[#This Row],[Ikärakenne, laskennallinen kustannus]]+Yhteenveto[[#This Row],[Muut laskennalliset kustannukset ]]</f>
        <v>2639837.0377261434</v>
      </c>
      <c r="G91" s="498">
        <v>1422.47</v>
      </c>
      <c r="H91" s="17">
        <v>2487900.0300000003</v>
      </c>
      <c r="I91" s="339">
        <f>Yhteenveto[[#This Row],[Laskennalliset kustannukset yhteensä]]-Yhteenveto[[#This Row],[Omarahoitusosuus, €]]</f>
        <v>151937.00772614311</v>
      </c>
      <c r="J91" s="33">
        <v>252685.97509286585</v>
      </c>
      <c r="K91" s="34">
        <f>'Muut lis_väh'!O89</f>
        <v>-134212.45503338269</v>
      </c>
      <c r="L91" s="231">
        <f>Yhteenveto[[#This Row],[Valtionosuus omarahoitusosuuden jälkeen (välisumma)]]+Yhteenveto[[#This Row],[Lisäosat yhteensä]]+Yhteenveto[[#This Row],[Valtionosuuteen tehtävät vähennykset ja lisäykset, netto]]</f>
        <v>270410.5277856263</v>
      </c>
      <c r="M91" s="34">
        <f>'Verotuloihin perust tasaus'!N96</f>
        <v>831014.96036736469</v>
      </c>
      <c r="N91" s="303">
        <f>SUM(Yhteenveto[[#This Row],[Valtionosuus ennen verotuloihin perustuvaa valtionosuuden tasausta]]+Yhteenveto[[#This Row],[Verotuloihin perustuva valtionosuuden tasaus]])</f>
        <v>1101425.488152991</v>
      </c>
      <c r="O91" s="241">
        <v>337660.94407018065</v>
      </c>
      <c r="P91" s="372">
        <f>SUM(Yhteenveto[[#This Row],[Kunnan  peruspalvelujen valtionosuus ]:[Veroperustemuutoksista johtuvien veromenetysten korvaus]])</f>
        <v>1439086.4322231717</v>
      </c>
      <c r="Q91" s="34">
        <v>19408.464820000001</v>
      </c>
      <c r="R91" s="341">
        <f>+Yhteenveto[[#This Row],[Kunnan  peruspalvelujen valtionosuus ]]+Yhteenveto[[#This Row],[Veroperustemuutoksista johtuvien veromenetysten korvaus]]+Yhteenveto[[#This Row],[Kotikuntakorvaus, netto]]</f>
        <v>1458494.8970431718</v>
      </c>
      <c r="S91" s="11"/>
      <c r="T91"/>
    </row>
    <row r="92" spans="1:20" ht="15">
      <c r="A92" s="32">
        <v>256</v>
      </c>
      <c r="B92" s="13" t="s">
        <v>97</v>
      </c>
      <c r="C92" s="15">
        <v>1523</v>
      </c>
      <c r="D92" s="15">
        <f>Ikärakenne[[#This Row],[Laskennalliset kustannukset, IKÄRAKENNE yhteensä, €]]</f>
        <v>2609648.9200000004</v>
      </c>
      <c r="E92" s="15">
        <f>'Lask. kustannukset MUUT'!AD98</f>
        <v>627315.99946819211</v>
      </c>
      <c r="F92" s="231">
        <f>Yhteenveto[[#This Row],[Ikärakenne, laskennallinen kustannus]]+Yhteenveto[[#This Row],[Muut laskennalliset kustannukset ]]</f>
        <v>3236964.9194681924</v>
      </c>
      <c r="G92" s="498">
        <v>1422.47</v>
      </c>
      <c r="H92" s="17">
        <v>2166421.81</v>
      </c>
      <c r="I92" s="339">
        <f>Yhteenveto[[#This Row],[Laskennalliset kustannukset yhteensä]]-Yhteenveto[[#This Row],[Omarahoitusosuus, €]]</f>
        <v>1070543.1094681923</v>
      </c>
      <c r="J92" s="33">
        <v>534794.656897843</v>
      </c>
      <c r="K92" s="34">
        <f>'Muut lis_väh'!O90</f>
        <v>-789064.74357174011</v>
      </c>
      <c r="L92" s="231">
        <f>Yhteenveto[[#This Row],[Valtionosuus omarahoitusosuuden jälkeen (välisumma)]]+Yhteenveto[[#This Row],[Lisäosat yhteensä]]+Yhteenveto[[#This Row],[Valtionosuuteen tehtävät vähennykset ja lisäykset, netto]]</f>
        <v>816273.0227942951</v>
      </c>
      <c r="M92" s="34">
        <f>'Verotuloihin perust tasaus'!N97</f>
        <v>939951.71495146584</v>
      </c>
      <c r="N92" s="303">
        <f>SUM(Yhteenveto[[#This Row],[Valtionosuus ennen verotuloihin perustuvaa valtionosuuden tasausta]]+Yhteenveto[[#This Row],[Verotuloihin perustuva valtionosuuden tasaus]])</f>
        <v>1756224.7377457609</v>
      </c>
      <c r="O92" s="241">
        <v>258047.75556831161</v>
      </c>
      <c r="P92" s="372">
        <f>SUM(Yhteenveto[[#This Row],[Kunnan  peruspalvelujen valtionosuus ]:[Veroperustemuutoksista johtuvien veromenetysten korvaus]])</f>
        <v>2014272.4933140725</v>
      </c>
      <c r="Q92" s="34">
        <v>87412.169800000003</v>
      </c>
      <c r="R92" s="341">
        <f>+Yhteenveto[[#This Row],[Kunnan  peruspalvelujen valtionosuus ]]+Yhteenveto[[#This Row],[Veroperustemuutoksista johtuvien veromenetysten korvaus]]+Yhteenveto[[#This Row],[Kotikuntakorvaus, netto]]</f>
        <v>2101684.6631140723</v>
      </c>
      <c r="S92" s="11"/>
      <c r="T92"/>
    </row>
    <row r="93" spans="1:20" ht="15">
      <c r="A93" s="32">
        <v>257</v>
      </c>
      <c r="B93" s="13" t="s">
        <v>98</v>
      </c>
      <c r="C93" s="15">
        <v>41154</v>
      </c>
      <c r="D93" s="15">
        <f>Ikärakenne[[#This Row],[Laskennalliset kustannukset, IKÄRAKENNE yhteensä, €]]</f>
        <v>72642151.349999994</v>
      </c>
      <c r="E93" s="15">
        <f>'Lask. kustannukset MUUT'!AD99</f>
        <v>16792170.234940328</v>
      </c>
      <c r="F93" s="231">
        <f>Yhteenveto[[#This Row],[Ikärakenne, laskennallinen kustannus]]+Yhteenveto[[#This Row],[Muut laskennalliset kustannukset ]]</f>
        <v>89434321.584940314</v>
      </c>
      <c r="G93" s="498">
        <v>1422.47</v>
      </c>
      <c r="H93" s="17">
        <v>58540330.380000003</v>
      </c>
      <c r="I93" s="339">
        <f>Yhteenveto[[#This Row],[Laskennalliset kustannukset yhteensä]]-Yhteenveto[[#This Row],[Omarahoitusosuus, €]]</f>
        <v>30893991.204940312</v>
      </c>
      <c r="J93" s="33">
        <v>1445252.635024799</v>
      </c>
      <c r="K93" s="34">
        <f>'Muut lis_väh'!O91</f>
        <v>5946336.8050076598</v>
      </c>
      <c r="L93" s="231">
        <f>Yhteenveto[[#This Row],[Valtionosuus omarahoitusosuuden jälkeen (välisumma)]]+Yhteenveto[[#This Row],[Lisäosat yhteensä]]+Yhteenveto[[#This Row],[Valtionosuuteen tehtävät vähennykset ja lisäykset, netto]]</f>
        <v>38285580.644972771</v>
      </c>
      <c r="M93" s="34">
        <f>'Verotuloihin perust tasaus'!N98</f>
        <v>-1039607.9770444335</v>
      </c>
      <c r="N93" s="303">
        <f>SUM(Yhteenveto[[#This Row],[Valtionosuus ennen verotuloihin perustuvaa valtionosuuden tasausta]]+Yhteenveto[[#This Row],[Verotuloihin perustuva valtionosuuden tasaus]])</f>
        <v>37245972.667928338</v>
      </c>
      <c r="O93" s="241">
        <v>2558190.7321164985</v>
      </c>
      <c r="P93" s="372">
        <f>SUM(Yhteenveto[[#This Row],[Kunnan  peruspalvelujen valtionosuus ]:[Veroperustemuutoksista johtuvien veromenetysten korvaus]])</f>
        <v>39804163.400044836</v>
      </c>
      <c r="Q93" s="34">
        <v>-456723.07074999996</v>
      </c>
      <c r="R93" s="341">
        <f>+Yhteenveto[[#This Row],[Kunnan  peruspalvelujen valtionosuus ]]+Yhteenveto[[#This Row],[Veroperustemuutoksista johtuvien veromenetysten korvaus]]+Yhteenveto[[#This Row],[Kotikuntakorvaus, netto]]</f>
        <v>39347440.329294838</v>
      </c>
      <c r="S93" s="11"/>
      <c r="T93"/>
    </row>
    <row r="94" spans="1:20" ht="15">
      <c r="A94" s="32">
        <v>260</v>
      </c>
      <c r="B94" s="13" t="s">
        <v>99</v>
      </c>
      <c r="C94" s="15">
        <v>9689</v>
      </c>
      <c r="D94" s="15">
        <f>Ikärakenne[[#This Row],[Laskennalliset kustannukset, IKÄRAKENNE yhteensä, €]]</f>
        <v>10621672.890000001</v>
      </c>
      <c r="E94" s="15">
        <f>'Lask. kustannukset MUUT'!AD100</f>
        <v>4360941.9591014078</v>
      </c>
      <c r="F94" s="231">
        <f>Yhteenveto[[#This Row],[Ikärakenne, laskennallinen kustannus]]+Yhteenveto[[#This Row],[Muut laskennalliset kustannukset ]]</f>
        <v>14982614.849101409</v>
      </c>
      <c r="G94" s="498">
        <v>1422.47</v>
      </c>
      <c r="H94" s="17">
        <v>13782311.83</v>
      </c>
      <c r="I94" s="339">
        <f>Yhteenveto[[#This Row],[Laskennalliset kustannukset yhteensä]]-Yhteenveto[[#This Row],[Omarahoitusosuus, €]]</f>
        <v>1200303.0191014092</v>
      </c>
      <c r="J94" s="33">
        <v>1472243.6016872623</v>
      </c>
      <c r="K94" s="34">
        <f>'Muut lis_väh'!O92</f>
        <v>4119062.6428714884</v>
      </c>
      <c r="L94" s="231">
        <f>Yhteenveto[[#This Row],[Valtionosuus omarahoitusosuuden jälkeen (välisumma)]]+Yhteenveto[[#This Row],[Lisäosat yhteensä]]+Yhteenveto[[#This Row],[Valtionosuuteen tehtävät vähennykset ja lisäykset, netto]]</f>
        <v>6791609.2636601599</v>
      </c>
      <c r="M94" s="34">
        <f>'Verotuloihin perust tasaus'!N99</f>
        <v>5472587.8201415716</v>
      </c>
      <c r="N94" s="303">
        <f>SUM(Yhteenveto[[#This Row],[Valtionosuus ennen verotuloihin perustuvaa valtionosuuden tasausta]]+Yhteenveto[[#This Row],[Verotuloihin perustuva valtionosuuden tasaus]])</f>
        <v>12264197.083801731</v>
      </c>
      <c r="O94" s="241">
        <v>1644404.4447822773</v>
      </c>
      <c r="P94" s="372">
        <f>SUM(Yhteenveto[[#This Row],[Kunnan  peruspalvelujen valtionosuus ]:[Veroperustemuutoksista johtuvien veromenetysten korvaus]])</f>
        <v>13908601.528584009</v>
      </c>
      <c r="Q94" s="34">
        <v>26742.197710000008</v>
      </c>
      <c r="R94" s="341">
        <f>+Yhteenveto[[#This Row],[Kunnan  peruspalvelujen valtionosuus ]]+Yhteenveto[[#This Row],[Veroperustemuutoksista johtuvien veromenetysten korvaus]]+Yhteenveto[[#This Row],[Kotikuntakorvaus, netto]]</f>
        <v>13935343.726294009</v>
      </c>
      <c r="S94" s="11"/>
      <c r="T94"/>
    </row>
    <row r="95" spans="1:20" ht="15">
      <c r="A95" s="32">
        <v>261</v>
      </c>
      <c r="B95" s="13" t="s">
        <v>100</v>
      </c>
      <c r="C95" s="15">
        <v>6822</v>
      </c>
      <c r="D95" s="15">
        <f>Ikärakenne[[#This Row],[Laskennalliset kustannukset, IKÄRAKENNE yhteensä, €]]</f>
        <v>10066198.079999998</v>
      </c>
      <c r="E95" s="15">
        <f>'Lask. kustannukset MUUT'!AD101</f>
        <v>7126035.7512988299</v>
      </c>
      <c r="F95" s="231">
        <f>Yhteenveto[[#This Row],[Ikärakenne, laskennallinen kustannus]]+Yhteenveto[[#This Row],[Muut laskennalliset kustannukset ]]</f>
        <v>17192233.831298828</v>
      </c>
      <c r="G95" s="498">
        <v>1422.47</v>
      </c>
      <c r="H95" s="17">
        <v>9704090.3399999999</v>
      </c>
      <c r="I95" s="339">
        <f>Yhteenveto[[#This Row],[Laskennalliset kustannukset yhteensä]]-Yhteenveto[[#This Row],[Omarahoitusosuus, €]]</f>
        <v>7488143.4912988283</v>
      </c>
      <c r="J95" s="33">
        <v>2509700.4331748374</v>
      </c>
      <c r="K95" s="34">
        <f>'Muut lis_väh'!O93</f>
        <v>2074618.5376328309</v>
      </c>
      <c r="L95" s="231">
        <f>Yhteenveto[[#This Row],[Valtionosuus omarahoitusosuuden jälkeen (välisumma)]]+Yhteenveto[[#This Row],[Lisäosat yhteensä]]+Yhteenveto[[#This Row],[Valtionosuuteen tehtävät vähennykset ja lisäykset, netto]]</f>
        <v>12072462.462106496</v>
      </c>
      <c r="M95" s="34">
        <f>'Verotuloihin perust tasaus'!N100</f>
        <v>-529954.85818384239</v>
      </c>
      <c r="N95" s="303">
        <f>SUM(Yhteenveto[[#This Row],[Valtionosuus ennen verotuloihin perustuvaa valtionosuuden tasausta]]+Yhteenveto[[#This Row],[Verotuloihin perustuva valtionosuuden tasaus]])</f>
        <v>11542507.603922654</v>
      </c>
      <c r="O95" s="241">
        <v>767337.66766363767</v>
      </c>
      <c r="P95" s="372">
        <f>SUM(Yhteenveto[[#This Row],[Kunnan  peruspalvelujen valtionosuus ]:[Veroperustemuutoksista johtuvien veromenetysten korvaus]])</f>
        <v>12309845.271586291</v>
      </c>
      <c r="Q95" s="34">
        <v>-192436.01621999999</v>
      </c>
      <c r="R95" s="341">
        <f>+Yhteenveto[[#This Row],[Kunnan  peruspalvelujen valtionosuus ]]+Yhteenveto[[#This Row],[Veroperustemuutoksista johtuvien veromenetysten korvaus]]+Yhteenveto[[#This Row],[Kotikuntakorvaus, netto]]</f>
        <v>12117409.255366292</v>
      </c>
      <c r="S95" s="11"/>
      <c r="T95"/>
    </row>
    <row r="96" spans="1:20" ht="15">
      <c r="A96" s="32">
        <v>263</v>
      </c>
      <c r="B96" s="13" t="s">
        <v>101</v>
      </c>
      <c r="C96" s="15">
        <v>7475</v>
      </c>
      <c r="D96" s="15">
        <f>Ikärakenne[[#This Row],[Laskennalliset kustannukset, IKÄRAKENNE yhteensä, €]]</f>
        <v>10502656.489999998</v>
      </c>
      <c r="E96" s="15">
        <f>'Lask. kustannukset MUUT'!AD102</f>
        <v>2356269.5818193746</v>
      </c>
      <c r="F96" s="231">
        <f>Yhteenveto[[#This Row],[Ikärakenne, laskennallinen kustannus]]+Yhteenveto[[#This Row],[Muut laskennalliset kustannukset ]]</f>
        <v>12858926.071819372</v>
      </c>
      <c r="G96" s="498">
        <v>1422.47</v>
      </c>
      <c r="H96" s="17">
        <v>10632963.25</v>
      </c>
      <c r="I96" s="339">
        <f>Yhteenveto[[#This Row],[Laskennalliset kustannukset yhteensä]]-Yhteenveto[[#This Row],[Omarahoitusosuus, €]]</f>
        <v>2225962.8218193725</v>
      </c>
      <c r="J96" s="33">
        <v>609789.46283428336</v>
      </c>
      <c r="K96" s="34">
        <f>'Muut lis_väh'!O94</f>
        <v>1012878.0474565434</v>
      </c>
      <c r="L96" s="231">
        <f>Yhteenveto[[#This Row],[Valtionosuus omarahoitusosuuden jälkeen (välisumma)]]+Yhteenveto[[#This Row],[Lisäosat yhteensä]]+Yhteenveto[[#This Row],[Valtionosuuteen tehtävät vähennykset ja lisäykset, netto]]</f>
        <v>3848630.3321101991</v>
      </c>
      <c r="M96" s="34">
        <f>'Verotuloihin perust tasaus'!N101</f>
        <v>4723251.8272610465</v>
      </c>
      <c r="N96" s="303">
        <f>SUM(Yhteenveto[[#This Row],[Valtionosuus ennen verotuloihin perustuvaa valtionosuuden tasausta]]+Yhteenveto[[#This Row],[Verotuloihin perustuva valtionosuuden tasaus]])</f>
        <v>8571882.1593712457</v>
      </c>
      <c r="O96" s="241">
        <v>1291802.2406470729</v>
      </c>
      <c r="P96" s="372">
        <f>SUM(Yhteenveto[[#This Row],[Kunnan  peruspalvelujen valtionosuus ]:[Veroperustemuutoksista johtuvien veromenetysten korvaus]])</f>
        <v>9863684.4000183195</v>
      </c>
      <c r="Q96" s="34">
        <v>202899.94328999997</v>
      </c>
      <c r="R96" s="341">
        <f>+Yhteenveto[[#This Row],[Kunnan  peruspalvelujen valtionosuus ]]+Yhteenveto[[#This Row],[Veroperustemuutoksista johtuvien veromenetysten korvaus]]+Yhteenveto[[#This Row],[Kotikuntakorvaus, netto]]</f>
        <v>10066584.34330832</v>
      </c>
      <c r="S96" s="11"/>
      <c r="T96"/>
    </row>
    <row r="97" spans="1:20" ht="15">
      <c r="A97" s="32">
        <v>265</v>
      </c>
      <c r="B97" s="13" t="s">
        <v>102</v>
      </c>
      <c r="C97" s="15">
        <v>1035</v>
      </c>
      <c r="D97" s="15">
        <f>Ikärakenne[[#This Row],[Laskennalliset kustannukset, IKÄRAKENNE yhteensä, €]]</f>
        <v>1353033.03</v>
      </c>
      <c r="E97" s="15">
        <f>'Lask. kustannukset MUUT'!AD103</f>
        <v>626920.92834120395</v>
      </c>
      <c r="F97" s="231">
        <f>Yhteenveto[[#This Row],[Ikärakenne, laskennallinen kustannus]]+Yhteenveto[[#This Row],[Muut laskennalliset kustannukset ]]</f>
        <v>1979953.9583412041</v>
      </c>
      <c r="G97" s="498">
        <v>1422.47</v>
      </c>
      <c r="H97" s="17">
        <v>1472256.45</v>
      </c>
      <c r="I97" s="339">
        <f>Yhteenveto[[#This Row],[Laskennalliset kustannukset yhteensä]]-Yhteenveto[[#This Row],[Omarahoitusosuus, €]]</f>
        <v>507697.50834120414</v>
      </c>
      <c r="J97" s="33">
        <v>369393.040490899</v>
      </c>
      <c r="K97" s="34">
        <f>'Muut lis_väh'!O95</f>
        <v>495993.65469962184</v>
      </c>
      <c r="L97" s="231">
        <f>Yhteenveto[[#This Row],[Valtionosuus omarahoitusosuuden jälkeen (välisumma)]]+Yhteenveto[[#This Row],[Lisäosat yhteensä]]+Yhteenveto[[#This Row],[Valtionosuuteen tehtävät vähennykset ja lisäykset, netto]]</f>
        <v>1373084.2035317249</v>
      </c>
      <c r="M97" s="34">
        <f>'Verotuloihin perust tasaus'!N102</f>
        <v>428355.27766009507</v>
      </c>
      <c r="N97" s="303">
        <f>SUM(Yhteenveto[[#This Row],[Valtionosuus ennen verotuloihin perustuvaa valtionosuuden tasausta]]+Yhteenveto[[#This Row],[Verotuloihin perustuva valtionosuuden tasaus]])</f>
        <v>1801439.48119182</v>
      </c>
      <c r="O97" s="241">
        <v>185072.13421763398</v>
      </c>
      <c r="P97" s="372">
        <f>SUM(Yhteenveto[[#This Row],[Kunnan  peruspalvelujen valtionosuus ]:[Veroperustemuutoksista johtuvien veromenetysten korvaus]])</f>
        <v>1986511.6154094539</v>
      </c>
      <c r="Q97" s="34">
        <v>-53336.239199999996</v>
      </c>
      <c r="R97" s="341">
        <f>+Yhteenveto[[#This Row],[Kunnan  peruspalvelujen valtionosuus ]]+Yhteenveto[[#This Row],[Veroperustemuutoksista johtuvien veromenetysten korvaus]]+Yhteenveto[[#This Row],[Kotikuntakorvaus, netto]]</f>
        <v>1933175.3762094539</v>
      </c>
      <c r="S97" s="11"/>
      <c r="T97"/>
    </row>
    <row r="98" spans="1:20" ht="15">
      <c r="A98" s="32">
        <v>271</v>
      </c>
      <c r="B98" s="13" t="s">
        <v>103</v>
      </c>
      <c r="C98" s="15">
        <v>6766</v>
      </c>
      <c r="D98" s="15">
        <f>Ikärakenne[[#This Row],[Laskennalliset kustannukset, IKÄRAKENNE yhteensä, €]]</f>
        <v>8569521.959999999</v>
      </c>
      <c r="E98" s="15">
        <f>'Lask. kustannukset MUUT'!AD104</f>
        <v>1645510.131924368</v>
      </c>
      <c r="F98" s="231">
        <f>Yhteenveto[[#This Row],[Ikärakenne, laskennallinen kustannus]]+Yhteenveto[[#This Row],[Muut laskennalliset kustannukset ]]</f>
        <v>10215032.091924367</v>
      </c>
      <c r="G98" s="498">
        <v>1422.47</v>
      </c>
      <c r="H98" s="17">
        <v>9624432.0199999996</v>
      </c>
      <c r="I98" s="339">
        <f>Yhteenveto[[#This Row],[Laskennalliset kustannukset yhteensä]]-Yhteenveto[[#This Row],[Omarahoitusosuus, €]]</f>
        <v>590600.07192436792</v>
      </c>
      <c r="J98" s="33">
        <v>218908.41290486831</v>
      </c>
      <c r="K98" s="34">
        <f>'Muut lis_väh'!O96</f>
        <v>-1241125.4241577256</v>
      </c>
      <c r="L98" s="231">
        <f>Yhteenveto[[#This Row],[Valtionosuus omarahoitusosuuden jälkeen (välisumma)]]+Yhteenveto[[#This Row],[Lisäosat yhteensä]]+Yhteenveto[[#This Row],[Valtionosuuteen tehtävät vähennykset ja lisäykset, netto]]</f>
        <v>-431616.93932848936</v>
      </c>
      <c r="M98" s="34">
        <f>'Verotuloihin perust tasaus'!N103</f>
        <v>3147505.7166326898</v>
      </c>
      <c r="N98" s="303">
        <f>SUM(Yhteenveto[[#This Row],[Valtionosuus ennen verotuloihin perustuvaa valtionosuuden tasausta]]+Yhteenveto[[#This Row],[Verotuloihin perustuva valtionosuuden tasaus]])</f>
        <v>2715888.7773042005</v>
      </c>
      <c r="O98" s="241">
        <v>948110.65714059421</v>
      </c>
      <c r="P98" s="372">
        <f>SUM(Yhteenveto[[#This Row],[Kunnan  peruspalvelujen valtionosuus ]:[Veroperustemuutoksista johtuvien veromenetysten korvaus]])</f>
        <v>3663999.4344447944</v>
      </c>
      <c r="Q98" s="34">
        <v>101072.48850999997</v>
      </c>
      <c r="R98" s="341">
        <f>+Yhteenveto[[#This Row],[Kunnan  peruspalvelujen valtionosuus ]]+Yhteenveto[[#This Row],[Veroperustemuutoksista johtuvien veromenetysten korvaus]]+Yhteenveto[[#This Row],[Kotikuntakorvaus, netto]]</f>
        <v>3765071.9229547945</v>
      </c>
      <c r="S98" s="11"/>
      <c r="T98"/>
    </row>
    <row r="99" spans="1:20" ht="15">
      <c r="A99" s="32">
        <v>272</v>
      </c>
      <c r="B99" s="13" t="s">
        <v>104</v>
      </c>
      <c r="C99" s="15">
        <v>48295</v>
      </c>
      <c r="D99" s="15">
        <f>Ikärakenne[[#This Row],[Laskennalliset kustannukset, IKÄRAKENNE yhteensä, €]]</f>
        <v>85501780.229999989</v>
      </c>
      <c r="E99" s="15">
        <f>'Lask. kustannukset MUUT'!AD105</f>
        <v>13849866.719052633</v>
      </c>
      <c r="F99" s="231">
        <f>Yhteenveto[[#This Row],[Ikärakenne, laskennallinen kustannus]]+Yhteenveto[[#This Row],[Muut laskennalliset kustannukset ]]</f>
        <v>99351646.949052617</v>
      </c>
      <c r="G99" s="498">
        <v>1422.47</v>
      </c>
      <c r="H99" s="17">
        <v>68698188.650000006</v>
      </c>
      <c r="I99" s="339">
        <f>Yhteenveto[[#This Row],[Laskennalliset kustannukset yhteensä]]-Yhteenveto[[#This Row],[Omarahoitusosuus, €]]</f>
        <v>30653458.299052611</v>
      </c>
      <c r="J99" s="33">
        <v>1858332.8855288506</v>
      </c>
      <c r="K99" s="34">
        <f>'Muut lis_väh'!O97</f>
        <v>-16799705.755212028</v>
      </c>
      <c r="L99" s="231">
        <f>Yhteenveto[[#This Row],[Valtionosuus omarahoitusosuuden jälkeen (välisumma)]]+Yhteenveto[[#This Row],[Lisäosat yhteensä]]+Yhteenveto[[#This Row],[Valtionosuuteen tehtävät vähennykset ja lisäykset, netto]]</f>
        <v>15712085.429369435</v>
      </c>
      <c r="M99" s="34">
        <f>'Verotuloihin perust tasaus'!N104</f>
        <v>9791364.3566136938</v>
      </c>
      <c r="N99" s="303">
        <f>SUM(Yhteenveto[[#This Row],[Valtionosuus ennen verotuloihin perustuvaa valtionosuuden tasausta]]+Yhteenveto[[#This Row],[Verotuloihin perustuva valtionosuuden tasaus]])</f>
        <v>25503449.78598313</v>
      </c>
      <c r="O99" s="241">
        <v>4250916.1616255511</v>
      </c>
      <c r="P99" s="372">
        <f>SUM(Yhteenveto[[#This Row],[Kunnan  peruspalvelujen valtionosuus ]:[Veroperustemuutoksista johtuvien veromenetysten korvaus]])</f>
        <v>29754365.94760868</v>
      </c>
      <c r="Q99" s="34">
        <v>353489.70800999994</v>
      </c>
      <c r="R99" s="341">
        <f>+Yhteenveto[[#This Row],[Kunnan  peruspalvelujen valtionosuus ]]+Yhteenveto[[#This Row],[Veroperustemuutoksista johtuvien veromenetysten korvaus]]+Yhteenveto[[#This Row],[Kotikuntakorvaus, netto]]</f>
        <v>30107855.655618679</v>
      </c>
      <c r="S99" s="11"/>
      <c r="T99"/>
    </row>
    <row r="100" spans="1:20" ht="15">
      <c r="A100" s="32">
        <v>273</v>
      </c>
      <c r="B100" s="13" t="s">
        <v>105</v>
      </c>
      <c r="C100" s="15">
        <v>4011</v>
      </c>
      <c r="D100" s="15">
        <f>Ikärakenne[[#This Row],[Laskennalliset kustannukset, IKÄRAKENNE yhteensä, €]]</f>
        <v>6046447.4500000011</v>
      </c>
      <c r="E100" s="15">
        <f>'Lask. kustannukset MUUT'!AD106</f>
        <v>2691581.2551897746</v>
      </c>
      <c r="F100" s="231">
        <f>Yhteenveto[[#This Row],[Ikärakenne, laskennallinen kustannus]]+Yhteenveto[[#This Row],[Muut laskennalliset kustannukset ]]</f>
        <v>8738028.7051897757</v>
      </c>
      <c r="G100" s="498">
        <v>1422.47</v>
      </c>
      <c r="H100" s="17">
        <v>5705527.1699999999</v>
      </c>
      <c r="I100" s="339">
        <f>Yhteenveto[[#This Row],[Laskennalliset kustannukset yhteensä]]-Yhteenveto[[#This Row],[Omarahoitusosuus, €]]</f>
        <v>3032501.5351897758</v>
      </c>
      <c r="J100" s="33">
        <v>1562582.75697972</v>
      </c>
      <c r="K100" s="34">
        <f>'Muut lis_väh'!O98</f>
        <v>36004.589019900071</v>
      </c>
      <c r="L100" s="231">
        <f>Yhteenveto[[#This Row],[Valtionosuus omarahoitusosuuden jälkeen (välisumma)]]+Yhteenveto[[#This Row],[Lisäosat yhteensä]]+Yhteenveto[[#This Row],[Valtionosuuteen tehtävät vähennykset ja lisäykset, netto]]</f>
        <v>4631088.8811893957</v>
      </c>
      <c r="M100" s="34">
        <f>'Verotuloihin perust tasaus'!N105</f>
        <v>281659.0017016835</v>
      </c>
      <c r="N100" s="303">
        <f>SUM(Yhteenveto[[#This Row],[Valtionosuus ennen verotuloihin perustuvaa valtionosuuden tasausta]]+Yhteenveto[[#This Row],[Verotuloihin perustuva valtionosuuden tasaus]])</f>
        <v>4912747.8828910794</v>
      </c>
      <c r="O100" s="241">
        <v>480817.20821794815</v>
      </c>
      <c r="P100" s="372">
        <f>SUM(Yhteenveto[[#This Row],[Kunnan  peruspalvelujen valtionosuus ]:[Veroperustemuutoksista johtuvien veromenetysten korvaus]])</f>
        <v>5393565.0911090272</v>
      </c>
      <c r="Q100" s="34">
        <v>45214.441309999966</v>
      </c>
      <c r="R100" s="341">
        <f>+Yhteenveto[[#This Row],[Kunnan  peruspalvelujen valtionosuus ]]+Yhteenveto[[#This Row],[Veroperustemuutoksista johtuvien veromenetysten korvaus]]+Yhteenveto[[#This Row],[Kotikuntakorvaus, netto]]</f>
        <v>5438779.5324190268</v>
      </c>
      <c r="S100" s="11"/>
      <c r="T100"/>
    </row>
    <row r="101" spans="1:20" ht="15">
      <c r="A101" s="32">
        <v>275</v>
      </c>
      <c r="B101" s="13" t="s">
        <v>106</v>
      </c>
      <c r="C101" s="15">
        <v>2499</v>
      </c>
      <c r="D101" s="15">
        <f>Ikärakenne[[#This Row],[Laskennalliset kustannukset, IKÄRAKENNE yhteensä, €]]</f>
        <v>3300193.52</v>
      </c>
      <c r="E101" s="15">
        <f>'Lask. kustannukset MUUT'!AD107</f>
        <v>833491.55645297398</v>
      </c>
      <c r="F101" s="231">
        <f>Yhteenveto[[#This Row],[Ikärakenne, laskennallinen kustannus]]+Yhteenveto[[#This Row],[Muut laskennalliset kustannukset ]]</f>
        <v>4133685.0764529742</v>
      </c>
      <c r="G101" s="498">
        <v>1422.47</v>
      </c>
      <c r="H101" s="17">
        <v>3554752.5300000003</v>
      </c>
      <c r="I101" s="339">
        <f>Yhteenveto[[#This Row],[Laskennalliset kustannukset yhteensä]]-Yhteenveto[[#This Row],[Omarahoitusosuus, €]]</f>
        <v>578932.54645297397</v>
      </c>
      <c r="J101" s="33">
        <v>234790.16788888542</v>
      </c>
      <c r="K101" s="34">
        <f>'Muut lis_väh'!O99</f>
        <v>304550.40062216378</v>
      </c>
      <c r="L101" s="231">
        <f>Yhteenveto[[#This Row],[Valtionosuus omarahoitusosuuden jälkeen (välisumma)]]+Yhteenveto[[#This Row],[Lisäosat yhteensä]]+Yhteenveto[[#This Row],[Valtionosuuteen tehtävät vähennykset ja lisäykset, netto]]</f>
        <v>1118273.1149640232</v>
      </c>
      <c r="M101" s="34">
        <f>'Verotuloihin perust tasaus'!N106</f>
        <v>1264202.5706336354</v>
      </c>
      <c r="N101" s="303">
        <f>SUM(Yhteenveto[[#This Row],[Valtionosuus ennen verotuloihin perustuvaa valtionosuuden tasausta]]+Yhteenveto[[#This Row],[Verotuloihin perustuva valtionosuuden tasaus]])</f>
        <v>2382475.6855976586</v>
      </c>
      <c r="O101" s="241">
        <v>360133.68655415392</v>
      </c>
      <c r="P101" s="372">
        <f>SUM(Yhteenveto[[#This Row],[Kunnan  peruspalvelujen valtionosuus ]:[Veroperustemuutoksista johtuvien veromenetysten korvaus]])</f>
        <v>2742609.3721518125</v>
      </c>
      <c r="Q101" s="34">
        <v>37039.054999999993</v>
      </c>
      <c r="R101" s="341">
        <f>+Yhteenveto[[#This Row],[Kunnan  peruspalvelujen valtionosuus ]]+Yhteenveto[[#This Row],[Veroperustemuutoksista johtuvien veromenetysten korvaus]]+Yhteenveto[[#This Row],[Kotikuntakorvaus, netto]]</f>
        <v>2779648.4271518127</v>
      </c>
      <c r="S101" s="11"/>
      <c r="T101"/>
    </row>
    <row r="102" spans="1:20" ht="15">
      <c r="A102" s="32">
        <v>276</v>
      </c>
      <c r="B102" s="13" t="s">
        <v>107</v>
      </c>
      <c r="C102" s="15">
        <v>15136</v>
      </c>
      <c r="D102" s="15">
        <f>Ikärakenne[[#This Row],[Laskennalliset kustannukset, IKÄRAKENNE yhteensä, €]]</f>
        <v>30105079.809999995</v>
      </c>
      <c r="E102" s="15">
        <f>'Lask. kustannukset MUUT'!AD108</f>
        <v>3050710.3688546829</v>
      </c>
      <c r="F102" s="231">
        <f>Yhteenveto[[#This Row],[Ikärakenne, laskennallinen kustannus]]+Yhteenveto[[#This Row],[Muut laskennalliset kustannukset ]]</f>
        <v>33155790.178854678</v>
      </c>
      <c r="G102" s="498">
        <v>1422.47</v>
      </c>
      <c r="H102" s="17">
        <v>21530505.920000002</v>
      </c>
      <c r="I102" s="339">
        <f>Yhteenveto[[#This Row],[Laskennalliset kustannukset yhteensä]]-Yhteenveto[[#This Row],[Omarahoitusosuus, €]]</f>
        <v>11625284.258854676</v>
      </c>
      <c r="J102" s="33">
        <v>499620.20618332853</v>
      </c>
      <c r="K102" s="34">
        <f>'Muut lis_väh'!O100</f>
        <v>333725.56092722691</v>
      </c>
      <c r="L102" s="231">
        <f>Yhteenveto[[#This Row],[Valtionosuus omarahoitusosuuden jälkeen (välisumma)]]+Yhteenveto[[#This Row],[Lisäosat yhteensä]]+Yhteenveto[[#This Row],[Valtionosuuteen tehtävät vähennykset ja lisäykset, netto]]</f>
        <v>12458630.025965232</v>
      </c>
      <c r="M102" s="34">
        <f>'Verotuloihin perust tasaus'!N107</f>
        <v>5367243.3464879487</v>
      </c>
      <c r="N102" s="303">
        <f>SUM(Yhteenveto[[#This Row],[Valtionosuus ennen verotuloihin perustuvaa valtionosuuden tasausta]]+Yhteenveto[[#This Row],[Verotuloihin perustuva valtionosuuden tasaus]])</f>
        <v>17825873.372453183</v>
      </c>
      <c r="O102" s="241">
        <v>923357.20168559765</v>
      </c>
      <c r="P102" s="372">
        <f>SUM(Yhteenveto[[#This Row],[Kunnan  peruspalvelujen valtionosuus ]:[Veroperustemuutoksista johtuvien veromenetysten korvaus]])</f>
        <v>18749230.574138779</v>
      </c>
      <c r="Q102" s="34">
        <v>-312305.43111000006</v>
      </c>
      <c r="R102" s="341">
        <f>+Yhteenveto[[#This Row],[Kunnan  peruspalvelujen valtionosuus ]]+Yhteenveto[[#This Row],[Veroperustemuutoksista johtuvien veromenetysten korvaus]]+Yhteenveto[[#This Row],[Kotikuntakorvaus, netto]]</f>
        <v>18436925.143028781</v>
      </c>
      <c r="S102" s="11"/>
      <c r="T102"/>
    </row>
    <row r="103" spans="1:20" ht="15">
      <c r="A103" s="32">
        <v>280</v>
      </c>
      <c r="B103" s="13" t="s">
        <v>108</v>
      </c>
      <c r="C103" s="15">
        <v>2015</v>
      </c>
      <c r="D103" s="15">
        <f>Ikärakenne[[#This Row],[Laskennalliset kustannukset, IKÄRAKENNE yhteensä, €]]</f>
        <v>2920411.36</v>
      </c>
      <c r="E103" s="15">
        <f>'Lask. kustannukset MUUT'!AD109</f>
        <v>1354961.5496322841</v>
      </c>
      <c r="F103" s="231">
        <f>Yhteenveto[[#This Row],[Ikärakenne, laskennallinen kustannus]]+Yhteenveto[[#This Row],[Muut laskennalliset kustannukset ]]</f>
        <v>4275372.9096322842</v>
      </c>
      <c r="G103" s="498">
        <v>1422.47</v>
      </c>
      <c r="H103" s="17">
        <v>2866277.0500000003</v>
      </c>
      <c r="I103" s="339">
        <f>Yhteenveto[[#This Row],[Laskennalliset kustannukset yhteensä]]-Yhteenveto[[#This Row],[Omarahoitusosuus, €]]</f>
        <v>1409095.8596322839</v>
      </c>
      <c r="J103" s="33">
        <v>301847.6185807453</v>
      </c>
      <c r="K103" s="34">
        <f>'Muut lis_väh'!O101</f>
        <v>269149.00698582712</v>
      </c>
      <c r="L103" s="231">
        <f>Yhteenveto[[#This Row],[Valtionosuus omarahoitusosuuden jälkeen (välisumma)]]+Yhteenveto[[#This Row],[Lisäosat yhteensä]]+Yhteenveto[[#This Row],[Valtionosuuteen tehtävät vähennykset ja lisäykset, netto]]</f>
        <v>1980092.4851988563</v>
      </c>
      <c r="M103" s="34">
        <f>'Verotuloihin perust tasaus'!N108</f>
        <v>911453.19385094242</v>
      </c>
      <c r="N103" s="303">
        <f>SUM(Yhteenveto[[#This Row],[Valtionosuus ennen verotuloihin perustuvaa valtionosuuden tasausta]]+Yhteenveto[[#This Row],[Verotuloihin perustuva valtionosuuden tasaus]])</f>
        <v>2891545.6790497988</v>
      </c>
      <c r="O103" s="241">
        <v>344645.96727414476</v>
      </c>
      <c r="P103" s="372">
        <f>SUM(Yhteenveto[[#This Row],[Kunnan  peruspalvelujen valtionosuus ]:[Veroperustemuutoksista johtuvien veromenetysten korvaus]])</f>
        <v>3236191.6463239435</v>
      </c>
      <c r="Q103" s="34">
        <v>-883011.07120000001</v>
      </c>
      <c r="R103" s="341">
        <f>+Yhteenveto[[#This Row],[Kunnan  peruspalvelujen valtionosuus ]]+Yhteenveto[[#This Row],[Veroperustemuutoksista johtuvien veromenetysten korvaus]]+Yhteenveto[[#This Row],[Kotikuntakorvaus, netto]]</f>
        <v>2353180.5751239434</v>
      </c>
      <c r="S103" s="11"/>
      <c r="T103"/>
    </row>
    <row r="104" spans="1:20" ht="15">
      <c r="A104" s="32">
        <v>284</v>
      </c>
      <c r="B104" s="13" t="s">
        <v>109</v>
      </c>
      <c r="C104" s="15">
        <v>2207</v>
      </c>
      <c r="D104" s="15">
        <f>Ikärakenne[[#This Row],[Laskennalliset kustannukset, IKÄRAKENNE yhteensä, €]]</f>
        <v>2871442.2300000004</v>
      </c>
      <c r="E104" s="15">
        <f>'Lask. kustannukset MUUT'!AD110</f>
        <v>587928.50538244098</v>
      </c>
      <c r="F104" s="231">
        <f>Yhteenveto[[#This Row],[Ikärakenne, laskennallinen kustannus]]+Yhteenveto[[#This Row],[Muut laskennalliset kustannukset ]]</f>
        <v>3459370.7353824414</v>
      </c>
      <c r="G104" s="498">
        <v>1422.47</v>
      </c>
      <c r="H104" s="17">
        <v>3139391.29</v>
      </c>
      <c r="I104" s="339">
        <f>Yhteenveto[[#This Row],[Laskennalliset kustannukset yhteensä]]-Yhteenveto[[#This Row],[Omarahoitusosuus, €]]</f>
        <v>319979.44538244139</v>
      </c>
      <c r="J104" s="33">
        <v>71557.106700493736</v>
      </c>
      <c r="K104" s="34">
        <f>'Muut lis_väh'!O102</f>
        <v>787575.34554578236</v>
      </c>
      <c r="L104" s="231">
        <f>Yhteenveto[[#This Row],[Valtionosuus omarahoitusosuuden jälkeen (välisumma)]]+Yhteenveto[[#This Row],[Lisäosat yhteensä]]+Yhteenveto[[#This Row],[Valtionosuuteen tehtävät vähennykset ja lisäykset, netto]]</f>
        <v>1179111.8976287176</v>
      </c>
      <c r="M104" s="34">
        <f>'Verotuloihin perust tasaus'!N109</f>
        <v>539735.13629440602</v>
      </c>
      <c r="N104" s="303">
        <f>SUM(Yhteenveto[[#This Row],[Valtionosuus ennen verotuloihin perustuvaa valtionosuuden tasausta]]+Yhteenveto[[#This Row],[Verotuloihin perustuva valtionosuuden tasaus]])</f>
        <v>1718847.0339231235</v>
      </c>
      <c r="O104" s="241">
        <v>395490.08672781003</v>
      </c>
      <c r="P104" s="372">
        <f>SUM(Yhteenveto[[#This Row],[Kunnan  peruspalvelujen valtionosuus ]:[Veroperustemuutoksista johtuvien veromenetysten korvaus]])</f>
        <v>2114337.1206509336</v>
      </c>
      <c r="Q104" s="34">
        <v>1121542.5854</v>
      </c>
      <c r="R104" s="341">
        <f>+Yhteenveto[[#This Row],[Kunnan  peruspalvelujen valtionosuus ]]+Yhteenveto[[#This Row],[Veroperustemuutoksista johtuvien veromenetysten korvaus]]+Yhteenveto[[#This Row],[Kotikuntakorvaus, netto]]</f>
        <v>3235879.7060509333</v>
      </c>
      <c r="S104" s="11"/>
      <c r="T104"/>
    </row>
    <row r="105" spans="1:20" ht="15">
      <c r="A105" s="32">
        <v>285</v>
      </c>
      <c r="B105" s="13" t="s">
        <v>110</v>
      </c>
      <c r="C105" s="15">
        <v>50500</v>
      </c>
      <c r="D105" s="15">
        <f>Ikärakenne[[#This Row],[Laskennalliset kustannukset, IKÄRAKENNE yhteensä, €]]</f>
        <v>64111600.460000008</v>
      </c>
      <c r="E105" s="15">
        <f>'Lask. kustannukset MUUT'!AD111</f>
        <v>19374263.536792494</v>
      </c>
      <c r="F105" s="231">
        <f>Yhteenveto[[#This Row],[Ikärakenne, laskennallinen kustannus]]+Yhteenveto[[#This Row],[Muut laskennalliset kustannukset ]]</f>
        <v>83485863.996792495</v>
      </c>
      <c r="G105" s="498">
        <v>1422.47</v>
      </c>
      <c r="H105" s="17">
        <v>71834735</v>
      </c>
      <c r="I105" s="339">
        <f>Yhteenveto[[#This Row],[Laskennalliset kustannukset yhteensä]]-Yhteenveto[[#This Row],[Omarahoitusosuus, €]]</f>
        <v>11651128.996792495</v>
      </c>
      <c r="J105" s="33">
        <v>1764392.1717286904</v>
      </c>
      <c r="K105" s="34">
        <f>'Muut lis_väh'!O103</f>
        <v>-15555225.705340089</v>
      </c>
      <c r="L105" s="231">
        <f>Yhteenveto[[#This Row],[Valtionosuus omarahoitusosuuden jälkeen (välisumma)]]+Yhteenveto[[#This Row],[Lisäosat yhteensä]]+Yhteenveto[[#This Row],[Valtionosuuteen tehtävät vähennykset ja lisäykset, netto]]</f>
        <v>-2139704.5368189029</v>
      </c>
      <c r="M105" s="34">
        <f>'Verotuloihin perust tasaus'!N110</f>
        <v>10471942.73361513</v>
      </c>
      <c r="N105" s="303">
        <f>SUM(Yhteenveto[[#This Row],[Valtionosuus ennen verotuloihin perustuvaa valtionosuuden tasausta]]+Yhteenveto[[#This Row],[Verotuloihin perustuva valtionosuuden tasaus]])</f>
        <v>8332238.1967962272</v>
      </c>
      <c r="O105" s="241">
        <v>4393904.9719721852</v>
      </c>
      <c r="P105" s="372">
        <f>SUM(Yhteenveto[[#This Row],[Kunnan  peruspalvelujen valtionosuus ]:[Veroperustemuutoksista johtuvien veromenetysten korvaus]])</f>
        <v>12726143.168768413</v>
      </c>
      <c r="Q105" s="34">
        <v>-966582.21218999987</v>
      </c>
      <c r="R105" s="341">
        <f>+Yhteenveto[[#This Row],[Kunnan  peruspalvelujen valtionosuus ]]+Yhteenveto[[#This Row],[Veroperustemuutoksista johtuvien veromenetysten korvaus]]+Yhteenveto[[#This Row],[Kotikuntakorvaus, netto]]</f>
        <v>11759560.956578413</v>
      </c>
      <c r="S105" s="11"/>
      <c r="T105"/>
    </row>
    <row r="106" spans="1:20" ht="15">
      <c r="A106" s="32">
        <v>286</v>
      </c>
      <c r="B106" s="13" t="s">
        <v>111</v>
      </c>
      <c r="C106" s="15">
        <v>78880</v>
      </c>
      <c r="D106" s="15">
        <f>Ikärakenne[[#This Row],[Laskennalliset kustannukset, IKÄRAKENNE yhteensä, €]]</f>
        <v>100339218.95999999</v>
      </c>
      <c r="E106" s="15">
        <f>'Lask. kustannukset MUUT'!AD112</f>
        <v>21156895.670591403</v>
      </c>
      <c r="F106" s="231">
        <f>Yhteenveto[[#This Row],[Ikärakenne, laskennallinen kustannus]]+Yhteenveto[[#This Row],[Muut laskennalliset kustannukset ]]</f>
        <v>121496114.63059139</v>
      </c>
      <c r="G106" s="498">
        <v>1422.47</v>
      </c>
      <c r="H106" s="17">
        <v>112204433.60000001</v>
      </c>
      <c r="I106" s="339">
        <f>Yhteenveto[[#This Row],[Laskennalliset kustannukset yhteensä]]-Yhteenveto[[#This Row],[Omarahoitusosuus, €]]</f>
        <v>9291681.0305913836</v>
      </c>
      <c r="J106" s="33">
        <v>2699781.8112499714</v>
      </c>
      <c r="K106" s="34">
        <f>'Muut lis_väh'!O104</f>
        <v>-26463406.353413925</v>
      </c>
      <c r="L106" s="231">
        <f>Yhteenveto[[#This Row],[Valtionosuus omarahoitusosuuden jälkeen (välisumma)]]+Yhteenveto[[#This Row],[Lisäosat yhteensä]]+Yhteenveto[[#This Row],[Valtionosuuteen tehtävät vähennykset ja lisäykset, netto]]</f>
        <v>-14471943.51157257</v>
      </c>
      <c r="M106" s="34">
        <f>'Verotuloihin perust tasaus'!N111</f>
        <v>13689645.539271627</v>
      </c>
      <c r="N106" s="303">
        <f>SUM(Yhteenveto[[#This Row],[Valtionosuus ennen verotuloihin perustuvaa valtionosuuden tasausta]]+Yhteenveto[[#This Row],[Verotuloihin perustuva valtionosuuden tasaus]])</f>
        <v>-782297.97230094299</v>
      </c>
      <c r="O106" s="241">
        <v>7734924.4763338612</v>
      </c>
      <c r="P106" s="372">
        <f>SUM(Yhteenveto[[#This Row],[Kunnan  peruspalvelujen valtionosuus ]:[Veroperustemuutoksista johtuvien veromenetysten korvaus]])</f>
        <v>6952626.5040329183</v>
      </c>
      <c r="Q106" s="34">
        <v>22070.548389999662</v>
      </c>
      <c r="R106" s="341">
        <f>+Yhteenveto[[#This Row],[Kunnan  peruspalvelujen valtionosuus ]]+Yhteenveto[[#This Row],[Veroperustemuutoksista johtuvien veromenetysten korvaus]]+Yhteenveto[[#This Row],[Kotikuntakorvaus, netto]]</f>
        <v>6974697.0524229184</v>
      </c>
      <c r="S106" s="11"/>
      <c r="T106"/>
    </row>
    <row r="107" spans="1:20" ht="15">
      <c r="A107" s="32">
        <v>287</v>
      </c>
      <c r="B107" s="13" t="s">
        <v>112</v>
      </c>
      <c r="C107" s="15">
        <v>6199</v>
      </c>
      <c r="D107" s="15">
        <f>Ikärakenne[[#This Row],[Laskennalliset kustannukset, IKÄRAKENNE yhteensä, €]]</f>
        <v>7785039.1500000004</v>
      </c>
      <c r="E107" s="15">
        <f>'Lask. kustannukset MUUT'!AD113</f>
        <v>2978001.5213616062</v>
      </c>
      <c r="F107" s="231">
        <f>Yhteenveto[[#This Row],[Ikärakenne, laskennallinen kustannus]]+Yhteenveto[[#This Row],[Muut laskennalliset kustannukset ]]</f>
        <v>10763040.671361607</v>
      </c>
      <c r="G107" s="498">
        <v>1422.47</v>
      </c>
      <c r="H107" s="17">
        <v>8817891.5299999993</v>
      </c>
      <c r="I107" s="339">
        <f>Yhteenveto[[#This Row],[Laskennalliset kustannukset yhteensä]]-Yhteenveto[[#This Row],[Omarahoitusosuus, €]]</f>
        <v>1945149.1413616072</v>
      </c>
      <c r="J107" s="33">
        <v>572845.11910982779</v>
      </c>
      <c r="K107" s="34">
        <f>'Muut lis_väh'!O105</f>
        <v>1596819.0288242043</v>
      </c>
      <c r="L107" s="231">
        <f>Yhteenveto[[#This Row],[Valtionosuus omarahoitusosuuden jälkeen (välisumma)]]+Yhteenveto[[#This Row],[Lisäosat yhteensä]]+Yhteenveto[[#This Row],[Valtionosuuteen tehtävät vähennykset ja lisäykset, netto]]</f>
        <v>4114813.2892956398</v>
      </c>
      <c r="M107" s="34">
        <f>'Verotuloihin perust tasaus'!N112</f>
        <v>2191371.4904184542</v>
      </c>
      <c r="N107" s="303">
        <f>SUM(Yhteenveto[[#This Row],[Valtionosuus ennen verotuloihin perustuvaa valtionosuuden tasausta]]+Yhteenveto[[#This Row],[Verotuloihin perustuva valtionosuuden tasaus]])</f>
        <v>6306184.7797140945</v>
      </c>
      <c r="O107" s="241">
        <v>1031299.0209272153</v>
      </c>
      <c r="P107" s="372">
        <f>SUM(Yhteenveto[[#This Row],[Kunnan  peruspalvelujen valtionosuus ]:[Veroperustemuutoksista johtuvien veromenetysten korvaus]])</f>
        <v>7337483.8006413095</v>
      </c>
      <c r="Q107" s="34">
        <v>924642.96901999984</v>
      </c>
      <c r="R107" s="341">
        <f>+Yhteenveto[[#This Row],[Kunnan  peruspalvelujen valtionosuus ]]+Yhteenveto[[#This Row],[Veroperustemuutoksista johtuvien veromenetysten korvaus]]+Yhteenveto[[#This Row],[Kotikuntakorvaus, netto]]</f>
        <v>8262126.7696613092</v>
      </c>
      <c r="S107" s="11"/>
      <c r="T107"/>
    </row>
    <row r="108" spans="1:20" ht="15">
      <c r="A108" s="32">
        <v>288</v>
      </c>
      <c r="B108" s="13" t="s">
        <v>113</v>
      </c>
      <c r="C108" s="15">
        <v>6368</v>
      </c>
      <c r="D108" s="15">
        <f>Ikärakenne[[#This Row],[Laskennalliset kustannukset, IKÄRAKENNE yhteensä, €]]</f>
        <v>10770371.069999998</v>
      </c>
      <c r="E108" s="15">
        <f>'Lask. kustannukset MUUT'!AD114</f>
        <v>3073790.1292025726</v>
      </c>
      <c r="F108" s="231">
        <f>Yhteenveto[[#This Row],[Ikärakenne, laskennallinen kustannus]]+Yhteenveto[[#This Row],[Muut laskennalliset kustannukset ]]</f>
        <v>13844161.199202571</v>
      </c>
      <c r="G108" s="498">
        <v>1422.47</v>
      </c>
      <c r="H108" s="17">
        <v>9058288.9600000009</v>
      </c>
      <c r="I108" s="339">
        <f>Yhteenveto[[#This Row],[Laskennalliset kustannukset yhteensä]]-Yhteenveto[[#This Row],[Omarahoitusosuus, €]]</f>
        <v>4785872.2392025702</v>
      </c>
      <c r="J108" s="33">
        <v>187649.43606653714</v>
      </c>
      <c r="K108" s="34">
        <f>'Muut lis_väh'!O106</f>
        <v>-503108.72463547037</v>
      </c>
      <c r="L108" s="231">
        <f>Yhteenveto[[#This Row],[Valtionosuus omarahoitusosuuden jälkeen (välisumma)]]+Yhteenveto[[#This Row],[Lisäosat yhteensä]]+Yhteenveto[[#This Row],[Valtionosuuteen tehtävät vähennykset ja lisäykset, netto]]</f>
        <v>4470412.9506336367</v>
      </c>
      <c r="M108" s="34">
        <f>'Verotuloihin perust tasaus'!N113</f>
        <v>2341499.6781093776</v>
      </c>
      <c r="N108" s="303">
        <f>SUM(Yhteenveto[[#This Row],[Valtionosuus ennen verotuloihin perustuvaa valtionosuuden tasausta]]+Yhteenveto[[#This Row],[Verotuloihin perustuva valtionosuuden tasaus]])</f>
        <v>6811912.6287430143</v>
      </c>
      <c r="O108" s="241">
        <v>856326.18838278833</v>
      </c>
      <c r="P108" s="372">
        <f>SUM(Yhteenveto[[#This Row],[Kunnan  peruspalvelujen valtionosuus ]:[Veroperustemuutoksista johtuvien veromenetysten korvaus]])</f>
        <v>7668238.8171258029</v>
      </c>
      <c r="Q108" s="34">
        <v>-575068.36792999995</v>
      </c>
      <c r="R108" s="341">
        <f>+Yhteenveto[[#This Row],[Kunnan  peruspalvelujen valtionosuus ]]+Yhteenveto[[#This Row],[Veroperustemuutoksista johtuvien veromenetysten korvaus]]+Yhteenveto[[#This Row],[Kotikuntakorvaus, netto]]</f>
        <v>7093170.4491958031</v>
      </c>
      <c r="S108" s="11"/>
      <c r="T108"/>
    </row>
    <row r="109" spans="1:20" ht="15">
      <c r="A109" s="32">
        <v>290</v>
      </c>
      <c r="B109" s="13" t="s">
        <v>114</v>
      </c>
      <c r="C109" s="15">
        <v>7582</v>
      </c>
      <c r="D109" s="15">
        <f>Ikärakenne[[#This Row],[Laskennalliset kustannukset, IKÄRAKENNE yhteensä, €]]</f>
        <v>8081024.8799999999</v>
      </c>
      <c r="E109" s="15">
        <f>'Lask. kustannukset MUUT'!AD115</f>
        <v>5099188.4243632918</v>
      </c>
      <c r="F109" s="231">
        <f>Yhteenveto[[#This Row],[Ikärakenne, laskennallinen kustannus]]+Yhteenveto[[#This Row],[Muut laskennalliset kustannukset ]]</f>
        <v>13180213.304363292</v>
      </c>
      <c r="G109" s="498">
        <v>1422.47</v>
      </c>
      <c r="H109" s="17">
        <v>10785167.540000001</v>
      </c>
      <c r="I109" s="339">
        <f>Yhteenveto[[#This Row],[Laskennalliset kustannukset yhteensä]]-Yhteenveto[[#This Row],[Omarahoitusosuus, €]]</f>
        <v>2395045.7643632907</v>
      </c>
      <c r="J109" s="33">
        <v>1323931.5480819768</v>
      </c>
      <c r="K109" s="34">
        <f>'Muut lis_väh'!O107</f>
        <v>749224.57681470388</v>
      </c>
      <c r="L109" s="231">
        <f>Yhteenveto[[#This Row],[Valtionosuus omarahoitusosuuden jälkeen (välisumma)]]+Yhteenveto[[#This Row],[Lisäosat yhteensä]]+Yhteenveto[[#This Row],[Valtionosuuteen tehtävät vähennykset ja lisäykset, netto]]</f>
        <v>4468201.8892599717</v>
      </c>
      <c r="M109" s="34">
        <f>'Verotuloihin perust tasaus'!N114</f>
        <v>2687239.7687346479</v>
      </c>
      <c r="N109" s="303">
        <f>SUM(Yhteenveto[[#This Row],[Valtionosuus ennen verotuloihin perustuvaa valtionosuuden tasausta]]+Yhteenveto[[#This Row],[Verotuloihin perustuva valtionosuuden tasaus]])</f>
        <v>7155441.6579946196</v>
      </c>
      <c r="O109" s="241">
        <v>1205998.9433266926</v>
      </c>
      <c r="P109" s="372">
        <f>SUM(Yhteenveto[[#This Row],[Kunnan  peruspalvelujen valtionosuus ]:[Veroperustemuutoksista johtuvien veromenetysten korvaus]])</f>
        <v>8361440.6013213117</v>
      </c>
      <c r="Q109" s="34">
        <v>-41483.741600000008</v>
      </c>
      <c r="R109" s="341">
        <f>+Yhteenveto[[#This Row],[Kunnan  peruspalvelujen valtionosuus ]]+Yhteenveto[[#This Row],[Veroperustemuutoksista johtuvien veromenetysten korvaus]]+Yhteenveto[[#This Row],[Kotikuntakorvaus, netto]]</f>
        <v>8319956.8597213114</v>
      </c>
      <c r="S109" s="11"/>
      <c r="T109"/>
    </row>
    <row r="110" spans="1:20" ht="15">
      <c r="A110" s="32">
        <v>291</v>
      </c>
      <c r="B110" s="36" t="s">
        <v>115</v>
      </c>
      <c r="C110" s="15">
        <v>2092</v>
      </c>
      <c r="D110" s="15">
        <f>Ikärakenne[[#This Row],[Laskennalliset kustannukset, IKÄRAKENNE yhteensä, €]]</f>
        <v>1862911.1700000002</v>
      </c>
      <c r="E110" s="15">
        <f>'Lask. kustannukset MUUT'!AD116</f>
        <v>919733.70789653249</v>
      </c>
      <c r="F110" s="231">
        <f>Yhteenveto[[#This Row],[Ikärakenne, laskennallinen kustannus]]+Yhteenveto[[#This Row],[Muut laskennalliset kustannukset ]]</f>
        <v>2782644.8778965324</v>
      </c>
      <c r="G110" s="498">
        <v>1422.47</v>
      </c>
      <c r="H110" s="17">
        <v>2975807.24</v>
      </c>
      <c r="I110" s="339">
        <f>Yhteenveto[[#This Row],[Laskennalliset kustannukset yhteensä]]-Yhteenveto[[#This Row],[Omarahoitusosuus, €]]</f>
        <v>-193162.36210346781</v>
      </c>
      <c r="J110" s="33">
        <v>334336.68276093615</v>
      </c>
      <c r="K110" s="34">
        <f>'Muut lis_väh'!O108</f>
        <v>1848794.2510068987</v>
      </c>
      <c r="L110" s="231">
        <f>Yhteenveto[[#This Row],[Valtionosuus omarahoitusosuuden jälkeen (välisumma)]]+Yhteenveto[[#This Row],[Lisäosat yhteensä]]+Yhteenveto[[#This Row],[Valtionosuuteen tehtävät vähennykset ja lisäykset, netto]]</f>
        <v>1989968.5716643671</v>
      </c>
      <c r="M110" s="34">
        <f>'Verotuloihin perust tasaus'!N115</f>
        <v>342662.62882736913</v>
      </c>
      <c r="N110" s="303">
        <f>SUM(Yhteenveto[[#This Row],[Valtionosuus ennen verotuloihin perustuvaa valtionosuuden tasausta]]+Yhteenveto[[#This Row],[Verotuloihin perustuva valtionosuuden tasaus]])</f>
        <v>2332631.2004917362</v>
      </c>
      <c r="O110" s="241">
        <v>329745.45073386724</v>
      </c>
      <c r="P110" s="372">
        <f>SUM(Yhteenveto[[#This Row],[Kunnan  peruspalvelujen valtionosuus ]:[Veroperustemuutoksista johtuvien veromenetysten korvaus]])</f>
        <v>2662376.6512256032</v>
      </c>
      <c r="Q110" s="34">
        <v>7407.8109999999997</v>
      </c>
      <c r="R110" s="341">
        <f>+Yhteenveto[[#This Row],[Kunnan  peruspalvelujen valtionosuus ]]+Yhteenveto[[#This Row],[Veroperustemuutoksista johtuvien veromenetysten korvaus]]+Yhteenveto[[#This Row],[Kotikuntakorvaus, netto]]</f>
        <v>2669784.4622256034</v>
      </c>
      <c r="S110" s="11"/>
      <c r="T110"/>
    </row>
    <row r="111" spans="1:20" ht="15">
      <c r="A111" s="32">
        <v>297</v>
      </c>
      <c r="B111" s="13" t="s">
        <v>116</v>
      </c>
      <c r="C111" s="15">
        <v>124021</v>
      </c>
      <c r="D111" s="15">
        <f>Ikärakenne[[#This Row],[Laskennalliset kustannukset, IKÄRAKENNE yhteensä, €]]</f>
        <v>173570413.97999999</v>
      </c>
      <c r="E111" s="15">
        <f>'Lask. kustannukset MUUT'!AD117</f>
        <v>32591614.740578726</v>
      </c>
      <c r="F111" s="231">
        <f>Yhteenveto[[#This Row],[Ikärakenne, laskennallinen kustannus]]+Yhteenveto[[#This Row],[Muut laskennalliset kustannukset ]]</f>
        <v>206162028.72057873</v>
      </c>
      <c r="G111" s="498">
        <v>1422.47</v>
      </c>
      <c r="H111" s="17">
        <v>176416151.87</v>
      </c>
      <c r="I111" s="339">
        <f>Yhteenveto[[#This Row],[Laskennalliset kustannukset yhteensä]]-Yhteenveto[[#This Row],[Omarahoitusosuus, €]]</f>
        <v>29745876.850578725</v>
      </c>
      <c r="J111" s="33">
        <v>5768432.6414901493</v>
      </c>
      <c r="K111" s="34">
        <f>'Muut lis_väh'!O109</f>
        <v>-31402411.53983511</v>
      </c>
      <c r="L111" s="231">
        <f>Yhteenveto[[#This Row],[Valtionosuus omarahoitusosuuden jälkeen (välisumma)]]+Yhteenveto[[#This Row],[Lisäosat yhteensä]]+Yhteenveto[[#This Row],[Valtionosuuteen tehtävät vähennykset ja lisäykset, netto]]</f>
        <v>4111897.9522337615</v>
      </c>
      <c r="M111" s="34">
        <f>'Verotuloihin perust tasaus'!N116</f>
        <v>24560556.603929359</v>
      </c>
      <c r="N111" s="303">
        <f>SUM(Yhteenveto[[#This Row],[Valtionosuus ennen verotuloihin perustuvaa valtionosuuden tasausta]]+Yhteenveto[[#This Row],[Verotuloihin perustuva valtionosuuden tasaus]])</f>
        <v>28672454.556163121</v>
      </c>
      <c r="O111" s="241">
        <v>11605837.235289603</v>
      </c>
      <c r="P111" s="372">
        <f>SUM(Yhteenveto[[#This Row],[Kunnan  peruspalvelujen valtionosuus ]:[Veroperustemuutoksista johtuvien veromenetysten korvaus]])</f>
        <v>40278291.791452721</v>
      </c>
      <c r="Q111" s="34">
        <v>-2935428.6436400022</v>
      </c>
      <c r="R111" s="341">
        <f>+Yhteenveto[[#This Row],[Kunnan  peruspalvelujen valtionosuus ]]+Yhteenveto[[#This Row],[Veroperustemuutoksista johtuvien veromenetysten korvaus]]+Yhteenveto[[#This Row],[Kotikuntakorvaus, netto]]</f>
        <v>37342863.147812717</v>
      </c>
      <c r="S111" s="11"/>
      <c r="T111"/>
    </row>
    <row r="112" spans="1:20" ht="15">
      <c r="A112" s="32">
        <v>300</v>
      </c>
      <c r="B112" s="13" t="s">
        <v>117</v>
      </c>
      <c r="C112" s="15">
        <v>3381</v>
      </c>
      <c r="D112" s="15">
        <f>Ikärakenne[[#This Row],[Laskennalliset kustannukset, IKÄRAKENNE yhteensä, €]]</f>
        <v>4479477.12</v>
      </c>
      <c r="E112" s="15">
        <f>'Lask. kustannukset MUUT'!AD118</f>
        <v>745272.47683901829</v>
      </c>
      <c r="F112" s="231">
        <f>Yhteenveto[[#This Row],[Ikärakenne, laskennallinen kustannus]]+Yhteenveto[[#This Row],[Muut laskennalliset kustannukset ]]</f>
        <v>5224749.5968390182</v>
      </c>
      <c r="G112" s="498">
        <v>1422.47</v>
      </c>
      <c r="H112" s="17">
        <v>4809371.07</v>
      </c>
      <c r="I112" s="339">
        <f>Yhteenveto[[#This Row],[Laskennalliset kustannukset yhteensä]]-Yhteenveto[[#This Row],[Omarahoitusosuus, €]]</f>
        <v>415378.52683901787</v>
      </c>
      <c r="J112" s="33">
        <v>192024.37640797551</v>
      </c>
      <c r="K112" s="34">
        <f>'Muut lis_väh'!O110</f>
        <v>1841591.043124828</v>
      </c>
      <c r="L112" s="231">
        <f>Yhteenveto[[#This Row],[Valtionosuus omarahoitusosuuden jälkeen (välisumma)]]+Yhteenveto[[#This Row],[Lisäosat yhteensä]]+Yhteenveto[[#This Row],[Valtionosuuteen tehtävät vähennykset ja lisäykset, netto]]</f>
        <v>2448993.9463718217</v>
      </c>
      <c r="M112" s="34">
        <f>'Verotuloihin perust tasaus'!N117</f>
        <v>1724799.9817088549</v>
      </c>
      <c r="N112" s="303">
        <f>SUM(Yhteenveto[[#This Row],[Valtionosuus ennen verotuloihin perustuvaa valtionosuuden tasausta]]+Yhteenveto[[#This Row],[Verotuloihin perustuva valtionosuuden tasaus]])</f>
        <v>4173793.9280806766</v>
      </c>
      <c r="O112" s="241">
        <v>561203.70207826351</v>
      </c>
      <c r="P112" s="372">
        <f>SUM(Yhteenveto[[#This Row],[Kunnan  peruspalvelujen valtionosuus ]:[Veroperustemuutoksista johtuvien veromenetysten korvaus]])</f>
        <v>4734997.6301589403</v>
      </c>
      <c r="Q112" s="34">
        <v>376316.79880000005</v>
      </c>
      <c r="R112" s="341">
        <f>+Yhteenveto[[#This Row],[Kunnan  peruspalvelujen valtionosuus ]]+Yhteenveto[[#This Row],[Veroperustemuutoksista johtuvien veromenetysten korvaus]]+Yhteenveto[[#This Row],[Kotikuntakorvaus, netto]]</f>
        <v>5111314.4289589403</v>
      </c>
      <c r="S112" s="11"/>
      <c r="T112"/>
    </row>
    <row r="113" spans="1:20" ht="15">
      <c r="A113" s="32">
        <v>301</v>
      </c>
      <c r="B113" s="13" t="s">
        <v>118</v>
      </c>
      <c r="C113" s="15">
        <v>19759</v>
      </c>
      <c r="D113" s="15">
        <f>Ikärakenne[[#This Row],[Laskennalliset kustannukset, IKÄRAKENNE yhteensä, €]]</f>
        <v>28726321.340000004</v>
      </c>
      <c r="E113" s="15">
        <f>'Lask. kustannukset MUUT'!AD119</f>
        <v>4392952.4012014791</v>
      </c>
      <c r="F113" s="231">
        <f>Yhteenveto[[#This Row],[Ikärakenne, laskennallinen kustannus]]+Yhteenveto[[#This Row],[Muut laskennalliset kustannukset ]]</f>
        <v>33119273.741201483</v>
      </c>
      <c r="G113" s="498">
        <v>1422.47</v>
      </c>
      <c r="H113" s="17">
        <v>28106584.73</v>
      </c>
      <c r="I113" s="339">
        <f>Yhteenveto[[#This Row],[Laskennalliset kustannukset yhteensä]]-Yhteenveto[[#This Row],[Omarahoitusosuus, €]]</f>
        <v>5012689.0112014823</v>
      </c>
      <c r="J113" s="33">
        <v>655902.62863627414</v>
      </c>
      <c r="K113" s="34">
        <f>'Muut lis_väh'!O111</f>
        <v>-4484929.4832295291</v>
      </c>
      <c r="L113" s="231">
        <f>Yhteenveto[[#This Row],[Valtionosuus omarahoitusosuuden jälkeen (välisumma)]]+Yhteenveto[[#This Row],[Lisäosat yhteensä]]+Yhteenveto[[#This Row],[Valtionosuuteen tehtävät vähennykset ja lisäykset, netto]]</f>
        <v>1183662.1566082276</v>
      </c>
      <c r="M113" s="34">
        <f>'Verotuloihin perust tasaus'!N118</f>
        <v>10345222.710241113</v>
      </c>
      <c r="N113" s="303">
        <f>SUM(Yhteenveto[[#This Row],[Valtionosuus ennen verotuloihin perustuvaa valtionosuuden tasausta]]+Yhteenveto[[#This Row],[Verotuloihin perustuva valtionosuuden tasaus]])</f>
        <v>11528884.86684934</v>
      </c>
      <c r="O113" s="241">
        <v>3182004.3152001603</v>
      </c>
      <c r="P113" s="372">
        <f>SUM(Yhteenveto[[#This Row],[Kunnan  peruspalvelujen valtionosuus ]:[Veroperustemuutoksista johtuvien veromenetysten korvaus]])</f>
        <v>14710889.182049502</v>
      </c>
      <c r="Q113" s="34">
        <v>306905.60972999997</v>
      </c>
      <c r="R113" s="341">
        <f>+Yhteenveto[[#This Row],[Kunnan  peruspalvelujen valtionosuus ]]+Yhteenveto[[#This Row],[Veroperustemuutoksista johtuvien veromenetysten korvaus]]+Yhteenveto[[#This Row],[Kotikuntakorvaus, netto]]</f>
        <v>15017794.791779501</v>
      </c>
      <c r="S113" s="11"/>
      <c r="T113"/>
    </row>
    <row r="114" spans="1:20" ht="15">
      <c r="A114" s="32">
        <v>304</v>
      </c>
      <c r="B114" s="13" t="s">
        <v>119</v>
      </c>
      <c r="C114" s="15">
        <v>949</v>
      </c>
      <c r="D114" s="15">
        <f>Ikärakenne[[#This Row],[Laskennalliset kustannukset, IKÄRAKENNE yhteensä, €]]</f>
        <v>785711.80999999994</v>
      </c>
      <c r="E114" s="15">
        <f>'Lask. kustannukset MUUT'!AD120</f>
        <v>706795.41276087239</v>
      </c>
      <c r="F114" s="231">
        <f>Yhteenveto[[#This Row],[Ikärakenne, laskennallinen kustannus]]+Yhteenveto[[#This Row],[Muut laskennalliset kustannukset ]]</f>
        <v>1492507.2227608724</v>
      </c>
      <c r="G114" s="498">
        <v>1422.47</v>
      </c>
      <c r="H114" s="17">
        <v>1349924.03</v>
      </c>
      <c r="I114" s="339">
        <f>Yhteenveto[[#This Row],[Laskennalliset kustannukset yhteensä]]-Yhteenveto[[#This Row],[Omarahoitusosuus, €]]</f>
        <v>142583.19276087242</v>
      </c>
      <c r="J114" s="33">
        <v>145082.07197051711</v>
      </c>
      <c r="K114" s="34">
        <f>'Muut lis_väh'!O112</f>
        <v>-314103.75478642411</v>
      </c>
      <c r="L114" s="231">
        <f>Yhteenveto[[#This Row],[Valtionosuus omarahoitusosuuden jälkeen (välisumma)]]+Yhteenveto[[#This Row],[Lisäosat yhteensä]]+Yhteenveto[[#This Row],[Valtionosuuteen tehtävät vähennykset ja lisäykset, netto]]</f>
        <v>-26438.490055034577</v>
      </c>
      <c r="M114" s="34">
        <f>'Verotuloihin perust tasaus'!N119</f>
        <v>-72034.4765316009</v>
      </c>
      <c r="N114" s="303">
        <f>SUM(Yhteenveto[[#This Row],[Valtionosuus ennen verotuloihin perustuvaa valtionosuuden tasausta]]+Yhteenveto[[#This Row],[Verotuloihin perustuva valtionosuuden tasaus]])</f>
        <v>-98472.966586635477</v>
      </c>
      <c r="O114" s="241">
        <v>147205.12413440747</v>
      </c>
      <c r="P114" s="372">
        <f>SUM(Yhteenveto[[#This Row],[Kunnan  peruspalvelujen valtionosuus ]:[Veroperustemuutoksista johtuvien veromenetysten korvaus]])</f>
        <v>48732.157547771989</v>
      </c>
      <c r="Q114" s="34">
        <v>-232605.2654</v>
      </c>
      <c r="R114" s="341">
        <f>+Yhteenveto[[#This Row],[Kunnan  peruspalvelujen valtionosuus ]]+Yhteenveto[[#This Row],[Veroperustemuutoksista johtuvien veromenetysten korvaus]]+Yhteenveto[[#This Row],[Kotikuntakorvaus, netto]]</f>
        <v>-183873.10785222801</v>
      </c>
      <c r="S114" s="11"/>
      <c r="T114"/>
    </row>
    <row r="115" spans="1:20" ht="15">
      <c r="A115" s="32">
        <v>305</v>
      </c>
      <c r="B115" s="13" t="s">
        <v>120</v>
      </c>
      <c r="C115" s="15">
        <v>15019</v>
      </c>
      <c r="D115" s="15">
        <f>Ikärakenne[[#This Row],[Laskennalliset kustannukset, IKÄRAKENNE yhteensä, €]]</f>
        <v>21602389.82</v>
      </c>
      <c r="E115" s="15">
        <f>'Lask. kustannukset MUUT'!AD121</f>
        <v>6989511.5885621756</v>
      </c>
      <c r="F115" s="231">
        <f>Yhteenveto[[#This Row],[Ikärakenne, laskennallinen kustannus]]+Yhteenveto[[#This Row],[Muut laskennalliset kustannukset ]]</f>
        <v>28591901.408562176</v>
      </c>
      <c r="G115" s="498">
        <v>1422.47</v>
      </c>
      <c r="H115" s="17">
        <v>21364076.93</v>
      </c>
      <c r="I115" s="339">
        <f>Yhteenveto[[#This Row],[Laskennalliset kustannukset yhteensä]]-Yhteenveto[[#This Row],[Omarahoitusosuus, €]]</f>
        <v>7227824.4785621762</v>
      </c>
      <c r="J115" s="33">
        <v>1354063.6609209364</v>
      </c>
      <c r="K115" s="34">
        <f>'Muut lis_väh'!O113</f>
        <v>1278287.5287808115</v>
      </c>
      <c r="L115" s="231">
        <f>Yhteenveto[[#This Row],[Valtionosuus omarahoitusosuuden jälkeen (välisumma)]]+Yhteenveto[[#This Row],[Lisäosat yhteensä]]+Yhteenveto[[#This Row],[Valtionosuuteen tehtävät vähennykset ja lisäykset, netto]]</f>
        <v>9860175.6682639234</v>
      </c>
      <c r="M115" s="34">
        <f>'Verotuloihin perust tasaus'!N120</f>
        <v>4073869.7124645966</v>
      </c>
      <c r="N115" s="303">
        <f>SUM(Yhteenveto[[#This Row],[Valtionosuus ennen verotuloihin perustuvaa valtionosuuden tasausta]]+Yhteenveto[[#This Row],[Verotuloihin perustuva valtionosuuden tasaus]])</f>
        <v>13934045.38072852</v>
      </c>
      <c r="O115" s="241">
        <v>1933569.4464412271</v>
      </c>
      <c r="P115" s="372">
        <f>SUM(Yhteenveto[[#This Row],[Kunnan  peruspalvelujen valtionosuus ]:[Veroperustemuutoksista johtuvien veromenetysten korvaus]])</f>
        <v>15867614.827169748</v>
      </c>
      <c r="Q115" s="34">
        <v>-10296.857289999985</v>
      </c>
      <c r="R115" s="341">
        <f>+Yhteenveto[[#This Row],[Kunnan  peruspalvelujen valtionosuus ]]+Yhteenveto[[#This Row],[Veroperustemuutoksista johtuvien veromenetysten korvaus]]+Yhteenveto[[#This Row],[Kotikuntakorvaus, netto]]</f>
        <v>15857317.969879748</v>
      </c>
      <c r="S115" s="11"/>
      <c r="T115"/>
    </row>
    <row r="116" spans="1:20" ht="15">
      <c r="A116" s="32">
        <v>309</v>
      </c>
      <c r="B116" s="13" t="s">
        <v>121</v>
      </c>
      <c r="C116" s="15">
        <v>6409</v>
      </c>
      <c r="D116" s="15">
        <f>Ikärakenne[[#This Row],[Laskennalliset kustannukset, IKÄRAKENNE yhteensä, €]]</f>
        <v>8221006.4000000004</v>
      </c>
      <c r="E116" s="15">
        <f>'Lask. kustannukset MUUT'!AD122</f>
        <v>2531625.0089596589</v>
      </c>
      <c r="F116" s="231">
        <f>Yhteenveto[[#This Row],[Ikärakenne, laskennallinen kustannus]]+Yhteenveto[[#This Row],[Muut laskennalliset kustannukset ]]</f>
        <v>10752631.408959659</v>
      </c>
      <c r="G116" s="498">
        <v>1422.47</v>
      </c>
      <c r="H116" s="17">
        <v>9116610.2300000004</v>
      </c>
      <c r="I116" s="339">
        <f>Yhteenveto[[#This Row],[Laskennalliset kustannukset yhteensä]]-Yhteenveto[[#This Row],[Omarahoitusosuus, €]]</f>
        <v>1636021.1789596584</v>
      </c>
      <c r="J116" s="33">
        <v>388584.75683773903</v>
      </c>
      <c r="K116" s="34">
        <f>'Muut lis_väh'!O114</f>
        <v>-2492162.3611727003</v>
      </c>
      <c r="L116" s="231">
        <f>Yhteenveto[[#This Row],[Valtionosuus omarahoitusosuuden jälkeen (välisumma)]]+Yhteenveto[[#This Row],[Lisäosat yhteensä]]+Yhteenveto[[#This Row],[Valtionosuuteen tehtävät vähennykset ja lisäykset, netto]]</f>
        <v>-467556.42537530279</v>
      </c>
      <c r="M116" s="34">
        <f>'Verotuloihin perust tasaus'!N121</f>
        <v>4077294.2510742564</v>
      </c>
      <c r="N116" s="303">
        <f>SUM(Yhteenveto[[#This Row],[Valtionosuus ennen verotuloihin perustuvaa valtionosuuden tasausta]]+Yhteenveto[[#This Row],[Verotuloihin perustuva valtionosuuden tasaus]])</f>
        <v>3609737.8256989536</v>
      </c>
      <c r="O116" s="241">
        <v>880830.94071702904</v>
      </c>
      <c r="P116" s="372">
        <f>SUM(Yhteenveto[[#This Row],[Kunnan  peruspalvelujen valtionosuus ]:[Veroperustemuutoksista johtuvien veromenetysten korvaus]])</f>
        <v>4490568.7664159825</v>
      </c>
      <c r="Q116" s="34">
        <v>51024.056489999988</v>
      </c>
      <c r="R116" s="341">
        <f>+Yhteenveto[[#This Row],[Kunnan  peruspalvelujen valtionosuus ]]+Yhteenveto[[#This Row],[Veroperustemuutoksista johtuvien veromenetysten korvaus]]+Yhteenveto[[#This Row],[Kotikuntakorvaus, netto]]</f>
        <v>4541592.8229059828</v>
      </c>
      <c r="S116" s="11"/>
      <c r="T116"/>
    </row>
    <row r="117" spans="1:20" ht="15">
      <c r="A117" s="32">
        <v>312</v>
      </c>
      <c r="B117" s="13" t="s">
        <v>122</v>
      </c>
      <c r="C117" s="15">
        <v>1174</v>
      </c>
      <c r="D117" s="15">
        <f>Ikärakenne[[#This Row],[Laskennalliset kustannukset, IKÄRAKENNE yhteensä, €]]</f>
        <v>1820313.32</v>
      </c>
      <c r="E117" s="15">
        <f>'Lask. kustannukset MUUT'!AD123</f>
        <v>540937.36828081717</v>
      </c>
      <c r="F117" s="231">
        <f>Yhteenveto[[#This Row],[Ikärakenne, laskennallinen kustannus]]+Yhteenveto[[#This Row],[Muut laskennalliset kustannukset ]]</f>
        <v>2361250.6882808171</v>
      </c>
      <c r="G117" s="498">
        <v>1422.47</v>
      </c>
      <c r="H117" s="17">
        <v>1669979.78</v>
      </c>
      <c r="I117" s="339">
        <f>Yhteenveto[[#This Row],[Laskennalliset kustannukset yhteensä]]-Yhteenveto[[#This Row],[Omarahoitusosuus, €]]</f>
        <v>691270.90828081709</v>
      </c>
      <c r="J117" s="33">
        <v>189987.42178346665</v>
      </c>
      <c r="K117" s="34">
        <f>'Muut lis_väh'!O115</f>
        <v>-218941.78114167193</v>
      </c>
      <c r="L117" s="231">
        <f>Yhteenveto[[#This Row],[Valtionosuus omarahoitusosuuden jälkeen (välisumma)]]+Yhteenveto[[#This Row],[Lisäosat yhteensä]]+Yhteenveto[[#This Row],[Valtionosuuteen tehtävät vähennykset ja lisäykset, netto]]</f>
        <v>662316.54892261175</v>
      </c>
      <c r="M117" s="34">
        <f>'Verotuloihin perust tasaus'!N122</f>
        <v>364745.63724997477</v>
      </c>
      <c r="N117" s="303">
        <f>SUM(Yhteenveto[[#This Row],[Valtionosuus ennen verotuloihin perustuvaa valtionosuuden tasausta]]+Yhteenveto[[#This Row],[Verotuloihin perustuva valtionosuuden tasaus]])</f>
        <v>1027062.1861725865</v>
      </c>
      <c r="O117" s="241">
        <v>208672.05856749206</v>
      </c>
      <c r="P117" s="372">
        <f>SUM(Yhteenveto[[#This Row],[Kunnan  peruspalvelujen valtionosuus ]:[Veroperustemuutoksista johtuvien veromenetysten korvaus]])</f>
        <v>1235734.2447400787</v>
      </c>
      <c r="Q117" s="34">
        <v>17778.746399999993</v>
      </c>
      <c r="R117" s="341">
        <f>+Yhteenveto[[#This Row],[Kunnan  peruspalvelujen valtionosuus ]]+Yhteenveto[[#This Row],[Veroperustemuutoksista johtuvien veromenetysten korvaus]]+Yhteenveto[[#This Row],[Kotikuntakorvaus, netto]]</f>
        <v>1253512.9911400788</v>
      </c>
      <c r="S117" s="11"/>
      <c r="T117"/>
    </row>
    <row r="118" spans="1:20" ht="15">
      <c r="A118" s="32">
        <v>316</v>
      </c>
      <c r="B118" s="13" t="s">
        <v>123</v>
      </c>
      <c r="C118" s="15">
        <v>4114</v>
      </c>
      <c r="D118" s="15">
        <f>Ikärakenne[[#This Row],[Laskennalliset kustannukset, IKÄRAKENNE yhteensä, €]]</f>
        <v>5256470.4399999995</v>
      </c>
      <c r="E118" s="15">
        <f>'Lask. kustannukset MUUT'!AD124</f>
        <v>1193196.6257666619</v>
      </c>
      <c r="F118" s="231">
        <f>Yhteenveto[[#This Row],[Ikärakenne, laskennallinen kustannus]]+Yhteenveto[[#This Row],[Muut laskennalliset kustannukset ]]</f>
        <v>6449667.0657666614</v>
      </c>
      <c r="G118" s="498">
        <v>1422.47</v>
      </c>
      <c r="H118" s="17">
        <v>5852041.5800000001</v>
      </c>
      <c r="I118" s="339">
        <f>Yhteenveto[[#This Row],[Laskennalliset kustannukset yhteensä]]-Yhteenveto[[#This Row],[Omarahoitusosuus, €]]</f>
        <v>597625.48576666135</v>
      </c>
      <c r="J118" s="33">
        <v>129026.09358773456</v>
      </c>
      <c r="K118" s="34">
        <f>'Muut lis_väh'!O116</f>
        <v>-641748.27598243975</v>
      </c>
      <c r="L118" s="231">
        <f>Yhteenveto[[#This Row],[Valtionosuus omarahoitusosuuden jälkeen (välisumma)]]+Yhteenveto[[#This Row],[Lisäosat yhteensä]]+Yhteenveto[[#This Row],[Valtionosuuteen tehtävät vähennykset ja lisäykset, netto]]</f>
        <v>84903.303371956106</v>
      </c>
      <c r="M118" s="34">
        <f>'Verotuloihin perust tasaus'!N123</f>
        <v>1162818.2851898512</v>
      </c>
      <c r="N118" s="303">
        <f>SUM(Yhteenveto[[#This Row],[Valtionosuus ennen verotuloihin perustuvaa valtionosuuden tasausta]]+Yhteenveto[[#This Row],[Verotuloihin perustuva valtionosuuden tasaus]])</f>
        <v>1247721.5885618073</v>
      </c>
      <c r="O118" s="241">
        <v>499103.15345404856</v>
      </c>
      <c r="P118" s="372">
        <f>SUM(Yhteenveto[[#This Row],[Kunnan  peruspalvelujen valtionosuus ]:[Veroperustemuutoksista johtuvien veromenetysten korvaus]])</f>
        <v>1746824.7420158559</v>
      </c>
      <c r="Q118" s="34">
        <v>-99327.712599999984</v>
      </c>
      <c r="R118" s="341">
        <f>+Yhteenveto[[#This Row],[Kunnan  peruspalvelujen valtionosuus ]]+Yhteenveto[[#This Row],[Veroperustemuutoksista johtuvien veromenetysten korvaus]]+Yhteenveto[[#This Row],[Kotikuntakorvaus, netto]]</f>
        <v>1647497.0294158559</v>
      </c>
      <c r="S118" s="11"/>
      <c r="T118"/>
    </row>
    <row r="119" spans="1:20" ht="15">
      <c r="A119" s="32">
        <v>317</v>
      </c>
      <c r="B119" s="13" t="s">
        <v>124</v>
      </c>
      <c r="C119" s="15">
        <v>2440</v>
      </c>
      <c r="D119" s="15">
        <f>Ikärakenne[[#This Row],[Laskennalliset kustannukset, IKÄRAKENNE yhteensä, €]]</f>
        <v>4241967.18</v>
      </c>
      <c r="E119" s="15">
        <f>'Lask. kustannukset MUUT'!AD125</f>
        <v>947188.17073157849</v>
      </c>
      <c r="F119" s="231">
        <f>Yhteenveto[[#This Row],[Ikärakenne, laskennallinen kustannus]]+Yhteenveto[[#This Row],[Muut laskennalliset kustannukset ]]</f>
        <v>5189155.3507315777</v>
      </c>
      <c r="G119" s="498">
        <v>1422.47</v>
      </c>
      <c r="H119" s="17">
        <v>3470826.8000000003</v>
      </c>
      <c r="I119" s="339">
        <f>Yhteenveto[[#This Row],[Laskennalliset kustannukset yhteensä]]-Yhteenveto[[#This Row],[Omarahoitusosuus, €]]</f>
        <v>1718328.5507315774</v>
      </c>
      <c r="J119" s="33">
        <v>362801.90482415375</v>
      </c>
      <c r="K119" s="34">
        <f>'Muut lis_väh'!O117</f>
        <v>648145.7587345842</v>
      </c>
      <c r="L119" s="231">
        <f>Yhteenveto[[#This Row],[Valtionosuus omarahoitusosuuden jälkeen (välisumma)]]+Yhteenveto[[#This Row],[Lisäosat yhteensä]]+Yhteenveto[[#This Row],[Valtionosuuteen tehtävät vähennykset ja lisäykset, netto]]</f>
        <v>2729276.2142903153</v>
      </c>
      <c r="M119" s="34">
        <f>'Verotuloihin perust tasaus'!N124</f>
        <v>1554914.8040701447</v>
      </c>
      <c r="N119" s="303">
        <f>SUM(Yhteenveto[[#This Row],[Valtionosuus ennen verotuloihin perustuvaa valtionosuuden tasausta]]+Yhteenveto[[#This Row],[Verotuloihin perustuva valtionosuuden tasaus]])</f>
        <v>4284191.0183604602</v>
      </c>
      <c r="O119" s="241">
        <v>434983.49046405789</v>
      </c>
      <c r="P119" s="372">
        <f>SUM(Yhteenveto[[#This Row],[Kunnan  peruspalvelujen valtionosuus ]:[Veroperustemuutoksista johtuvien veromenetysten korvaus]])</f>
        <v>4719174.508824518</v>
      </c>
      <c r="Q119" s="34">
        <v>-26668.119599999998</v>
      </c>
      <c r="R119" s="341">
        <f>+Yhteenveto[[#This Row],[Kunnan  peruspalvelujen valtionosuus ]]+Yhteenveto[[#This Row],[Veroperustemuutoksista johtuvien veromenetysten korvaus]]+Yhteenveto[[#This Row],[Kotikuntakorvaus, netto]]</f>
        <v>4692506.3892245181</v>
      </c>
      <c r="S119" s="11"/>
      <c r="T119"/>
    </row>
    <row r="120" spans="1:20" ht="15">
      <c r="A120" s="32">
        <v>320</v>
      </c>
      <c r="B120" s="13" t="s">
        <v>125</v>
      </c>
      <c r="C120" s="15">
        <v>7030</v>
      </c>
      <c r="D120" s="15">
        <f>Ikärakenne[[#This Row],[Laskennalliset kustannukset, IKÄRAKENNE yhteensä, €]]</f>
        <v>7247052.7399999993</v>
      </c>
      <c r="E120" s="15">
        <f>'Lask. kustannukset MUUT'!AD126</f>
        <v>4556140.3286772538</v>
      </c>
      <c r="F120" s="231">
        <f>Yhteenveto[[#This Row],[Ikärakenne, laskennallinen kustannus]]+Yhteenveto[[#This Row],[Muut laskennalliset kustannukset ]]</f>
        <v>11803193.068677254</v>
      </c>
      <c r="G120" s="498">
        <v>1422.47</v>
      </c>
      <c r="H120" s="17">
        <v>9999964.0999999996</v>
      </c>
      <c r="I120" s="339">
        <f>Yhteenveto[[#This Row],[Laskennalliset kustannukset yhteensä]]-Yhteenveto[[#This Row],[Omarahoitusosuus, €]]</f>
        <v>1803228.9686772544</v>
      </c>
      <c r="J120" s="33">
        <v>1215503.3283483721</v>
      </c>
      <c r="K120" s="34">
        <f>'Muut lis_väh'!O118</f>
        <v>803181.33816916752</v>
      </c>
      <c r="L120" s="231">
        <f>Yhteenveto[[#This Row],[Valtionosuus omarahoitusosuuden jälkeen (välisumma)]]+Yhteenveto[[#This Row],[Lisäosat yhteensä]]+Yhteenveto[[#This Row],[Valtionosuuteen tehtävät vähennykset ja lisäykset, netto]]</f>
        <v>3821913.6351947943</v>
      </c>
      <c r="M120" s="34">
        <f>'Verotuloihin perust tasaus'!N125</f>
        <v>2602061.9638657644</v>
      </c>
      <c r="N120" s="303">
        <f>SUM(Yhteenveto[[#This Row],[Valtionosuus ennen verotuloihin perustuvaa valtionosuuden tasausta]]+Yhteenveto[[#This Row],[Verotuloihin perustuva valtionosuuden tasaus]])</f>
        <v>6423975.5990605587</v>
      </c>
      <c r="O120" s="241">
        <v>922184.58065940812</v>
      </c>
      <c r="P120" s="372">
        <f>SUM(Yhteenveto[[#This Row],[Kunnan  peruspalvelujen valtionosuus ]:[Veroperustemuutoksista johtuvien veromenetysten korvaus]])</f>
        <v>7346160.1797199668</v>
      </c>
      <c r="Q120" s="34">
        <v>10370.935399999988</v>
      </c>
      <c r="R120" s="341">
        <f>+Yhteenveto[[#This Row],[Kunnan  peruspalvelujen valtionosuus ]]+Yhteenveto[[#This Row],[Veroperustemuutoksista johtuvien veromenetysten korvaus]]+Yhteenveto[[#This Row],[Kotikuntakorvaus, netto]]</f>
        <v>7356531.1151199667</v>
      </c>
      <c r="S120" s="11"/>
      <c r="T120"/>
    </row>
    <row r="121" spans="1:20" ht="15">
      <c r="A121" s="32">
        <v>322</v>
      </c>
      <c r="B121" s="13" t="s">
        <v>126</v>
      </c>
      <c r="C121" s="15">
        <v>6462</v>
      </c>
      <c r="D121" s="15">
        <f>Ikärakenne[[#This Row],[Laskennalliset kustannukset, IKÄRAKENNE yhteensä, €]]</f>
        <v>7734379.2999999998</v>
      </c>
      <c r="E121" s="15">
        <f>'Lask. kustannukset MUUT'!AD127</f>
        <v>5611507.0749006476</v>
      </c>
      <c r="F121" s="231">
        <f>Yhteenveto[[#This Row],[Ikärakenne, laskennallinen kustannus]]+Yhteenveto[[#This Row],[Muut laskennalliset kustannukset ]]</f>
        <v>13345886.374900647</v>
      </c>
      <c r="G121" s="498">
        <v>1422.47</v>
      </c>
      <c r="H121" s="17">
        <v>9192001.1400000006</v>
      </c>
      <c r="I121" s="339">
        <f>Yhteenveto[[#This Row],[Laskennalliset kustannukset yhteensä]]-Yhteenveto[[#This Row],[Omarahoitusosuus, €]]</f>
        <v>4153885.2349006459</v>
      </c>
      <c r="J121" s="33">
        <v>1002139.9314192622</v>
      </c>
      <c r="K121" s="34">
        <f>'Muut lis_väh'!O119</f>
        <v>1594993.9914788501</v>
      </c>
      <c r="L121" s="231">
        <f>Yhteenveto[[#This Row],[Valtionosuus omarahoitusosuuden jälkeen (välisumma)]]+Yhteenveto[[#This Row],[Lisäosat yhteensä]]+Yhteenveto[[#This Row],[Valtionosuuteen tehtävät vähennykset ja lisäykset, netto]]</f>
        <v>6751019.1577987587</v>
      </c>
      <c r="M121" s="34">
        <f>'Verotuloihin perust tasaus'!N126</f>
        <v>2081420.7816293065</v>
      </c>
      <c r="N121" s="303">
        <f>SUM(Yhteenveto[[#This Row],[Valtionosuus ennen verotuloihin perustuvaa valtionosuuden tasausta]]+Yhteenveto[[#This Row],[Verotuloihin perustuva valtionosuuden tasaus]])</f>
        <v>8832439.939428065</v>
      </c>
      <c r="O121" s="241">
        <v>985257.36943827313</v>
      </c>
      <c r="P121" s="372">
        <f>SUM(Yhteenveto[[#This Row],[Kunnan  peruspalvelujen valtionosuus ]:[Veroperustemuutoksista johtuvien veromenetysten korvaus]])</f>
        <v>9817697.3088663388</v>
      </c>
      <c r="Q121" s="34">
        <v>138609.60058999999</v>
      </c>
      <c r="R121" s="341">
        <f>+Yhteenveto[[#This Row],[Kunnan  peruspalvelujen valtionosuus ]]+Yhteenveto[[#This Row],[Veroperustemuutoksista johtuvien veromenetysten korvaus]]+Yhteenveto[[#This Row],[Kotikuntakorvaus, netto]]</f>
        <v>9956306.9094563387</v>
      </c>
      <c r="S121" s="11"/>
      <c r="T121"/>
    </row>
    <row r="122" spans="1:20" ht="15">
      <c r="A122" s="32">
        <v>398</v>
      </c>
      <c r="B122" s="13" t="s">
        <v>127</v>
      </c>
      <c r="C122" s="15">
        <v>120693</v>
      </c>
      <c r="D122" s="15">
        <f>Ikärakenne[[#This Row],[Laskennalliset kustannukset, IKÄRAKENNE yhteensä, €]]</f>
        <v>167998684.16</v>
      </c>
      <c r="E122" s="15">
        <f>'Lask. kustannukset MUUT'!AD128</f>
        <v>43363616.702664584</v>
      </c>
      <c r="F122" s="231">
        <f>Yhteenveto[[#This Row],[Ikärakenne, laskennallinen kustannus]]+Yhteenveto[[#This Row],[Muut laskennalliset kustannukset ]]</f>
        <v>211362300.86266458</v>
      </c>
      <c r="G122" s="498">
        <v>1422.47</v>
      </c>
      <c r="H122" s="17">
        <v>171682171.71000001</v>
      </c>
      <c r="I122" s="339">
        <f>Yhteenveto[[#This Row],[Laskennalliset kustannukset yhteensä]]-Yhteenveto[[#This Row],[Omarahoitusosuus, €]]</f>
        <v>39680129.152664572</v>
      </c>
      <c r="J122" s="33">
        <v>4617086.1283182576</v>
      </c>
      <c r="K122" s="34">
        <f>'Muut lis_väh'!O120</f>
        <v>5857630.3877341654</v>
      </c>
      <c r="L122" s="231">
        <f>Yhteenveto[[#This Row],[Valtionosuus omarahoitusosuuden jälkeen (välisumma)]]+Yhteenveto[[#This Row],[Lisäosat yhteensä]]+Yhteenveto[[#This Row],[Valtionosuuteen tehtävät vähennykset ja lisäykset, netto]]</f>
        <v>50154845.668716997</v>
      </c>
      <c r="M122" s="34">
        <f>'Verotuloihin perust tasaus'!N127</f>
        <v>25036324.517206848</v>
      </c>
      <c r="N122" s="303">
        <f>SUM(Yhteenveto[[#This Row],[Valtionosuus ennen verotuloihin perustuvaa valtionosuuden tasausta]]+Yhteenveto[[#This Row],[Verotuloihin perustuva valtionosuuden tasaus]])</f>
        <v>75191170.185923845</v>
      </c>
      <c r="O122" s="241">
        <v>11336886.671969105</v>
      </c>
      <c r="P122" s="372">
        <f>SUM(Yhteenveto[[#This Row],[Kunnan  peruspalvelujen valtionosuus ]:[Veroperustemuutoksista johtuvien veromenetysten korvaus]])</f>
        <v>86528056.857892945</v>
      </c>
      <c r="Q122" s="34">
        <v>-8375539.0587000092</v>
      </c>
      <c r="R122" s="341">
        <f>+Yhteenveto[[#This Row],[Kunnan  peruspalvelujen valtionosuus ]]+Yhteenveto[[#This Row],[Veroperustemuutoksista johtuvien veromenetysten korvaus]]+Yhteenveto[[#This Row],[Kotikuntakorvaus, netto]]</f>
        <v>78152517.799192935</v>
      </c>
      <c r="S122" s="11"/>
      <c r="T122"/>
    </row>
    <row r="123" spans="1:20" ht="15">
      <c r="A123" s="32">
        <v>399</v>
      </c>
      <c r="B123" s="13" t="s">
        <v>128</v>
      </c>
      <c r="C123" s="15">
        <v>7682</v>
      </c>
      <c r="D123" s="15">
        <f>Ikärakenne[[#This Row],[Laskennalliset kustannukset, IKÄRAKENNE yhteensä, €]]</f>
        <v>14317115.179999998</v>
      </c>
      <c r="E123" s="15">
        <f>'Lask. kustannukset MUUT'!AD129</f>
        <v>1219606.7137619224</v>
      </c>
      <c r="F123" s="231">
        <f>Yhteenveto[[#This Row],[Ikärakenne, laskennallinen kustannus]]+Yhteenveto[[#This Row],[Muut laskennalliset kustannukset ]]</f>
        <v>15536721.89376192</v>
      </c>
      <c r="G123" s="498">
        <v>1422.47</v>
      </c>
      <c r="H123" s="17">
        <v>10927414.540000001</v>
      </c>
      <c r="I123" s="339">
        <f>Yhteenveto[[#This Row],[Laskennalliset kustannukset yhteensä]]-Yhteenveto[[#This Row],[Omarahoitusosuus, €]]</f>
        <v>4609307.3537619188</v>
      </c>
      <c r="J123" s="33">
        <v>169269.24417614608</v>
      </c>
      <c r="K123" s="34">
        <f>'Muut lis_väh'!O121</f>
        <v>-3582647.5834296057</v>
      </c>
      <c r="L123" s="231">
        <f>Yhteenveto[[#This Row],[Valtionosuus omarahoitusosuuden jälkeen (välisumma)]]+Yhteenveto[[#This Row],[Lisäosat yhteensä]]+Yhteenveto[[#This Row],[Valtionosuuteen tehtävät vähennykset ja lisäykset, netto]]</f>
        <v>1195929.0145084588</v>
      </c>
      <c r="M123" s="34">
        <f>'Verotuloihin perust tasaus'!N128</f>
        <v>2781486.0676760729</v>
      </c>
      <c r="N123" s="303">
        <f>SUM(Yhteenveto[[#This Row],[Valtionosuus ennen verotuloihin perustuvaa valtionosuuden tasausta]]+Yhteenveto[[#This Row],[Verotuloihin perustuva valtionosuuden tasaus]])</f>
        <v>3977415.0821845317</v>
      </c>
      <c r="O123" s="241">
        <v>679228.37483000162</v>
      </c>
      <c r="P123" s="372">
        <f>SUM(Yhteenveto[[#This Row],[Kunnan  peruspalvelujen valtionosuus ]:[Veroperustemuutoksista johtuvien veromenetysten korvaus]])</f>
        <v>4656643.4570145337</v>
      </c>
      <c r="Q123" s="34">
        <v>26048.700509999981</v>
      </c>
      <c r="R123" s="341">
        <f>+Yhteenveto[[#This Row],[Kunnan  peruspalvelujen valtionosuus ]]+Yhteenveto[[#This Row],[Veroperustemuutoksista johtuvien veromenetysten korvaus]]+Yhteenveto[[#This Row],[Kotikuntakorvaus, netto]]</f>
        <v>4682692.1575245336</v>
      </c>
      <c r="S123" s="11"/>
      <c r="T123"/>
    </row>
    <row r="124" spans="1:20" ht="15">
      <c r="A124" s="32">
        <v>400</v>
      </c>
      <c r="B124" s="13" t="s">
        <v>129</v>
      </c>
      <c r="C124" s="15">
        <v>8441</v>
      </c>
      <c r="D124" s="15">
        <f>Ikärakenne[[#This Row],[Laskennalliset kustannukset, IKÄRAKENNE yhteensä, €]]</f>
        <v>13680140.930000002</v>
      </c>
      <c r="E124" s="15">
        <f>'Lask. kustannukset MUUT'!AD130</f>
        <v>3340753.3260914818</v>
      </c>
      <c r="F124" s="231">
        <f>Yhteenveto[[#This Row],[Ikärakenne, laskennallinen kustannus]]+Yhteenveto[[#This Row],[Muut laskennalliset kustannukset ]]</f>
        <v>17020894.256091483</v>
      </c>
      <c r="G124" s="498">
        <v>1422.47</v>
      </c>
      <c r="H124" s="17">
        <v>12007069.27</v>
      </c>
      <c r="I124" s="339">
        <f>Yhteenveto[[#This Row],[Laskennalliset kustannukset yhteensä]]-Yhteenveto[[#This Row],[Omarahoitusosuus, €]]</f>
        <v>5013824.9860914834</v>
      </c>
      <c r="J124" s="33">
        <v>251418.94812272821</v>
      </c>
      <c r="K124" s="34">
        <f>'Muut lis_väh'!O122</f>
        <v>2064867.4767270396</v>
      </c>
      <c r="L124" s="231">
        <f>Yhteenveto[[#This Row],[Valtionosuus omarahoitusosuuden jälkeen (välisumma)]]+Yhteenveto[[#This Row],[Lisäosat yhteensä]]+Yhteenveto[[#This Row],[Valtionosuuteen tehtävät vähennykset ja lisäykset, netto]]</f>
        <v>7330111.4109412516</v>
      </c>
      <c r="M124" s="34">
        <f>'Verotuloihin perust tasaus'!N129</f>
        <v>2759433.4658396728</v>
      </c>
      <c r="N124" s="303">
        <f>SUM(Yhteenveto[[#This Row],[Valtionosuus ennen verotuloihin perustuvaa valtionosuuden tasausta]]+Yhteenveto[[#This Row],[Verotuloihin perustuva valtionosuuden tasaus]])</f>
        <v>10089544.876780923</v>
      </c>
      <c r="O124" s="241">
        <v>1144381.4883236114</v>
      </c>
      <c r="P124" s="372">
        <f>SUM(Yhteenveto[[#This Row],[Kunnan  peruspalvelujen valtionosuus ]:[Veroperustemuutoksista johtuvien veromenetysten korvaus]])</f>
        <v>11233926.365104536</v>
      </c>
      <c r="Q124" s="34">
        <v>102450.02612999998</v>
      </c>
      <c r="R124" s="341">
        <f>+Yhteenveto[[#This Row],[Kunnan  peruspalvelujen valtionosuus ]]+Yhteenveto[[#This Row],[Veroperustemuutoksista johtuvien veromenetysten korvaus]]+Yhteenveto[[#This Row],[Kotikuntakorvaus, netto]]</f>
        <v>11336376.391234536</v>
      </c>
      <c r="S124" s="11"/>
      <c r="T124"/>
    </row>
    <row r="125" spans="1:20" ht="15">
      <c r="A125" s="32">
        <v>402</v>
      </c>
      <c r="B125" s="13" t="s">
        <v>130</v>
      </c>
      <c r="C125" s="15">
        <v>8975</v>
      </c>
      <c r="D125" s="15">
        <f>Ikärakenne[[#This Row],[Laskennalliset kustannukset, IKÄRAKENNE yhteensä, €]]</f>
        <v>13081209.390000001</v>
      </c>
      <c r="E125" s="15">
        <f>'Lask. kustannukset MUUT'!AD131</f>
        <v>2601951.997560807</v>
      </c>
      <c r="F125" s="231">
        <f>Yhteenveto[[#This Row],[Ikärakenne, laskennallinen kustannus]]+Yhteenveto[[#This Row],[Muut laskennalliset kustannukset ]]</f>
        <v>15683161.387560807</v>
      </c>
      <c r="G125" s="498">
        <v>1422.47</v>
      </c>
      <c r="H125" s="17">
        <v>12766668.25</v>
      </c>
      <c r="I125" s="339">
        <f>Yhteenveto[[#This Row],[Laskennalliset kustannukset yhteensä]]-Yhteenveto[[#This Row],[Omarahoitusosuus, €]]</f>
        <v>2916493.1375608072</v>
      </c>
      <c r="J125" s="33">
        <v>506060.24097883177</v>
      </c>
      <c r="K125" s="34">
        <f>'Muut lis_väh'!O123</f>
        <v>-3858068.4860178903</v>
      </c>
      <c r="L125" s="231">
        <f>Yhteenveto[[#This Row],[Valtionosuus omarahoitusosuuden jälkeen (välisumma)]]+Yhteenveto[[#This Row],[Lisäosat yhteensä]]+Yhteenveto[[#This Row],[Valtionosuuteen tehtävät vähennykset ja lisäykset, netto]]</f>
        <v>-435515.10747825122</v>
      </c>
      <c r="M125" s="34">
        <f>'Verotuloihin perust tasaus'!N130</f>
        <v>5057054.3758848235</v>
      </c>
      <c r="N125" s="303">
        <f>SUM(Yhteenveto[[#This Row],[Valtionosuus ennen verotuloihin perustuvaa valtionosuuden tasausta]]+Yhteenveto[[#This Row],[Verotuloihin perustuva valtionosuuden tasaus]])</f>
        <v>4621539.2684065718</v>
      </c>
      <c r="O125" s="241">
        <v>1236751.9903126508</v>
      </c>
      <c r="P125" s="372">
        <f>SUM(Yhteenveto[[#This Row],[Kunnan  peruspalvelujen valtionosuus ]:[Veroperustemuutoksista johtuvien veromenetysten korvaus]])</f>
        <v>5858291.2587192226</v>
      </c>
      <c r="Q125" s="34">
        <v>385384.27468999999</v>
      </c>
      <c r="R125" s="341">
        <f>+Yhteenveto[[#This Row],[Kunnan  peruspalvelujen valtionosuus ]]+Yhteenveto[[#This Row],[Veroperustemuutoksista johtuvien veromenetysten korvaus]]+Yhteenveto[[#This Row],[Kotikuntakorvaus, netto]]</f>
        <v>6243675.533409223</v>
      </c>
      <c r="S125" s="11"/>
      <c r="T125"/>
    </row>
    <row r="126" spans="1:20" ht="15">
      <c r="A126" s="32">
        <v>403</v>
      </c>
      <c r="B126" s="13" t="s">
        <v>131</v>
      </c>
      <c r="C126" s="15">
        <v>2789</v>
      </c>
      <c r="D126" s="15">
        <f>Ikärakenne[[#This Row],[Laskennalliset kustannukset, IKÄRAKENNE yhteensä, €]]</f>
        <v>3745248.19</v>
      </c>
      <c r="E126" s="15">
        <f>'Lask. kustannukset MUUT'!AD132</f>
        <v>893923.88509902137</v>
      </c>
      <c r="F126" s="231">
        <f>Yhteenveto[[#This Row],[Ikärakenne, laskennallinen kustannus]]+Yhteenveto[[#This Row],[Muut laskennalliset kustannukset ]]</f>
        <v>4639172.0750990212</v>
      </c>
      <c r="G126" s="498">
        <v>1422.47</v>
      </c>
      <c r="H126" s="17">
        <v>3967268.83</v>
      </c>
      <c r="I126" s="339">
        <f>Yhteenveto[[#This Row],[Laskennalliset kustannukset yhteensä]]-Yhteenveto[[#This Row],[Omarahoitusosuus, €]]</f>
        <v>671903.24509902112</v>
      </c>
      <c r="J126" s="33">
        <v>262981.49411330023</v>
      </c>
      <c r="K126" s="34">
        <f>'Muut lis_väh'!O124</f>
        <v>109304.30256837174</v>
      </c>
      <c r="L126" s="231">
        <f>Yhteenveto[[#This Row],[Valtionosuus omarahoitusosuuden jälkeen (välisumma)]]+Yhteenveto[[#This Row],[Lisäosat yhteensä]]+Yhteenveto[[#This Row],[Valtionosuuteen tehtävät vähennykset ja lisäykset, netto]]</f>
        <v>1044189.0417806931</v>
      </c>
      <c r="M126" s="34">
        <f>'Verotuloihin perust tasaus'!N131</f>
        <v>1602222.0489418181</v>
      </c>
      <c r="N126" s="303">
        <f>SUM(Yhteenveto[[#This Row],[Valtionosuus ennen verotuloihin perustuvaa valtionosuuden tasausta]]+Yhteenveto[[#This Row],[Verotuloihin perustuva valtionosuuden tasaus]])</f>
        <v>2646411.0907225111</v>
      </c>
      <c r="O126" s="241">
        <v>502393.65273700847</v>
      </c>
      <c r="P126" s="372">
        <f>SUM(Yhteenveto[[#This Row],[Kunnan  peruspalvelujen valtionosuus ]:[Veroperustemuutoksista johtuvien veromenetysten korvaus]])</f>
        <v>3148804.7434595195</v>
      </c>
      <c r="Q126" s="34">
        <v>-25260.635510000007</v>
      </c>
      <c r="R126" s="341">
        <f>+Yhteenveto[[#This Row],[Kunnan  peruspalvelujen valtionosuus ]]+Yhteenveto[[#This Row],[Veroperustemuutoksista johtuvien veromenetysten korvaus]]+Yhteenveto[[#This Row],[Kotikuntakorvaus, netto]]</f>
        <v>3123544.1079495195</v>
      </c>
      <c r="S126" s="11"/>
      <c r="T126"/>
    </row>
    <row r="127" spans="1:20" ht="15">
      <c r="A127" s="32">
        <v>405</v>
      </c>
      <c r="B127" s="13" t="s">
        <v>132</v>
      </c>
      <c r="C127" s="15">
        <v>72988</v>
      </c>
      <c r="D127" s="15">
        <f>Ikärakenne[[#This Row],[Laskennalliset kustannukset, IKÄRAKENNE yhteensä, €]]</f>
        <v>96750161.819999993</v>
      </c>
      <c r="E127" s="15">
        <f>'Lask. kustannukset MUUT'!AD133</f>
        <v>25388838.559936352</v>
      </c>
      <c r="F127" s="231">
        <f>Yhteenveto[[#This Row],[Ikärakenne, laskennallinen kustannus]]+Yhteenveto[[#This Row],[Muut laskennalliset kustannukset ]]</f>
        <v>122139000.37993634</v>
      </c>
      <c r="G127" s="498">
        <v>1422.47</v>
      </c>
      <c r="H127" s="17">
        <v>103823240.36</v>
      </c>
      <c r="I127" s="339">
        <f>Yhteenveto[[#This Row],[Laskennalliset kustannukset yhteensä]]-Yhteenveto[[#This Row],[Omarahoitusosuus, €]]</f>
        <v>18315760.019936338</v>
      </c>
      <c r="J127" s="33">
        <v>2764789.6072968091</v>
      </c>
      <c r="K127" s="34">
        <f>'Muut lis_väh'!O125</f>
        <v>-7891918.8623665962</v>
      </c>
      <c r="L127" s="231">
        <f>Yhteenveto[[#This Row],[Valtionosuus omarahoitusosuuden jälkeen (välisumma)]]+Yhteenveto[[#This Row],[Lisäosat yhteensä]]+Yhteenveto[[#This Row],[Valtionosuuteen tehtävät vähennykset ja lisäykset, netto]]</f>
        <v>13188630.764866551</v>
      </c>
      <c r="M127" s="34">
        <f>'Verotuloihin perust tasaus'!N132</f>
        <v>11489848.065942485</v>
      </c>
      <c r="N127" s="303">
        <f>SUM(Yhteenveto[[#This Row],[Valtionosuus ennen verotuloihin perustuvaa valtionosuuden tasausta]]+Yhteenveto[[#This Row],[Verotuloihin perustuva valtionosuuden tasaus]])</f>
        <v>24678478.830809034</v>
      </c>
      <c r="O127" s="241">
        <v>7075895.9377933061</v>
      </c>
      <c r="P127" s="372">
        <f>SUM(Yhteenveto[[#This Row],[Kunnan  peruspalvelujen valtionosuus ]:[Veroperustemuutoksista johtuvien veromenetysten korvaus]])</f>
        <v>31754374.768602341</v>
      </c>
      <c r="Q127" s="34">
        <v>-1928035.6973600003</v>
      </c>
      <c r="R127" s="341">
        <f>+Yhteenveto[[#This Row],[Kunnan  peruspalvelujen valtionosuus ]]+Yhteenveto[[#This Row],[Veroperustemuutoksista johtuvien veromenetysten korvaus]]+Yhteenveto[[#This Row],[Kotikuntakorvaus, netto]]</f>
        <v>29826339.07124234</v>
      </c>
      <c r="S127" s="11"/>
      <c r="T127"/>
    </row>
    <row r="128" spans="1:20" ht="15">
      <c r="A128" s="32">
        <v>407</v>
      </c>
      <c r="B128" s="13" t="s">
        <v>133</v>
      </c>
      <c r="C128" s="15">
        <v>2449</v>
      </c>
      <c r="D128" s="15">
        <f>Ikärakenne[[#This Row],[Laskennalliset kustannukset, IKÄRAKENNE yhteensä, €]]</f>
        <v>3337378.8399999994</v>
      </c>
      <c r="E128" s="15">
        <f>'Lask. kustannukset MUUT'!AD134</f>
        <v>1177569.4886393573</v>
      </c>
      <c r="F128" s="231">
        <f>Yhteenveto[[#This Row],[Ikärakenne, laskennallinen kustannus]]+Yhteenveto[[#This Row],[Muut laskennalliset kustannukset ]]</f>
        <v>4514948.3286393564</v>
      </c>
      <c r="G128" s="498">
        <v>1422.47</v>
      </c>
      <c r="H128" s="17">
        <v>3483629.0300000003</v>
      </c>
      <c r="I128" s="339">
        <f>Yhteenveto[[#This Row],[Laskennalliset kustannukset yhteensä]]-Yhteenveto[[#This Row],[Omarahoitusosuus, €]]</f>
        <v>1031319.2986393562</v>
      </c>
      <c r="J128" s="33">
        <v>98143.816924347135</v>
      </c>
      <c r="K128" s="34">
        <f>'Muut lis_väh'!O126</f>
        <v>16211.851874481163</v>
      </c>
      <c r="L128" s="231">
        <f>Yhteenveto[[#This Row],[Valtionosuus omarahoitusosuuden jälkeen (välisumma)]]+Yhteenveto[[#This Row],[Lisäosat yhteensä]]+Yhteenveto[[#This Row],[Valtionosuuteen tehtävät vähennykset ja lisäykset, netto]]</f>
        <v>1145674.9674381844</v>
      </c>
      <c r="M128" s="34">
        <f>'Verotuloihin perust tasaus'!N133</f>
        <v>1183604.3724282063</v>
      </c>
      <c r="N128" s="303">
        <f>SUM(Yhteenveto[[#This Row],[Valtionosuus ennen verotuloihin perustuvaa valtionosuuden tasausta]]+Yhteenveto[[#This Row],[Verotuloihin perustuva valtionosuuden tasaus]])</f>
        <v>2329279.3398663905</v>
      </c>
      <c r="O128" s="241">
        <v>467740.25545950892</v>
      </c>
      <c r="P128" s="372">
        <f>SUM(Yhteenveto[[#This Row],[Kunnan  peruspalvelujen valtionosuus ]:[Veroperustemuutoksista johtuvien veromenetysten korvaus]])</f>
        <v>2797019.5953258993</v>
      </c>
      <c r="Q128" s="34">
        <v>-790071.41348999995</v>
      </c>
      <c r="R128" s="341">
        <f>+Yhteenveto[[#This Row],[Kunnan  peruspalvelujen valtionosuus ]]+Yhteenveto[[#This Row],[Veroperustemuutoksista johtuvien veromenetysten korvaus]]+Yhteenveto[[#This Row],[Kotikuntakorvaus, netto]]</f>
        <v>2006948.1818358994</v>
      </c>
      <c r="S128" s="11"/>
      <c r="T128"/>
    </row>
    <row r="129" spans="1:20" ht="15">
      <c r="A129" s="32">
        <v>408</v>
      </c>
      <c r="B129" s="13" t="s">
        <v>134</v>
      </c>
      <c r="C129" s="15">
        <v>14024</v>
      </c>
      <c r="D129" s="15">
        <f>Ikärakenne[[#This Row],[Laskennalliset kustannukset, IKÄRAKENNE yhteensä, €]]</f>
        <v>23478392.170000002</v>
      </c>
      <c r="E129" s="15">
        <f>'Lask. kustannukset MUUT'!AD135</f>
        <v>2904146.8741982211</v>
      </c>
      <c r="F129" s="231">
        <f>Yhteenveto[[#This Row],[Ikärakenne, laskennallinen kustannus]]+Yhteenveto[[#This Row],[Muut laskennalliset kustannukset ]]</f>
        <v>26382539.044198222</v>
      </c>
      <c r="G129" s="498">
        <v>1422.47</v>
      </c>
      <c r="H129" s="17">
        <v>19948719.280000001</v>
      </c>
      <c r="I129" s="339">
        <f>Yhteenveto[[#This Row],[Laskennalliset kustannukset yhteensä]]-Yhteenveto[[#This Row],[Omarahoitusosuus, €]]</f>
        <v>6433819.7641982213</v>
      </c>
      <c r="J129" s="33">
        <v>424450.63602522499</v>
      </c>
      <c r="K129" s="34">
        <f>'Muut lis_väh'!O127</f>
        <v>-345375.56766056956</v>
      </c>
      <c r="L129" s="231">
        <f>Yhteenveto[[#This Row],[Valtionosuus omarahoitusosuuden jälkeen (välisumma)]]+Yhteenveto[[#This Row],[Lisäosat yhteensä]]+Yhteenveto[[#This Row],[Valtionosuuteen tehtävät vähennykset ja lisäykset, netto]]</f>
        <v>6512894.8325628769</v>
      </c>
      <c r="M129" s="34">
        <f>'Verotuloihin perust tasaus'!N134</f>
        <v>5843804.8929629121</v>
      </c>
      <c r="N129" s="303">
        <f>SUM(Yhteenveto[[#This Row],[Valtionosuus ennen verotuloihin perustuvaa valtionosuuden tasausta]]+Yhteenveto[[#This Row],[Verotuloihin perustuva valtionosuuden tasaus]])</f>
        <v>12356699.725525789</v>
      </c>
      <c r="O129" s="241">
        <v>1552571.5213750363</v>
      </c>
      <c r="P129" s="372">
        <f>SUM(Yhteenveto[[#This Row],[Kunnan  peruspalvelujen valtionosuus ]:[Veroperustemuutoksista johtuvien veromenetysten korvaus]])</f>
        <v>13909271.246900825</v>
      </c>
      <c r="Q129" s="34">
        <v>-127445.87180000005</v>
      </c>
      <c r="R129" s="341">
        <f>+Yhteenveto[[#This Row],[Kunnan  peruspalvelujen valtionosuus ]]+Yhteenveto[[#This Row],[Veroperustemuutoksista johtuvien veromenetysten korvaus]]+Yhteenveto[[#This Row],[Kotikuntakorvaus, netto]]</f>
        <v>13781825.375100825</v>
      </c>
      <c r="S129" s="11"/>
      <c r="T129"/>
    </row>
    <row r="130" spans="1:20" ht="15">
      <c r="A130" s="32">
        <v>410</v>
      </c>
      <c r="B130" s="13" t="s">
        <v>135</v>
      </c>
      <c r="C130" s="15">
        <v>18762</v>
      </c>
      <c r="D130" s="15">
        <f>Ikärakenne[[#This Row],[Laskennalliset kustannukset, IKÄRAKENNE yhteensä, €]]</f>
        <v>39060400.310000002</v>
      </c>
      <c r="E130" s="15">
        <f>'Lask. kustannukset MUUT'!AD136</f>
        <v>3695857.0529225143</v>
      </c>
      <c r="F130" s="231">
        <f>Yhteenveto[[#This Row],[Ikärakenne, laskennallinen kustannus]]+Yhteenveto[[#This Row],[Muut laskennalliset kustannukset ]]</f>
        <v>42756257.362922519</v>
      </c>
      <c r="G130" s="498">
        <v>1422.47</v>
      </c>
      <c r="H130" s="17">
        <v>26688382.140000001</v>
      </c>
      <c r="I130" s="339">
        <f>Yhteenveto[[#This Row],[Laskennalliset kustannukset yhteensä]]-Yhteenveto[[#This Row],[Omarahoitusosuus, €]]</f>
        <v>16067875.222922519</v>
      </c>
      <c r="J130" s="33">
        <v>518890.41829918267</v>
      </c>
      <c r="K130" s="34">
        <f>'Muut lis_väh'!O128</f>
        <v>-7406389.4054982066</v>
      </c>
      <c r="L130" s="231">
        <f>Yhteenveto[[#This Row],[Valtionosuus omarahoitusosuuden jälkeen (välisumma)]]+Yhteenveto[[#This Row],[Lisäosat yhteensä]]+Yhteenveto[[#This Row],[Valtionosuuteen tehtävät vähennykset ja lisäykset, netto]]</f>
        <v>9180376.2357234955</v>
      </c>
      <c r="M130" s="34">
        <f>'Verotuloihin perust tasaus'!N135</f>
        <v>8006554.2922604354</v>
      </c>
      <c r="N130" s="303">
        <f>SUM(Yhteenveto[[#This Row],[Valtionosuus ennen verotuloihin perustuvaa valtionosuuden tasausta]]+Yhteenveto[[#This Row],[Verotuloihin perustuva valtionosuuden tasaus]])</f>
        <v>17186930.52798393</v>
      </c>
      <c r="O130" s="241">
        <v>1172841.9415278588</v>
      </c>
      <c r="P130" s="372">
        <f>SUM(Yhteenveto[[#This Row],[Kunnan  peruspalvelujen valtionosuus ]:[Veroperustemuutoksista johtuvien veromenetysten korvaus]])</f>
        <v>18359772.469511788</v>
      </c>
      <c r="Q130" s="34">
        <v>163033.31107000005</v>
      </c>
      <c r="R130" s="341">
        <f>+Yhteenveto[[#This Row],[Kunnan  peruspalvelujen valtionosuus ]]+Yhteenveto[[#This Row],[Veroperustemuutoksista johtuvien veromenetysten korvaus]]+Yhteenveto[[#This Row],[Kotikuntakorvaus, netto]]</f>
        <v>18522805.780581787</v>
      </c>
      <c r="S130" s="11"/>
      <c r="T130"/>
    </row>
    <row r="131" spans="1:20" ht="15">
      <c r="A131" s="32">
        <v>416</v>
      </c>
      <c r="B131" s="13" t="s">
        <v>136</v>
      </c>
      <c r="C131" s="15">
        <v>2862</v>
      </c>
      <c r="D131" s="15">
        <f>Ikärakenne[[#This Row],[Laskennalliset kustannukset, IKÄRAKENNE yhteensä, €]]</f>
        <v>4754431.91</v>
      </c>
      <c r="E131" s="15">
        <f>'Lask. kustannukset MUUT'!AD137</f>
        <v>628596.48680052918</v>
      </c>
      <c r="F131" s="231">
        <f>Yhteenveto[[#This Row],[Ikärakenne, laskennallinen kustannus]]+Yhteenveto[[#This Row],[Muut laskennalliset kustannukset ]]</f>
        <v>5383028.3968005292</v>
      </c>
      <c r="G131" s="498">
        <v>1422.47</v>
      </c>
      <c r="H131" s="17">
        <v>4071109.14</v>
      </c>
      <c r="I131" s="339">
        <f>Yhteenveto[[#This Row],[Laskennalliset kustannukset yhteensä]]-Yhteenveto[[#This Row],[Omarahoitusosuus, €]]</f>
        <v>1311919.2568005291</v>
      </c>
      <c r="J131" s="33">
        <v>67592.736553279756</v>
      </c>
      <c r="K131" s="34">
        <f>'Muut lis_väh'!O129</f>
        <v>-924615.85692495725</v>
      </c>
      <c r="L131" s="231">
        <f>Yhteenveto[[#This Row],[Valtionosuus omarahoitusosuuden jälkeen (välisumma)]]+Yhteenveto[[#This Row],[Lisäosat yhteensä]]+Yhteenveto[[#This Row],[Valtionosuuteen tehtävät vähennykset ja lisäykset, netto]]</f>
        <v>454896.13642885152</v>
      </c>
      <c r="M131" s="34">
        <f>'Verotuloihin perust tasaus'!N136</f>
        <v>1332884.7354896122</v>
      </c>
      <c r="N131" s="303">
        <f>SUM(Yhteenveto[[#This Row],[Valtionosuus ennen verotuloihin perustuvaa valtionosuuden tasausta]]+Yhteenveto[[#This Row],[Verotuloihin perustuva valtionosuuden tasaus]])</f>
        <v>1787780.8719184636</v>
      </c>
      <c r="O131" s="241">
        <v>280044.18764142448</v>
      </c>
      <c r="P131" s="372">
        <f>SUM(Yhteenveto[[#This Row],[Kunnan  peruspalvelujen valtionosuus ]:[Veroperustemuutoksista johtuvien veromenetysten korvaus]])</f>
        <v>2067825.0595598882</v>
      </c>
      <c r="Q131" s="34">
        <v>-19480.966799999995</v>
      </c>
      <c r="R131" s="341">
        <f>+Yhteenveto[[#This Row],[Kunnan  peruspalvelujen valtionosuus ]]+Yhteenveto[[#This Row],[Veroperustemuutoksista johtuvien veromenetysten korvaus]]+Yhteenveto[[#This Row],[Kotikuntakorvaus, netto]]</f>
        <v>2048344.0927598882</v>
      </c>
      <c r="S131" s="11"/>
      <c r="T131"/>
    </row>
    <row r="132" spans="1:20" ht="15">
      <c r="A132" s="32">
        <v>418</v>
      </c>
      <c r="B132" s="13" t="s">
        <v>137</v>
      </c>
      <c r="C132" s="15">
        <v>24711</v>
      </c>
      <c r="D132" s="15">
        <f>Ikärakenne[[#This Row],[Laskennalliset kustannukset, IKÄRAKENNE yhteensä, €]]</f>
        <v>50223798.280000001</v>
      </c>
      <c r="E132" s="15">
        <f>'Lask. kustannukset MUUT'!AD138</f>
        <v>3899768.7153299865</v>
      </c>
      <c r="F132" s="231">
        <f>Yhteenveto[[#This Row],[Ikärakenne, laskennallinen kustannus]]+Yhteenveto[[#This Row],[Muut laskennalliset kustannukset ]]</f>
        <v>54123566.995329991</v>
      </c>
      <c r="G132" s="498">
        <v>1422.47</v>
      </c>
      <c r="H132" s="17">
        <v>35150656.170000002</v>
      </c>
      <c r="I132" s="339">
        <f>Yhteenveto[[#This Row],[Laskennalliset kustannukset yhteensä]]-Yhteenveto[[#This Row],[Omarahoitusosuus, €]]</f>
        <v>18972910.825329989</v>
      </c>
      <c r="J132" s="33">
        <v>1094311.8056912301</v>
      </c>
      <c r="K132" s="34">
        <f>'Muut lis_väh'!O130</f>
        <v>-1771824.7721745158</v>
      </c>
      <c r="L132" s="231">
        <f>Yhteenveto[[#This Row],[Valtionosuus omarahoitusosuuden jälkeen (välisumma)]]+Yhteenveto[[#This Row],[Lisäosat yhteensä]]+Yhteenveto[[#This Row],[Valtionosuuteen tehtävät vähennykset ja lisäykset, netto]]</f>
        <v>18295397.858846705</v>
      </c>
      <c r="M132" s="34">
        <f>'Verotuloihin perust tasaus'!N137</f>
        <v>1495961.8081743629</v>
      </c>
      <c r="N132" s="303">
        <f>SUM(Yhteenveto[[#This Row],[Valtionosuus ennen verotuloihin perustuvaa valtionosuuden tasausta]]+Yhteenveto[[#This Row],[Verotuloihin perustuva valtionosuuden tasaus]])</f>
        <v>19791359.66702107</v>
      </c>
      <c r="O132" s="241">
        <v>1279631.8749458625</v>
      </c>
      <c r="P132" s="372">
        <f>SUM(Yhteenveto[[#This Row],[Kunnan  peruspalvelujen valtionosuus ]:[Veroperustemuutoksista johtuvien veromenetysten korvaus]])</f>
        <v>21070991.541966934</v>
      </c>
      <c r="Q132" s="34">
        <v>-715120.12747000018</v>
      </c>
      <c r="R132" s="341">
        <f>+Yhteenveto[[#This Row],[Kunnan  peruspalvelujen valtionosuus ]]+Yhteenveto[[#This Row],[Veroperustemuutoksista johtuvien veromenetysten korvaus]]+Yhteenveto[[#This Row],[Kotikuntakorvaus, netto]]</f>
        <v>20355871.414496932</v>
      </c>
      <c r="S132" s="11"/>
      <c r="T132"/>
    </row>
    <row r="133" spans="1:20" ht="15">
      <c r="A133" s="32">
        <v>420</v>
      </c>
      <c r="B133" s="36" t="s">
        <v>138</v>
      </c>
      <c r="C133" s="15">
        <v>9049</v>
      </c>
      <c r="D133" s="15">
        <f>Ikärakenne[[#This Row],[Laskennalliset kustannukset, IKÄRAKENNE yhteensä, €]]</f>
        <v>12138582.91</v>
      </c>
      <c r="E133" s="15">
        <f>'Lask. kustannukset MUUT'!AD139</f>
        <v>2361046.4625541964</v>
      </c>
      <c r="F133" s="231">
        <f>Yhteenveto[[#This Row],[Ikärakenne, laskennallinen kustannus]]+Yhteenveto[[#This Row],[Muut laskennalliset kustannukset ]]</f>
        <v>14499629.372554196</v>
      </c>
      <c r="G133" s="498">
        <v>1422.47</v>
      </c>
      <c r="H133" s="17">
        <v>12871931.029999999</v>
      </c>
      <c r="I133" s="339">
        <f>Yhteenveto[[#This Row],[Laskennalliset kustannukset yhteensä]]-Yhteenveto[[#This Row],[Omarahoitusosuus, €]]</f>
        <v>1627698.3425541967</v>
      </c>
      <c r="J133" s="33">
        <v>273381.56960467354</v>
      </c>
      <c r="K133" s="34">
        <f>'Muut lis_väh'!O131</f>
        <v>356188.27778084489</v>
      </c>
      <c r="L133" s="231">
        <f>Yhteenveto[[#This Row],[Valtionosuus omarahoitusosuuden jälkeen (välisumma)]]+Yhteenveto[[#This Row],[Lisäosat yhteensä]]+Yhteenveto[[#This Row],[Valtionosuuteen tehtävät vähennykset ja lisäykset, netto]]</f>
        <v>2257268.189939715</v>
      </c>
      <c r="M133" s="34">
        <f>'Verotuloihin perust tasaus'!N138</f>
        <v>2688087.3470430966</v>
      </c>
      <c r="N133" s="303">
        <f>SUM(Yhteenveto[[#This Row],[Valtionosuus ennen verotuloihin perustuvaa valtionosuuden tasausta]]+Yhteenveto[[#This Row],[Verotuloihin perustuva valtionosuuden tasaus]])</f>
        <v>4945355.536982812</v>
      </c>
      <c r="O133" s="241">
        <v>1118786.7974107102</v>
      </c>
      <c r="P133" s="372">
        <f>SUM(Yhteenveto[[#This Row],[Kunnan  peruspalvelujen valtionosuus ]:[Veroperustemuutoksista johtuvien veromenetysten korvaus]])</f>
        <v>6064142.3343935218</v>
      </c>
      <c r="Q133" s="34">
        <v>-83662.556529999973</v>
      </c>
      <c r="R133" s="341">
        <f>+Yhteenveto[[#This Row],[Kunnan  peruspalvelujen valtionosuus ]]+Yhteenveto[[#This Row],[Veroperustemuutoksista johtuvien veromenetysten korvaus]]+Yhteenveto[[#This Row],[Kotikuntakorvaus, netto]]</f>
        <v>5980479.7778635221</v>
      </c>
      <c r="S133" s="11"/>
      <c r="T133"/>
    </row>
    <row r="134" spans="1:20" ht="15">
      <c r="A134" s="32">
        <v>421</v>
      </c>
      <c r="B134" s="13" t="s">
        <v>139</v>
      </c>
      <c r="C134" s="15">
        <v>682</v>
      </c>
      <c r="D134" s="15">
        <f>Ikärakenne[[#This Row],[Laskennalliset kustannukset, IKÄRAKENNE yhteensä, €]]</f>
        <v>1100953.44</v>
      </c>
      <c r="E134" s="15">
        <f>'Lask. kustannukset MUUT'!AD140</f>
        <v>448392.97026157239</v>
      </c>
      <c r="F134" s="231">
        <f>Yhteenveto[[#This Row],[Ikärakenne, laskennallinen kustannus]]+Yhteenveto[[#This Row],[Muut laskennalliset kustannukset ]]</f>
        <v>1549346.4102615723</v>
      </c>
      <c r="G134" s="498">
        <v>1422.47</v>
      </c>
      <c r="H134" s="17">
        <v>970124.54</v>
      </c>
      <c r="I134" s="339">
        <f>Yhteenveto[[#This Row],[Laskennalliset kustannukset yhteensä]]-Yhteenveto[[#This Row],[Omarahoitusosuus, €]]</f>
        <v>579221.8702615723</v>
      </c>
      <c r="J134" s="33">
        <v>225452.93824681037</v>
      </c>
      <c r="K134" s="34">
        <f>'Muut lis_väh'!O132</f>
        <v>399233.75248964806</v>
      </c>
      <c r="L134" s="231">
        <f>Yhteenveto[[#This Row],[Valtionosuus omarahoitusosuuden jälkeen (välisumma)]]+Yhteenveto[[#This Row],[Lisäosat yhteensä]]+Yhteenveto[[#This Row],[Valtionosuuteen tehtävät vähennykset ja lisäykset, netto]]</f>
        <v>1203908.5609980307</v>
      </c>
      <c r="M134" s="34">
        <f>'Verotuloihin perust tasaus'!N139</f>
        <v>168409.84516485548</v>
      </c>
      <c r="N134" s="303">
        <f>SUM(Yhteenveto[[#This Row],[Valtionosuus ennen verotuloihin perustuvaa valtionosuuden tasausta]]+Yhteenveto[[#This Row],[Verotuloihin perustuva valtionosuuden tasaus]])</f>
        <v>1372318.4061628862</v>
      </c>
      <c r="O134" s="241">
        <v>128611.47662920679</v>
      </c>
      <c r="P134" s="372">
        <f>SUM(Yhteenveto[[#This Row],[Kunnan  peruspalvelujen valtionosuus ]:[Veroperustemuutoksista johtuvien veromenetysten korvaus]])</f>
        <v>1500929.8827920929</v>
      </c>
      <c r="Q134" s="34">
        <v>-4518.7647099999995</v>
      </c>
      <c r="R134" s="341">
        <f>+Yhteenveto[[#This Row],[Kunnan  peruspalvelujen valtionosuus ]]+Yhteenveto[[#This Row],[Veroperustemuutoksista johtuvien veromenetysten korvaus]]+Yhteenveto[[#This Row],[Kotikuntakorvaus, netto]]</f>
        <v>1496411.1180820928</v>
      </c>
      <c r="S134" s="11"/>
      <c r="T134"/>
    </row>
    <row r="135" spans="1:20" ht="15">
      <c r="A135" s="32">
        <v>422</v>
      </c>
      <c r="B135" s="13" t="s">
        <v>140</v>
      </c>
      <c r="C135" s="15">
        <v>10228</v>
      </c>
      <c r="D135" s="15">
        <f>Ikärakenne[[#This Row],[Laskennalliset kustannukset, IKÄRAKENNE yhteensä, €]]</f>
        <v>10103828.35</v>
      </c>
      <c r="E135" s="15">
        <f>'Lask. kustannukset MUUT'!AD141</f>
        <v>6014211.8319216929</v>
      </c>
      <c r="F135" s="231">
        <f>Yhteenveto[[#This Row],[Ikärakenne, laskennallinen kustannus]]+Yhteenveto[[#This Row],[Muut laskennalliset kustannukset ]]</f>
        <v>16118040.181921693</v>
      </c>
      <c r="G135" s="498">
        <v>1422.47</v>
      </c>
      <c r="H135" s="17">
        <v>14549023.16</v>
      </c>
      <c r="I135" s="339">
        <f>Yhteenveto[[#This Row],[Laskennalliset kustannukset yhteensä]]-Yhteenveto[[#This Row],[Omarahoitusosuus, €]]</f>
        <v>1569017.0219216924</v>
      </c>
      <c r="J135" s="33">
        <v>1508500.1311478617</v>
      </c>
      <c r="K135" s="34">
        <f>'Muut lis_väh'!O133</f>
        <v>-649025.21146025613</v>
      </c>
      <c r="L135" s="231">
        <f>Yhteenveto[[#This Row],[Valtionosuus omarahoitusosuuden jälkeen (välisumma)]]+Yhteenveto[[#This Row],[Lisäosat yhteensä]]+Yhteenveto[[#This Row],[Valtionosuuteen tehtävät vähennykset ja lisäykset, netto]]</f>
        <v>2428491.9416092979</v>
      </c>
      <c r="M135" s="34">
        <f>'Verotuloihin perust tasaus'!N140</f>
        <v>3890351.6950838706</v>
      </c>
      <c r="N135" s="303">
        <f>SUM(Yhteenveto[[#This Row],[Valtionosuus ennen verotuloihin perustuvaa valtionosuuden tasausta]]+Yhteenveto[[#This Row],[Verotuloihin perustuva valtionosuuden tasaus]])</f>
        <v>6318843.6366931684</v>
      </c>
      <c r="O135" s="241">
        <v>1570438.5367014387</v>
      </c>
      <c r="P135" s="372">
        <f>SUM(Yhteenveto[[#This Row],[Kunnan  peruspalvelujen valtionosuus ]:[Veroperustemuutoksista johtuvien veromenetysten korvaus]])</f>
        <v>7889282.1733946074</v>
      </c>
      <c r="Q135" s="34">
        <v>89338.200659999973</v>
      </c>
      <c r="R135" s="341">
        <f>+Yhteenveto[[#This Row],[Kunnan  peruspalvelujen valtionosuus ]]+Yhteenveto[[#This Row],[Veroperustemuutoksista johtuvien veromenetysten korvaus]]+Yhteenveto[[#This Row],[Kotikuntakorvaus, netto]]</f>
        <v>7978620.374054607</v>
      </c>
      <c r="S135" s="11"/>
      <c r="T135"/>
    </row>
    <row r="136" spans="1:20" ht="15">
      <c r="A136" s="32">
        <v>423</v>
      </c>
      <c r="B136" s="13" t="s">
        <v>141</v>
      </c>
      <c r="C136" s="15">
        <v>20637</v>
      </c>
      <c r="D136" s="15">
        <f>Ikärakenne[[#This Row],[Laskennalliset kustannukset, IKÄRAKENNE yhteensä, €]]</f>
        <v>38246202.950000003</v>
      </c>
      <c r="E136" s="15">
        <f>'Lask. kustannukset MUUT'!AD142</f>
        <v>3557901.7532382454</v>
      </c>
      <c r="F136" s="231">
        <f>Yhteenveto[[#This Row],[Ikärakenne, laskennallinen kustannus]]+Yhteenveto[[#This Row],[Muut laskennalliset kustannukset ]]</f>
        <v>41804104.703238249</v>
      </c>
      <c r="G136" s="498">
        <v>1422.47</v>
      </c>
      <c r="H136" s="17">
        <v>29355513.390000001</v>
      </c>
      <c r="I136" s="339">
        <f>Yhteenveto[[#This Row],[Laskennalliset kustannukset yhteensä]]-Yhteenveto[[#This Row],[Omarahoitusosuus, €]]</f>
        <v>12448591.313238248</v>
      </c>
      <c r="J136" s="33">
        <v>785698.68643552647</v>
      </c>
      <c r="K136" s="34">
        <f>'Muut lis_väh'!O134</f>
        <v>1637980.5412464719</v>
      </c>
      <c r="L136" s="231">
        <f>Yhteenveto[[#This Row],[Valtionosuus omarahoitusosuuden jälkeen (välisumma)]]+Yhteenveto[[#This Row],[Lisäosat yhteensä]]+Yhteenveto[[#This Row],[Valtionosuuteen tehtävät vähennykset ja lisäykset, netto]]</f>
        <v>14872270.540920246</v>
      </c>
      <c r="M136" s="34">
        <f>'Verotuloihin perust tasaus'!N141</f>
        <v>1530853.9959585676</v>
      </c>
      <c r="N136" s="303">
        <f>SUM(Yhteenveto[[#This Row],[Valtionosuus ennen verotuloihin perustuvaa valtionosuuden tasausta]]+Yhteenveto[[#This Row],[Verotuloihin perustuva valtionosuuden tasaus]])</f>
        <v>16403124.536878813</v>
      </c>
      <c r="O136" s="241">
        <v>1454703.2804786349</v>
      </c>
      <c r="P136" s="372">
        <f>SUM(Yhteenveto[[#This Row],[Kunnan  peruspalvelujen valtionosuus ]:[Veroperustemuutoksista johtuvien veromenetysten korvaus]])</f>
        <v>17857827.817357447</v>
      </c>
      <c r="Q136" s="34">
        <v>-531775.22909000004</v>
      </c>
      <c r="R136" s="341">
        <f>+Yhteenveto[[#This Row],[Kunnan  peruspalvelujen valtionosuus ]]+Yhteenveto[[#This Row],[Veroperustemuutoksista johtuvien veromenetysten korvaus]]+Yhteenveto[[#This Row],[Kotikuntakorvaus, netto]]</f>
        <v>17326052.588267446</v>
      </c>
      <c r="S136" s="11"/>
      <c r="T136"/>
    </row>
    <row r="137" spans="1:20" ht="15">
      <c r="A137" s="32">
        <v>425</v>
      </c>
      <c r="B137" s="13" t="s">
        <v>142</v>
      </c>
      <c r="C137" s="15">
        <v>10256</v>
      </c>
      <c r="D137" s="15">
        <f>Ikärakenne[[#This Row],[Laskennalliset kustannukset, IKÄRAKENNE yhteensä, €]]</f>
        <v>29271335.169999998</v>
      </c>
      <c r="E137" s="15">
        <f>'Lask. kustannukset MUUT'!AD143</f>
        <v>1557627.7513146484</v>
      </c>
      <c r="F137" s="231">
        <f>Yhteenveto[[#This Row],[Ikärakenne, laskennallinen kustannus]]+Yhteenveto[[#This Row],[Muut laskennalliset kustannukset ]]</f>
        <v>30828962.921314646</v>
      </c>
      <c r="G137" s="498">
        <v>1422.47</v>
      </c>
      <c r="H137" s="17">
        <v>14588852.32</v>
      </c>
      <c r="I137" s="339">
        <f>Yhteenveto[[#This Row],[Laskennalliset kustannukset yhteensä]]-Yhteenveto[[#This Row],[Omarahoitusosuus, €]]</f>
        <v>16240110.601314645</v>
      </c>
      <c r="J137" s="33">
        <v>318445.16429793718</v>
      </c>
      <c r="K137" s="34">
        <f>'Muut lis_väh'!O135</f>
        <v>-2601314.8857022543</v>
      </c>
      <c r="L137" s="231">
        <f>Yhteenveto[[#This Row],[Valtionosuus omarahoitusosuuden jälkeen (välisumma)]]+Yhteenveto[[#This Row],[Lisäosat yhteensä]]+Yhteenveto[[#This Row],[Valtionosuuteen tehtävät vähennykset ja lisäykset, netto]]</f>
        <v>13957240.879910327</v>
      </c>
      <c r="M137" s="34">
        <f>'Verotuloihin perust tasaus'!N142</f>
        <v>5406180.4445842775</v>
      </c>
      <c r="N137" s="303">
        <f>SUM(Yhteenveto[[#This Row],[Valtionosuus ennen verotuloihin perustuvaa valtionosuuden tasausta]]+Yhteenveto[[#This Row],[Verotuloihin perustuva valtionosuuden tasaus]])</f>
        <v>19363421.324494604</v>
      </c>
      <c r="O137" s="241">
        <v>479741.33685331338</v>
      </c>
      <c r="P137" s="372">
        <f>SUM(Yhteenveto[[#This Row],[Kunnan  peruspalvelujen valtionosuus ]:[Veroperustemuutoksista johtuvien veromenetysten korvaus]])</f>
        <v>19843162.661347918</v>
      </c>
      <c r="Q137" s="34">
        <v>230724.94230999995</v>
      </c>
      <c r="R137" s="341">
        <f>+Yhteenveto[[#This Row],[Kunnan  peruspalvelujen valtionosuus ]]+Yhteenveto[[#This Row],[Veroperustemuutoksista johtuvien veromenetysten korvaus]]+Yhteenveto[[#This Row],[Kotikuntakorvaus, netto]]</f>
        <v>20073887.60365792</v>
      </c>
      <c r="S137" s="11"/>
      <c r="T137"/>
    </row>
    <row r="138" spans="1:20" ht="15">
      <c r="A138" s="32">
        <v>426</v>
      </c>
      <c r="B138" s="13" t="s">
        <v>143</v>
      </c>
      <c r="C138" s="15">
        <v>11969</v>
      </c>
      <c r="D138" s="15">
        <f>Ikärakenne[[#This Row],[Laskennalliset kustannukset, IKÄRAKENNE yhteensä, €]]</f>
        <v>20738529.710000001</v>
      </c>
      <c r="E138" s="15">
        <f>'Lask. kustannukset MUUT'!AD144</f>
        <v>2863421.2804465434</v>
      </c>
      <c r="F138" s="231">
        <f>Yhteenveto[[#This Row],[Ikärakenne, laskennallinen kustannus]]+Yhteenveto[[#This Row],[Muut laskennalliset kustannukset ]]</f>
        <v>23601950.990446545</v>
      </c>
      <c r="G138" s="498">
        <v>1422.47</v>
      </c>
      <c r="H138" s="17">
        <v>17025543.43</v>
      </c>
      <c r="I138" s="339">
        <f>Yhteenveto[[#This Row],[Laskennalliset kustannukset yhteensä]]-Yhteenveto[[#This Row],[Omarahoitusosuus, €]]</f>
        <v>6576407.5604465455</v>
      </c>
      <c r="J138" s="33">
        <v>341857.16490327934</v>
      </c>
      <c r="K138" s="34">
        <f>'Muut lis_väh'!O136</f>
        <v>-3312159.4224949549</v>
      </c>
      <c r="L138" s="231">
        <f>Yhteenveto[[#This Row],[Valtionosuus omarahoitusosuuden jälkeen (välisumma)]]+Yhteenveto[[#This Row],[Lisäosat yhteensä]]+Yhteenveto[[#This Row],[Valtionosuuteen tehtävät vähennykset ja lisäykset, netto]]</f>
        <v>3606105.30285487</v>
      </c>
      <c r="M138" s="34">
        <f>'Verotuloihin perust tasaus'!N143</f>
        <v>5847038.2853867002</v>
      </c>
      <c r="N138" s="303">
        <f>SUM(Yhteenveto[[#This Row],[Valtionosuus ennen verotuloihin perustuvaa valtionosuuden tasausta]]+Yhteenveto[[#This Row],[Verotuloihin perustuva valtionosuuden tasaus]])</f>
        <v>9453143.5882415697</v>
      </c>
      <c r="O138" s="241">
        <v>1221789.2529694829</v>
      </c>
      <c r="P138" s="372">
        <f>SUM(Yhteenveto[[#This Row],[Kunnan  peruspalvelujen valtionosuus ]:[Veroperustemuutoksista johtuvien veromenetysten korvaus]])</f>
        <v>10674932.841211053</v>
      </c>
      <c r="Q138" s="34">
        <v>-836567.24849000014</v>
      </c>
      <c r="R138" s="341">
        <f>+Yhteenveto[[#This Row],[Kunnan  peruspalvelujen valtionosuus ]]+Yhteenveto[[#This Row],[Veroperustemuutoksista johtuvien veromenetysten korvaus]]+Yhteenveto[[#This Row],[Kotikuntakorvaus, netto]]</f>
        <v>9838365.5927210525</v>
      </c>
      <c r="S138" s="11"/>
      <c r="T138"/>
    </row>
    <row r="139" spans="1:20" ht="15">
      <c r="A139" s="32">
        <v>430</v>
      </c>
      <c r="B139" s="13" t="s">
        <v>144</v>
      </c>
      <c r="C139" s="15">
        <v>15420</v>
      </c>
      <c r="D139" s="15">
        <f>Ikärakenne[[#This Row],[Laskennalliset kustannukset, IKÄRAKENNE yhteensä, €]]</f>
        <v>20696401.530000001</v>
      </c>
      <c r="E139" s="15">
        <f>'Lask. kustannukset MUUT'!AD145</f>
        <v>4322158.8536571534</v>
      </c>
      <c r="F139" s="231">
        <f>Yhteenveto[[#This Row],[Ikärakenne, laskennallinen kustannus]]+Yhteenveto[[#This Row],[Muut laskennalliset kustannukset ]]</f>
        <v>25018560.383657154</v>
      </c>
      <c r="G139" s="498">
        <v>1422.47</v>
      </c>
      <c r="H139" s="17">
        <v>21934487.400000002</v>
      </c>
      <c r="I139" s="339">
        <f>Yhteenveto[[#This Row],[Laskennalliset kustannukset yhteensä]]-Yhteenveto[[#This Row],[Omarahoitusosuus, €]]</f>
        <v>3084072.9836571515</v>
      </c>
      <c r="J139" s="33">
        <v>527716.87369198201</v>
      </c>
      <c r="K139" s="34">
        <f>'Muut lis_väh'!O137</f>
        <v>700652.41028631467</v>
      </c>
      <c r="L139" s="231">
        <f>Yhteenveto[[#This Row],[Valtionosuus omarahoitusosuuden jälkeen (välisumma)]]+Yhteenveto[[#This Row],[Lisäosat yhteensä]]+Yhteenveto[[#This Row],[Valtionosuuteen tehtävät vähennykset ja lisäykset, netto]]</f>
        <v>4312442.2676354479</v>
      </c>
      <c r="M139" s="34">
        <f>'Verotuloihin perust tasaus'!N144</f>
        <v>5954825.6309781615</v>
      </c>
      <c r="N139" s="303">
        <f>SUM(Yhteenveto[[#This Row],[Valtionosuus ennen verotuloihin perustuvaa valtionosuuden tasausta]]+Yhteenveto[[#This Row],[Verotuloihin perustuva valtionosuuden tasaus]])</f>
        <v>10267267.898613609</v>
      </c>
      <c r="O139" s="241">
        <v>2317743.5383133944</v>
      </c>
      <c r="P139" s="372">
        <f>SUM(Yhteenveto[[#This Row],[Kunnan  peruspalvelujen valtionosuus ]:[Veroperustemuutoksista johtuvien veromenetysten korvaus]])</f>
        <v>12585011.436927004</v>
      </c>
      <c r="Q139" s="34">
        <v>296725.38605999987</v>
      </c>
      <c r="R139" s="341">
        <f>+Yhteenveto[[#This Row],[Kunnan  peruspalvelujen valtionosuus ]]+Yhteenveto[[#This Row],[Veroperustemuutoksista johtuvien veromenetysten korvaus]]+Yhteenveto[[#This Row],[Kotikuntakorvaus, netto]]</f>
        <v>12881736.822987003</v>
      </c>
      <c r="S139" s="11"/>
      <c r="T139"/>
    </row>
    <row r="140" spans="1:20" ht="15">
      <c r="A140" s="32">
        <v>433</v>
      </c>
      <c r="B140" s="13" t="s">
        <v>145</v>
      </c>
      <c r="C140" s="15">
        <v>7692</v>
      </c>
      <c r="D140" s="15">
        <f>Ikärakenne[[#This Row],[Laskennalliset kustannukset, IKÄRAKENNE yhteensä, €]]</f>
        <v>11826634.940000001</v>
      </c>
      <c r="E140" s="15">
        <f>'Lask. kustannukset MUUT'!AD146</f>
        <v>1638882.3630016986</v>
      </c>
      <c r="F140" s="231">
        <f>Yhteenveto[[#This Row],[Ikärakenne, laskennallinen kustannus]]+Yhteenveto[[#This Row],[Muut laskennalliset kustannukset ]]</f>
        <v>13465517.3030017</v>
      </c>
      <c r="G140" s="498">
        <v>1422.47</v>
      </c>
      <c r="H140" s="17">
        <v>10941639.24</v>
      </c>
      <c r="I140" s="339">
        <f>Yhteenveto[[#This Row],[Laskennalliset kustannukset yhteensä]]-Yhteenveto[[#This Row],[Omarahoitusosuus, €]]</f>
        <v>2523878.0630016997</v>
      </c>
      <c r="J140" s="33">
        <v>189760.90498844266</v>
      </c>
      <c r="K140" s="34">
        <f>'Muut lis_väh'!O138</f>
        <v>-468019.88016595214</v>
      </c>
      <c r="L140" s="231">
        <f>Yhteenveto[[#This Row],[Valtionosuus omarahoitusosuuden jälkeen (välisumma)]]+Yhteenveto[[#This Row],[Lisäosat yhteensä]]+Yhteenveto[[#This Row],[Valtionosuuteen tehtävät vähennykset ja lisäykset, netto]]</f>
        <v>2245619.08782419</v>
      </c>
      <c r="M140" s="34">
        <f>'Verotuloihin perust tasaus'!N145</f>
        <v>2355619.2278512544</v>
      </c>
      <c r="N140" s="303">
        <f>SUM(Yhteenveto[[#This Row],[Valtionosuus ennen verotuloihin perustuvaa valtionosuuden tasausta]]+Yhteenveto[[#This Row],[Verotuloihin perustuva valtionosuuden tasaus]])</f>
        <v>4601238.3156754449</v>
      </c>
      <c r="O140" s="241">
        <v>860525.1241260455</v>
      </c>
      <c r="P140" s="372">
        <f>SUM(Yhteenveto[[#This Row],[Kunnan  peruspalvelujen valtionosuus ]:[Veroperustemuutoksista johtuvien veromenetysten korvaus]])</f>
        <v>5461763.4398014899</v>
      </c>
      <c r="Q140" s="34">
        <v>90449.372310000006</v>
      </c>
      <c r="R140" s="341">
        <f>+Yhteenveto[[#This Row],[Kunnan  peruspalvelujen valtionosuus ]]+Yhteenveto[[#This Row],[Veroperustemuutoksista johtuvien veromenetysten korvaus]]+Yhteenveto[[#This Row],[Kotikuntakorvaus, netto]]</f>
        <v>5552212.8121114895</v>
      </c>
      <c r="S140" s="11"/>
      <c r="T140"/>
    </row>
    <row r="141" spans="1:20" ht="15">
      <c r="A141" s="32">
        <v>434</v>
      </c>
      <c r="B141" s="13" t="s">
        <v>146</v>
      </c>
      <c r="C141" s="15">
        <v>14458</v>
      </c>
      <c r="D141" s="15">
        <f>Ikärakenne[[#This Row],[Laskennalliset kustannukset, IKÄRAKENNE yhteensä, €]]</f>
        <v>18934005.830000002</v>
      </c>
      <c r="E141" s="15">
        <f>'Lask. kustannukset MUUT'!AD147</f>
        <v>6319778.458879265</v>
      </c>
      <c r="F141" s="231">
        <f>Yhteenveto[[#This Row],[Ikärakenne, laskennallinen kustannus]]+Yhteenveto[[#This Row],[Muut laskennalliset kustannukset ]]</f>
        <v>25253784.288879268</v>
      </c>
      <c r="G141" s="498">
        <v>1422.47</v>
      </c>
      <c r="H141" s="17">
        <v>20566071.260000002</v>
      </c>
      <c r="I141" s="339">
        <f>Yhteenveto[[#This Row],[Laskennalliset kustannukset yhteensä]]-Yhteenveto[[#This Row],[Omarahoitusosuus, €]]</f>
        <v>4687713.0288792662</v>
      </c>
      <c r="J141" s="33">
        <v>402276.73344231851</v>
      </c>
      <c r="K141" s="34">
        <f>'Muut lis_väh'!O139</f>
        <v>2051766.3711174321</v>
      </c>
      <c r="L141" s="231">
        <f>Yhteenveto[[#This Row],[Valtionosuus omarahoitusosuuden jälkeen (välisumma)]]+Yhteenveto[[#This Row],[Lisäosat yhteensä]]+Yhteenveto[[#This Row],[Valtionosuuteen tehtävät vähennykset ja lisäykset, netto]]</f>
        <v>7141756.1334390175</v>
      </c>
      <c r="M141" s="34">
        <f>'Verotuloihin perust tasaus'!N146</f>
        <v>-43180.847042444089</v>
      </c>
      <c r="N141" s="303">
        <f>SUM(Yhteenveto[[#This Row],[Valtionosuus ennen verotuloihin perustuvaa valtionosuuden tasausta]]+Yhteenveto[[#This Row],[Verotuloihin perustuva valtionosuuden tasaus]])</f>
        <v>7098575.2863965733</v>
      </c>
      <c r="O141" s="241">
        <v>1795695.2126412101</v>
      </c>
      <c r="P141" s="372">
        <f>SUM(Yhteenveto[[#This Row],[Kunnan  peruspalvelujen valtionosuus ]:[Veroperustemuutoksista johtuvien veromenetysten korvaus]])</f>
        <v>8894270.4990377836</v>
      </c>
      <c r="Q141" s="34">
        <v>1124620.7672899999</v>
      </c>
      <c r="R141" s="341">
        <f>+Yhteenveto[[#This Row],[Kunnan  peruspalvelujen valtionosuus ]]+Yhteenveto[[#This Row],[Veroperustemuutoksista johtuvien veromenetysten korvaus]]+Yhteenveto[[#This Row],[Kotikuntakorvaus, netto]]</f>
        <v>10018891.266327783</v>
      </c>
      <c r="S141" s="11"/>
      <c r="T141"/>
    </row>
    <row r="142" spans="1:20" ht="15">
      <c r="A142" s="32">
        <v>435</v>
      </c>
      <c r="B142" s="13" t="s">
        <v>147</v>
      </c>
      <c r="C142" s="15">
        <v>702</v>
      </c>
      <c r="D142" s="15">
        <f>Ikärakenne[[#This Row],[Laskennalliset kustannukset, IKÄRAKENNE yhteensä, €]]</f>
        <v>644585.32999999996</v>
      </c>
      <c r="E142" s="15">
        <f>'Lask. kustannukset MUUT'!AD148</f>
        <v>372692.09108205669</v>
      </c>
      <c r="F142" s="231">
        <f>Yhteenveto[[#This Row],[Ikärakenne, laskennallinen kustannus]]+Yhteenveto[[#This Row],[Muut laskennalliset kustannukset ]]</f>
        <v>1017277.4210820566</v>
      </c>
      <c r="G142" s="498">
        <v>1422.47</v>
      </c>
      <c r="H142" s="17">
        <v>998573.94000000006</v>
      </c>
      <c r="I142" s="339">
        <f>Yhteenveto[[#This Row],[Laskennalliset kustannukset yhteensä]]-Yhteenveto[[#This Row],[Omarahoitusosuus, €]]</f>
        <v>18703.481082056533</v>
      </c>
      <c r="J142" s="33">
        <v>221137.12428574212</v>
      </c>
      <c r="K142" s="34">
        <f>'Muut lis_väh'!O140</f>
        <v>727507.27240994445</v>
      </c>
      <c r="L142" s="231">
        <f>Yhteenveto[[#This Row],[Valtionosuus omarahoitusosuuden jälkeen (välisumma)]]+Yhteenveto[[#This Row],[Lisäosat yhteensä]]+Yhteenveto[[#This Row],[Valtionosuuteen tehtävät vähennykset ja lisäykset, netto]]</f>
        <v>967347.87777774315</v>
      </c>
      <c r="M142" s="34">
        <f>'Verotuloihin perust tasaus'!N147</f>
        <v>69909.562969506689</v>
      </c>
      <c r="N142" s="303">
        <f>SUM(Yhteenveto[[#This Row],[Valtionosuus ennen verotuloihin perustuvaa valtionosuuden tasausta]]+Yhteenveto[[#This Row],[Verotuloihin perustuva valtionosuuden tasaus]])</f>
        <v>1037257.4407472499</v>
      </c>
      <c r="O142" s="241">
        <v>126199.77769872021</v>
      </c>
      <c r="P142" s="372">
        <f>SUM(Yhteenveto[[#This Row],[Kunnan  peruspalvelujen valtionosuus ]:[Veroperustemuutoksista johtuvien veromenetysten korvaus]])</f>
        <v>1163457.21844597</v>
      </c>
      <c r="Q142" s="34">
        <v>-108079.96249000002</v>
      </c>
      <c r="R142" s="341">
        <f>+Yhteenveto[[#This Row],[Kunnan  peruspalvelujen valtionosuus ]]+Yhteenveto[[#This Row],[Veroperustemuutoksista johtuvien veromenetysten korvaus]]+Yhteenveto[[#This Row],[Kotikuntakorvaus, netto]]</f>
        <v>1055377.2559559699</v>
      </c>
      <c r="S142" s="11"/>
      <c r="T142"/>
    </row>
    <row r="143" spans="1:20" ht="15">
      <c r="A143" s="32">
        <v>436</v>
      </c>
      <c r="B143" s="13" t="s">
        <v>148</v>
      </c>
      <c r="C143" s="15">
        <v>2033</v>
      </c>
      <c r="D143" s="15">
        <f>Ikärakenne[[#This Row],[Laskennalliset kustannukset, IKÄRAKENNE yhteensä, €]]</f>
        <v>4807391.9799999995</v>
      </c>
      <c r="E143" s="15">
        <f>'Lask. kustannukset MUUT'!AD149</f>
        <v>562626.28349656262</v>
      </c>
      <c r="F143" s="231">
        <f>Yhteenveto[[#This Row],[Ikärakenne, laskennallinen kustannus]]+Yhteenveto[[#This Row],[Muut laskennalliset kustannukset ]]</f>
        <v>5370018.2634965619</v>
      </c>
      <c r="G143" s="498">
        <v>1422.47</v>
      </c>
      <c r="H143" s="17">
        <v>2891881.5100000002</v>
      </c>
      <c r="I143" s="339">
        <f>Yhteenveto[[#This Row],[Laskennalliset kustannukset yhteensä]]-Yhteenveto[[#This Row],[Omarahoitusosuus, €]]</f>
        <v>2478136.7534965617</v>
      </c>
      <c r="J143" s="33">
        <v>58987.731225456839</v>
      </c>
      <c r="K143" s="34">
        <f>'Muut lis_väh'!O141</f>
        <v>-409504.12119461974</v>
      </c>
      <c r="L143" s="231">
        <f>Yhteenveto[[#This Row],[Valtionosuus omarahoitusosuuden jälkeen (välisumma)]]+Yhteenveto[[#This Row],[Lisäosat yhteensä]]+Yhteenveto[[#This Row],[Valtionosuuteen tehtävät vähennykset ja lisäykset, netto]]</f>
        <v>2127620.363527399</v>
      </c>
      <c r="M143" s="34">
        <f>'Verotuloihin perust tasaus'!N148</f>
        <v>1330570.2687080433</v>
      </c>
      <c r="N143" s="303">
        <f>SUM(Yhteenveto[[#This Row],[Valtionosuus ennen verotuloihin perustuvaa valtionosuuden tasausta]]+Yhteenveto[[#This Row],[Verotuloihin perustuva valtionosuuden tasaus]])</f>
        <v>3458190.6322354423</v>
      </c>
      <c r="O143" s="241">
        <v>195678.75402191078</v>
      </c>
      <c r="P143" s="372">
        <f>SUM(Yhteenveto[[#This Row],[Kunnan  peruspalvelujen valtionosuus ]:[Veroperustemuutoksista johtuvien veromenetysten korvaus]])</f>
        <v>3653869.3862573532</v>
      </c>
      <c r="Q143" s="34">
        <v>55900.602710000006</v>
      </c>
      <c r="R143" s="341">
        <f>+Yhteenveto[[#This Row],[Kunnan  peruspalvelujen valtionosuus ]]+Yhteenveto[[#This Row],[Veroperustemuutoksista johtuvien veromenetysten korvaus]]+Yhteenveto[[#This Row],[Kotikuntakorvaus, netto]]</f>
        <v>3709769.9889673535</v>
      </c>
      <c r="S143" s="11"/>
      <c r="T143"/>
    </row>
    <row r="144" spans="1:20" ht="15">
      <c r="A144" s="32">
        <v>440</v>
      </c>
      <c r="B144" s="13" t="s">
        <v>149</v>
      </c>
      <c r="C144" s="15">
        <v>5843</v>
      </c>
      <c r="D144" s="15">
        <f>Ikärakenne[[#This Row],[Laskennalliset kustannukset, IKÄRAKENNE yhteensä, €]]</f>
        <v>16167050.269999998</v>
      </c>
      <c r="E144" s="15">
        <f>'Lask. kustannukset MUUT'!AD150</f>
        <v>2930970.6836111387</v>
      </c>
      <c r="F144" s="231">
        <f>Yhteenveto[[#This Row],[Ikärakenne, laskennallinen kustannus]]+Yhteenveto[[#This Row],[Muut laskennalliset kustannukset ]]</f>
        <v>19098020.953611135</v>
      </c>
      <c r="G144" s="498">
        <v>1422.47</v>
      </c>
      <c r="H144" s="17">
        <v>8311492.21</v>
      </c>
      <c r="I144" s="339">
        <f>Yhteenveto[[#This Row],[Laskennalliset kustannukset yhteensä]]-Yhteenveto[[#This Row],[Omarahoitusosuus, €]]</f>
        <v>10786528.743611135</v>
      </c>
      <c r="J144" s="33">
        <v>273013.94358795788</v>
      </c>
      <c r="K144" s="34">
        <f>'Muut lis_väh'!O142</f>
        <v>-2602722.1203149194</v>
      </c>
      <c r="L144" s="231">
        <f>Yhteenveto[[#This Row],[Valtionosuus omarahoitusosuuden jälkeen (välisumma)]]+Yhteenveto[[#This Row],[Lisäosat yhteensä]]+Yhteenveto[[#This Row],[Valtionosuuteen tehtävät vähennykset ja lisäykset, netto]]</f>
        <v>8456820.5668841749</v>
      </c>
      <c r="M144" s="34">
        <f>'Verotuloihin perust tasaus'!N149</f>
        <v>3268927.9330432927</v>
      </c>
      <c r="N144" s="303">
        <f>SUM(Yhteenveto[[#This Row],[Valtionosuus ennen verotuloihin perustuvaa valtionosuuden tasausta]]+Yhteenveto[[#This Row],[Verotuloihin perustuva valtionosuuden tasaus]])</f>
        <v>11725748.499927469</v>
      </c>
      <c r="O144" s="241">
        <v>399429.90274802013</v>
      </c>
      <c r="P144" s="372">
        <f>SUM(Yhteenveto[[#This Row],[Kunnan  peruspalvelujen valtionosuus ]:[Veroperustemuutoksista johtuvien veromenetysten korvaus]])</f>
        <v>12125178.402675489</v>
      </c>
      <c r="Q144" s="34">
        <v>-51854.676999999981</v>
      </c>
      <c r="R144" s="341">
        <f>+Yhteenveto[[#This Row],[Kunnan  peruspalvelujen valtionosuus ]]+Yhteenveto[[#This Row],[Veroperustemuutoksista johtuvien veromenetysten korvaus]]+Yhteenveto[[#This Row],[Kotikuntakorvaus, netto]]</f>
        <v>12073323.72567549</v>
      </c>
      <c r="S144" s="11"/>
      <c r="T144"/>
    </row>
    <row r="145" spans="1:20" ht="15">
      <c r="A145" s="32">
        <v>441</v>
      </c>
      <c r="B145" s="13" t="s">
        <v>150</v>
      </c>
      <c r="C145" s="15">
        <v>4396</v>
      </c>
      <c r="D145" s="15">
        <f>Ikärakenne[[#This Row],[Laskennalliset kustannukset, IKÄRAKENNE yhteensä, €]]</f>
        <v>5274024.2399999993</v>
      </c>
      <c r="E145" s="15">
        <f>'Lask. kustannukset MUUT'!AD151</f>
        <v>1600848.949036344</v>
      </c>
      <c r="F145" s="231">
        <f>Yhteenveto[[#This Row],[Ikärakenne, laskennallinen kustannus]]+Yhteenveto[[#This Row],[Muut laskennalliset kustannukset ]]</f>
        <v>6874873.1890363432</v>
      </c>
      <c r="G145" s="498">
        <v>1422.47</v>
      </c>
      <c r="H145" s="17">
        <v>6253178.1200000001</v>
      </c>
      <c r="I145" s="339">
        <f>Yhteenveto[[#This Row],[Laskennalliset kustannukset yhteensä]]-Yhteenveto[[#This Row],[Omarahoitusosuus, €]]</f>
        <v>621695.06903634313</v>
      </c>
      <c r="J145" s="33">
        <v>314585.61907223414</v>
      </c>
      <c r="K145" s="34">
        <f>'Muut lis_väh'!O143</f>
        <v>-1218078.2501430076</v>
      </c>
      <c r="L145" s="231">
        <f>Yhteenveto[[#This Row],[Valtionosuus omarahoitusosuuden jälkeen (välisumma)]]+Yhteenveto[[#This Row],[Lisäosat yhteensä]]+Yhteenveto[[#This Row],[Valtionosuuteen tehtävät vähennykset ja lisäykset, netto]]</f>
        <v>-281797.56203443033</v>
      </c>
      <c r="M145" s="34">
        <f>'Verotuloihin perust tasaus'!N150</f>
        <v>1301484.4773032595</v>
      </c>
      <c r="N145" s="303">
        <f>SUM(Yhteenveto[[#This Row],[Valtionosuus ennen verotuloihin perustuvaa valtionosuuden tasausta]]+Yhteenveto[[#This Row],[Verotuloihin perustuva valtionosuuden tasaus]])</f>
        <v>1019686.9152688292</v>
      </c>
      <c r="O145" s="241">
        <v>617660.44231957174</v>
      </c>
      <c r="P145" s="372">
        <f>SUM(Yhteenveto[[#This Row],[Kunnan  peruspalvelujen valtionosuus ]:[Veroperustemuutoksista johtuvien veromenetysten korvaus]])</f>
        <v>1637347.3575884011</v>
      </c>
      <c r="Q145" s="34">
        <v>-33276.832689999996</v>
      </c>
      <c r="R145" s="341">
        <f>+Yhteenveto[[#This Row],[Kunnan  peruspalvelujen valtionosuus ]]+Yhteenveto[[#This Row],[Veroperustemuutoksista johtuvien veromenetysten korvaus]]+Yhteenveto[[#This Row],[Kotikuntakorvaus, netto]]</f>
        <v>1604070.524898401</v>
      </c>
      <c r="S145" s="11"/>
      <c r="T145"/>
    </row>
    <row r="146" spans="1:20" ht="15">
      <c r="A146" s="32">
        <v>444</v>
      </c>
      <c r="B146" s="13" t="s">
        <v>151</v>
      </c>
      <c r="C146" s="15">
        <v>45645</v>
      </c>
      <c r="D146" s="15">
        <f>Ikärakenne[[#This Row],[Laskennalliset kustannukset, IKÄRAKENNE yhteensä, €]]</f>
        <v>68229519.140000001</v>
      </c>
      <c r="E146" s="15">
        <f>'Lask. kustannukset MUUT'!AD152</f>
        <v>13850386.807443328</v>
      </c>
      <c r="F146" s="231">
        <f>Yhteenveto[[#This Row],[Ikärakenne, laskennallinen kustannus]]+Yhteenveto[[#This Row],[Muut laskennalliset kustannukset ]]</f>
        <v>82079905.947443336</v>
      </c>
      <c r="G146" s="498">
        <v>1422.47</v>
      </c>
      <c r="H146" s="17">
        <v>64928643.149999999</v>
      </c>
      <c r="I146" s="339">
        <f>Yhteenveto[[#This Row],[Laskennalliset kustannukset yhteensä]]-Yhteenveto[[#This Row],[Omarahoitusosuus, €]]</f>
        <v>17151262.797443338</v>
      </c>
      <c r="J146" s="33">
        <v>1304146.8683758422</v>
      </c>
      <c r="K146" s="34">
        <f>'Muut lis_väh'!O144</f>
        <v>1420847.007746065</v>
      </c>
      <c r="L146" s="231">
        <f>Yhteenveto[[#This Row],[Valtionosuus omarahoitusosuuden jälkeen (välisumma)]]+Yhteenveto[[#This Row],[Lisäosat yhteensä]]+Yhteenveto[[#This Row],[Valtionosuuteen tehtävät vähennykset ja lisäykset, netto]]</f>
        <v>19876256.673565246</v>
      </c>
      <c r="M146" s="34">
        <f>'Verotuloihin perust tasaus'!N151</f>
        <v>5613177.3005075241</v>
      </c>
      <c r="N146" s="303">
        <f>SUM(Yhteenveto[[#This Row],[Valtionosuus ennen verotuloihin perustuvaa valtionosuuden tasausta]]+Yhteenveto[[#This Row],[Verotuloihin perustuva valtionosuuden tasaus]])</f>
        <v>25489433.974072769</v>
      </c>
      <c r="O146" s="241">
        <v>4398648.7779741678</v>
      </c>
      <c r="P146" s="372">
        <f>SUM(Yhteenveto[[#This Row],[Kunnan  peruspalvelujen valtionosuus ]:[Veroperustemuutoksista johtuvien veromenetysten korvaus]])</f>
        <v>29888082.752046935</v>
      </c>
      <c r="Q146" s="34">
        <v>2462611.7094600005</v>
      </c>
      <c r="R146" s="341">
        <f>+Yhteenveto[[#This Row],[Kunnan  peruspalvelujen valtionosuus ]]+Yhteenveto[[#This Row],[Veroperustemuutoksista johtuvien veromenetysten korvaus]]+Yhteenveto[[#This Row],[Kotikuntakorvaus, netto]]</f>
        <v>32350694.461506937</v>
      </c>
      <c r="S146" s="11"/>
      <c r="T146"/>
    </row>
    <row r="147" spans="1:20" ht="15">
      <c r="A147" s="32">
        <v>445</v>
      </c>
      <c r="B147" s="13" t="s">
        <v>152</v>
      </c>
      <c r="C147" s="15">
        <v>14999</v>
      </c>
      <c r="D147" s="15">
        <f>Ikärakenne[[#This Row],[Laskennalliset kustannukset, IKÄRAKENNE yhteensä, €]]</f>
        <v>22064505.629999999</v>
      </c>
      <c r="E147" s="15">
        <f>'Lask. kustannukset MUUT'!AD153</f>
        <v>11884796.740677001</v>
      </c>
      <c r="F147" s="231">
        <f>Yhteenveto[[#This Row],[Ikärakenne, laskennallinen kustannus]]+Yhteenveto[[#This Row],[Muut laskennalliset kustannukset ]]</f>
        <v>33949302.370677002</v>
      </c>
      <c r="G147" s="498">
        <v>1422.47</v>
      </c>
      <c r="H147" s="17">
        <v>21335627.530000001</v>
      </c>
      <c r="I147" s="339">
        <f>Yhteenveto[[#This Row],[Laskennalliset kustannukset yhteensä]]-Yhteenveto[[#This Row],[Omarahoitusosuus, €]]</f>
        <v>12613674.840677001</v>
      </c>
      <c r="J147" s="33">
        <v>437876.347688518</v>
      </c>
      <c r="K147" s="34">
        <f>'Muut lis_väh'!O145</f>
        <v>-6159623.9450939335</v>
      </c>
      <c r="L147" s="231">
        <f>Yhteenveto[[#This Row],[Valtionosuus omarahoitusosuuden jälkeen (välisumma)]]+Yhteenveto[[#This Row],[Lisäosat yhteensä]]+Yhteenveto[[#This Row],[Valtionosuuteen tehtävät vähennykset ja lisäykset, netto]]</f>
        <v>6891927.2432715856</v>
      </c>
      <c r="M147" s="34">
        <f>'Verotuloihin perust tasaus'!N152</f>
        <v>267231.52888660069</v>
      </c>
      <c r="N147" s="303">
        <f>SUM(Yhteenveto[[#This Row],[Valtionosuus ennen verotuloihin perustuvaa valtionosuuden tasausta]]+Yhteenveto[[#This Row],[Verotuloihin perustuva valtionosuuden tasaus]])</f>
        <v>7159158.772158186</v>
      </c>
      <c r="O147" s="241">
        <v>1518109.8731856579</v>
      </c>
      <c r="P147" s="372">
        <f>SUM(Yhteenveto[[#This Row],[Kunnan  peruspalvelujen valtionosuus ]:[Veroperustemuutoksista johtuvien veromenetysten korvaus]])</f>
        <v>8677268.6453438438</v>
      </c>
      <c r="Q147" s="34">
        <v>175771.59372999996</v>
      </c>
      <c r="R147" s="341">
        <f>+Yhteenveto[[#This Row],[Kunnan  peruspalvelujen valtionosuus ]]+Yhteenveto[[#This Row],[Veroperustemuutoksista johtuvien veromenetysten korvaus]]+Yhteenveto[[#This Row],[Kotikuntakorvaus, netto]]</f>
        <v>8853040.2390738446</v>
      </c>
      <c r="S147" s="11"/>
      <c r="T147"/>
    </row>
    <row r="148" spans="1:20" ht="15">
      <c r="A148" s="32">
        <v>475</v>
      </c>
      <c r="B148" s="13" t="s">
        <v>153</v>
      </c>
      <c r="C148" s="15">
        <v>5456</v>
      </c>
      <c r="D148" s="15">
        <f>Ikärakenne[[#This Row],[Laskennalliset kustannukset, IKÄRAKENNE yhteensä, €]]</f>
        <v>8663796.5999999996</v>
      </c>
      <c r="E148" s="15">
        <f>'Lask. kustannukset MUUT'!AD154</f>
        <v>4922434.6684181914</v>
      </c>
      <c r="F148" s="231">
        <f>Yhteenveto[[#This Row],[Ikärakenne, laskennallinen kustannus]]+Yhteenveto[[#This Row],[Muut laskennalliset kustannukset ]]</f>
        <v>13586231.268418191</v>
      </c>
      <c r="G148" s="498">
        <v>1422.47</v>
      </c>
      <c r="H148" s="17">
        <v>7760996.3200000003</v>
      </c>
      <c r="I148" s="339">
        <f>Yhteenveto[[#This Row],[Laskennalliset kustannukset yhteensä]]-Yhteenveto[[#This Row],[Omarahoitusosuus, €]]</f>
        <v>5825234.9484181907</v>
      </c>
      <c r="J148" s="33">
        <v>196208.93774397357</v>
      </c>
      <c r="K148" s="34">
        <f>'Muut lis_väh'!O146</f>
        <v>-2640146.0431537749</v>
      </c>
      <c r="L148" s="231">
        <f>Yhteenveto[[#This Row],[Valtionosuus omarahoitusosuuden jälkeen (välisumma)]]+Yhteenveto[[#This Row],[Lisäosat yhteensä]]+Yhteenveto[[#This Row],[Valtionosuuteen tehtävät vähennykset ja lisäykset, netto]]</f>
        <v>3381297.8430083897</v>
      </c>
      <c r="M148" s="34">
        <f>'Verotuloihin perust tasaus'!N153</f>
        <v>1751442.6552619995</v>
      </c>
      <c r="N148" s="303">
        <f>SUM(Yhteenveto[[#This Row],[Valtionosuus ennen verotuloihin perustuvaa valtionosuuden tasausta]]+Yhteenveto[[#This Row],[Verotuloihin perustuva valtionosuuden tasaus]])</f>
        <v>5132740.4982703887</v>
      </c>
      <c r="O148" s="241">
        <v>687978.32826860063</v>
      </c>
      <c r="P148" s="372">
        <f>SUM(Yhteenveto[[#This Row],[Kunnan  peruspalvelujen valtionosuus ]:[Veroperustemuutoksista johtuvien veromenetysten korvaus]])</f>
        <v>5820718.8265389893</v>
      </c>
      <c r="Q148" s="34">
        <v>796859.80540000007</v>
      </c>
      <c r="R148" s="341">
        <f>+Yhteenveto[[#This Row],[Kunnan  peruspalvelujen valtionosuus ]]+Yhteenveto[[#This Row],[Veroperustemuutoksista johtuvien veromenetysten korvaus]]+Yhteenveto[[#This Row],[Kotikuntakorvaus, netto]]</f>
        <v>6617578.6319389893</v>
      </c>
      <c r="S148" s="11"/>
      <c r="T148"/>
    </row>
    <row r="149" spans="1:20" ht="15">
      <c r="A149" s="32">
        <v>480</v>
      </c>
      <c r="B149" s="13" t="s">
        <v>154</v>
      </c>
      <c r="C149" s="15">
        <v>1930</v>
      </c>
      <c r="D149" s="15">
        <f>Ikärakenne[[#This Row],[Laskennalliset kustannukset, IKÄRAKENNE yhteensä, €]]</f>
        <v>3007048.07</v>
      </c>
      <c r="E149" s="15">
        <f>'Lask. kustannukset MUUT'!AD155</f>
        <v>490621.68235301098</v>
      </c>
      <c r="F149" s="231">
        <f>Yhteenveto[[#This Row],[Ikärakenne, laskennallinen kustannus]]+Yhteenveto[[#This Row],[Muut laskennalliset kustannukset ]]</f>
        <v>3497669.7523530107</v>
      </c>
      <c r="G149" s="498">
        <v>1422.47</v>
      </c>
      <c r="H149" s="17">
        <v>2745367.1</v>
      </c>
      <c r="I149" s="339">
        <f>Yhteenveto[[#This Row],[Laskennalliset kustannukset yhteensä]]-Yhteenveto[[#This Row],[Omarahoitusosuus, €]]</f>
        <v>752302.65235301061</v>
      </c>
      <c r="J149" s="33">
        <v>45202.891429516181</v>
      </c>
      <c r="K149" s="34">
        <f>'Muut lis_väh'!O147</f>
        <v>13135.198509350303</v>
      </c>
      <c r="L149" s="231">
        <f>Yhteenveto[[#This Row],[Valtionosuus omarahoitusosuuden jälkeen (välisumma)]]+Yhteenveto[[#This Row],[Lisäosat yhteensä]]+Yhteenveto[[#This Row],[Valtionosuuteen tehtävät vähennykset ja lisäykset, netto]]</f>
        <v>810640.74229187705</v>
      </c>
      <c r="M149" s="34">
        <f>'Verotuloihin perust tasaus'!N154</f>
        <v>1056919.2027452411</v>
      </c>
      <c r="N149" s="303">
        <f>SUM(Yhteenveto[[#This Row],[Valtionosuus ennen verotuloihin perustuvaa valtionosuuden tasausta]]+Yhteenveto[[#This Row],[Verotuloihin perustuva valtionosuuden tasaus]])</f>
        <v>1867559.9450371182</v>
      </c>
      <c r="O149" s="241">
        <v>298973.38469650026</v>
      </c>
      <c r="P149" s="372">
        <f>SUM(Yhteenveto[[#This Row],[Kunnan  peruspalvelujen valtionosuus ]:[Veroperustemuutoksista johtuvien veromenetysten korvaus]])</f>
        <v>2166533.3297336185</v>
      </c>
      <c r="Q149" s="34">
        <v>-768856.70368999999</v>
      </c>
      <c r="R149" s="341">
        <f>+Yhteenveto[[#This Row],[Kunnan  peruspalvelujen valtionosuus ]]+Yhteenveto[[#This Row],[Veroperustemuutoksista johtuvien veromenetysten korvaus]]+Yhteenveto[[#This Row],[Kotikuntakorvaus, netto]]</f>
        <v>1397676.6260436187</v>
      </c>
      <c r="S149" s="11"/>
      <c r="T149"/>
    </row>
    <row r="150" spans="1:20" ht="15">
      <c r="A150" s="32">
        <v>481</v>
      </c>
      <c r="B150" s="13" t="s">
        <v>155</v>
      </c>
      <c r="C150" s="15">
        <v>9619</v>
      </c>
      <c r="D150" s="15">
        <f>Ikärakenne[[#This Row],[Laskennalliset kustannukset, IKÄRAKENNE yhteensä, €]]</f>
        <v>17976156.940000001</v>
      </c>
      <c r="E150" s="15">
        <f>'Lask. kustannukset MUUT'!AD156</f>
        <v>1337187.6693803468</v>
      </c>
      <c r="F150" s="231">
        <f>Yhteenveto[[#This Row],[Ikärakenne, laskennallinen kustannus]]+Yhteenveto[[#This Row],[Muut laskennalliset kustannukset ]]</f>
        <v>19313344.60938035</v>
      </c>
      <c r="G150" s="498">
        <v>1422.47</v>
      </c>
      <c r="H150" s="17">
        <v>13682738.93</v>
      </c>
      <c r="I150" s="339">
        <f>Yhteenveto[[#This Row],[Laskennalliset kustannukset yhteensä]]-Yhteenveto[[#This Row],[Omarahoitusosuus, €]]</f>
        <v>5630605.6793803498</v>
      </c>
      <c r="J150" s="33">
        <v>296993.95538625988</v>
      </c>
      <c r="K150" s="34">
        <f>'Muut lis_väh'!O148</f>
        <v>-321706.80302976194</v>
      </c>
      <c r="L150" s="231">
        <f>Yhteenveto[[#This Row],[Valtionosuus omarahoitusosuuden jälkeen (välisumma)]]+Yhteenveto[[#This Row],[Lisäosat yhteensä]]+Yhteenveto[[#This Row],[Valtionosuuteen tehtävät vähennykset ja lisäykset, netto]]</f>
        <v>5605892.8317368478</v>
      </c>
      <c r="M150" s="34">
        <f>'Verotuloihin perust tasaus'!N155</f>
        <v>712305.60957274702</v>
      </c>
      <c r="N150" s="303">
        <f>SUM(Yhteenveto[[#This Row],[Valtionosuus ennen verotuloihin perustuvaa valtionosuuden tasausta]]+Yhteenveto[[#This Row],[Verotuloihin perustuva valtionosuuden tasaus]])</f>
        <v>6318198.4413095945</v>
      </c>
      <c r="O150" s="241">
        <v>577889.89108274272</v>
      </c>
      <c r="P150" s="372">
        <f>SUM(Yhteenveto[[#This Row],[Kunnan  peruspalvelujen valtionosuus ]:[Veroperustemuutoksista johtuvien veromenetysten korvaus]])</f>
        <v>6896088.3323923368</v>
      </c>
      <c r="Q150" s="34">
        <v>-201523.98179999995</v>
      </c>
      <c r="R150" s="341">
        <f>+Yhteenveto[[#This Row],[Kunnan  peruspalvelujen valtionosuus ]]+Yhteenveto[[#This Row],[Veroperustemuutoksista johtuvien veromenetysten korvaus]]+Yhteenveto[[#This Row],[Kotikuntakorvaus, netto]]</f>
        <v>6694564.3505923366</v>
      </c>
      <c r="S150" s="11"/>
      <c r="T150"/>
    </row>
    <row r="151" spans="1:20" ht="15">
      <c r="A151" s="32">
        <v>483</v>
      </c>
      <c r="B151" s="13" t="s">
        <v>156</v>
      </c>
      <c r="C151" s="15">
        <v>1055</v>
      </c>
      <c r="D151" s="15">
        <f>Ikärakenne[[#This Row],[Laskennalliset kustannukset, IKÄRAKENNE yhteensä, €]]</f>
        <v>2421281.7000000002</v>
      </c>
      <c r="E151" s="15">
        <f>'Lask. kustannukset MUUT'!AD157</f>
        <v>318776.46466728731</v>
      </c>
      <c r="F151" s="231">
        <f>Yhteenveto[[#This Row],[Ikärakenne, laskennallinen kustannus]]+Yhteenveto[[#This Row],[Muut laskennalliset kustannukset ]]</f>
        <v>2740058.1646672874</v>
      </c>
      <c r="G151" s="498">
        <v>1422.47</v>
      </c>
      <c r="H151" s="17">
        <v>1500705.85</v>
      </c>
      <c r="I151" s="339">
        <f>Yhteenveto[[#This Row],[Laskennalliset kustannukset yhteensä]]-Yhteenveto[[#This Row],[Omarahoitusosuus, €]]</f>
        <v>1239352.3146672873</v>
      </c>
      <c r="J151" s="33">
        <v>53390.308688717334</v>
      </c>
      <c r="K151" s="34">
        <f>'Muut lis_väh'!O149</f>
        <v>-520612.77203332476</v>
      </c>
      <c r="L151" s="231">
        <f>Yhteenveto[[#This Row],[Valtionosuus omarahoitusosuuden jälkeen (välisumma)]]+Yhteenveto[[#This Row],[Lisäosat yhteensä]]+Yhteenveto[[#This Row],[Valtionosuuteen tehtävät vähennykset ja lisäykset, netto]]</f>
        <v>772129.85132268001</v>
      </c>
      <c r="M151" s="34">
        <f>'Verotuloihin perust tasaus'!N156</f>
        <v>961490.7411537139</v>
      </c>
      <c r="N151" s="303">
        <f>SUM(Yhteenveto[[#This Row],[Valtionosuus ennen verotuloihin perustuvaa valtionosuuden tasausta]]+Yhteenveto[[#This Row],[Verotuloihin perustuva valtionosuuden tasaus]])</f>
        <v>1733620.592476394</v>
      </c>
      <c r="O151" s="241">
        <v>165876.09460425531</v>
      </c>
      <c r="P151" s="372">
        <f>SUM(Yhteenveto[[#This Row],[Kunnan  peruspalvelujen valtionosuus ]:[Veroperustemuutoksista johtuvien veromenetysten korvaus]])</f>
        <v>1899496.6870806494</v>
      </c>
      <c r="Q151" s="34">
        <v>14889.700109999994</v>
      </c>
      <c r="R151" s="341">
        <f>+Yhteenveto[[#This Row],[Kunnan  peruspalvelujen valtionosuus ]]+Yhteenveto[[#This Row],[Veroperustemuutoksista johtuvien veromenetysten korvaus]]+Yhteenveto[[#This Row],[Kotikuntakorvaus, netto]]</f>
        <v>1914386.3871906495</v>
      </c>
      <c r="S151" s="11"/>
      <c r="T151"/>
    </row>
    <row r="152" spans="1:20" ht="15">
      <c r="A152" s="32">
        <v>484</v>
      </c>
      <c r="B152" s="13" t="s">
        <v>157</v>
      </c>
      <c r="C152" s="15">
        <v>2966</v>
      </c>
      <c r="D152" s="15">
        <f>Ikärakenne[[#This Row],[Laskennalliset kustannukset, IKÄRAKENNE yhteensä, €]]</f>
        <v>4255447.1099999994</v>
      </c>
      <c r="E152" s="15">
        <f>'Lask. kustannukset MUUT'!AD158</f>
        <v>916434.17709706014</v>
      </c>
      <c r="F152" s="231">
        <f>Yhteenveto[[#This Row],[Ikärakenne, laskennallinen kustannus]]+Yhteenveto[[#This Row],[Muut laskennalliset kustannukset ]]</f>
        <v>5171881.2870970592</v>
      </c>
      <c r="G152" s="498">
        <v>1422.47</v>
      </c>
      <c r="H152" s="17">
        <v>4219046.0200000005</v>
      </c>
      <c r="I152" s="339">
        <f>Yhteenveto[[#This Row],[Laskennalliset kustannukset yhteensä]]-Yhteenveto[[#This Row],[Omarahoitusosuus, €]]</f>
        <v>952835.26709705871</v>
      </c>
      <c r="J152" s="33">
        <v>236895.8338912894</v>
      </c>
      <c r="K152" s="34">
        <f>'Muut lis_väh'!O150</f>
        <v>-512103.75536210136</v>
      </c>
      <c r="L152" s="231">
        <f>Yhteenveto[[#This Row],[Valtionosuus omarahoitusosuuden jälkeen (välisumma)]]+Yhteenveto[[#This Row],[Lisäosat yhteensä]]+Yhteenveto[[#This Row],[Valtionosuuteen tehtävät vähennykset ja lisäykset, netto]]</f>
        <v>677627.34562624665</v>
      </c>
      <c r="M152" s="34">
        <f>'Verotuloihin perust tasaus'!N157</f>
        <v>537926.95991715579</v>
      </c>
      <c r="N152" s="303">
        <f>SUM(Yhteenveto[[#This Row],[Valtionosuus ennen verotuloihin perustuvaa valtionosuuden tasausta]]+Yhteenveto[[#This Row],[Verotuloihin perustuva valtionosuuden tasaus]])</f>
        <v>1215554.3055434024</v>
      </c>
      <c r="O152" s="241">
        <v>454984.05764563032</v>
      </c>
      <c r="P152" s="372">
        <f>SUM(Yhteenveto[[#This Row],[Kunnan  peruspalvelujen valtionosuus ]:[Veroperustemuutoksista johtuvien veromenetysten korvaus]])</f>
        <v>1670538.3631890328</v>
      </c>
      <c r="Q152" s="34">
        <v>62225.612400000013</v>
      </c>
      <c r="R152" s="341">
        <f>+Yhteenveto[[#This Row],[Kunnan  peruspalvelujen valtionosuus ]]+Yhteenveto[[#This Row],[Veroperustemuutoksista johtuvien veromenetysten korvaus]]+Yhteenveto[[#This Row],[Kotikuntakorvaus, netto]]</f>
        <v>1732763.9755890328</v>
      </c>
      <c r="S152" s="11"/>
      <c r="T152"/>
    </row>
    <row r="153" spans="1:20" ht="15">
      <c r="A153" s="32">
        <v>489</v>
      </c>
      <c r="B153" s="13" t="s">
        <v>158</v>
      </c>
      <c r="C153" s="15">
        <v>1752</v>
      </c>
      <c r="D153" s="15">
        <f>Ikärakenne[[#This Row],[Laskennalliset kustannukset, IKÄRAKENNE yhteensä, €]]</f>
        <v>1721915.16</v>
      </c>
      <c r="E153" s="15">
        <f>'Lask. kustannukset MUUT'!AD159</f>
        <v>791457.95369536988</v>
      </c>
      <c r="F153" s="231">
        <f>Yhteenveto[[#This Row],[Ikärakenne, laskennallinen kustannus]]+Yhteenveto[[#This Row],[Muut laskennalliset kustannukset ]]</f>
        <v>2513373.11369537</v>
      </c>
      <c r="G153" s="498">
        <v>1422.47</v>
      </c>
      <c r="H153" s="17">
        <v>2492167.44</v>
      </c>
      <c r="I153" s="339">
        <f>Yhteenveto[[#This Row],[Laskennalliset kustannukset yhteensä]]-Yhteenveto[[#This Row],[Omarahoitusosuus, €]]</f>
        <v>21205.673695370089</v>
      </c>
      <c r="J153" s="33">
        <v>237517.84422712651</v>
      </c>
      <c r="K153" s="34">
        <f>'Muut lis_väh'!O151</f>
        <v>856391.09481038165</v>
      </c>
      <c r="L153" s="231">
        <f>Yhteenveto[[#This Row],[Valtionosuus omarahoitusosuuden jälkeen (välisumma)]]+Yhteenveto[[#This Row],[Lisäosat yhteensä]]+Yhteenveto[[#This Row],[Valtionosuuteen tehtävät vähennykset ja lisäykset, netto]]</f>
        <v>1115114.6127328782</v>
      </c>
      <c r="M153" s="34">
        <f>'Verotuloihin perust tasaus'!N158</f>
        <v>1007994.8152175099</v>
      </c>
      <c r="N153" s="303">
        <f>SUM(Yhteenveto[[#This Row],[Valtionosuus ennen verotuloihin perustuvaa valtionosuuden tasausta]]+Yhteenveto[[#This Row],[Verotuloihin perustuva valtionosuuden tasaus]])</f>
        <v>2123109.4279503878</v>
      </c>
      <c r="O153" s="241">
        <v>327956.18716787657</v>
      </c>
      <c r="P153" s="372">
        <f>SUM(Yhteenveto[[#This Row],[Kunnan  peruspalvelujen valtionosuus ]:[Veroperustemuutoksista johtuvien veromenetysten korvaus]])</f>
        <v>2451065.6151182642</v>
      </c>
      <c r="Q153" s="34">
        <v>-1116208.9614800001</v>
      </c>
      <c r="R153" s="341">
        <f>+Yhteenveto[[#This Row],[Kunnan  peruspalvelujen valtionosuus ]]+Yhteenveto[[#This Row],[Veroperustemuutoksista johtuvien veromenetysten korvaus]]+Yhteenveto[[#This Row],[Kotikuntakorvaus, netto]]</f>
        <v>1334856.6536382642</v>
      </c>
      <c r="S153" s="11"/>
      <c r="T153"/>
    </row>
    <row r="154" spans="1:20" ht="15">
      <c r="A154" s="32">
        <v>491</v>
      </c>
      <c r="B154" s="13" t="s">
        <v>159</v>
      </c>
      <c r="C154" s="15">
        <v>51919</v>
      </c>
      <c r="D154" s="15">
        <f>Ikärakenne[[#This Row],[Laskennalliset kustannukset, IKÄRAKENNE yhteensä, €]]</f>
        <v>70327861.510000005</v>
      </c>
      <c r="E154" s="15">
        <f>'Lask. kustannukset MUUT'!AD160</f>
        <v>14773220.032612735</v>
      </c>
      <c r="F154" s="231">
        <f>Yhteenveto[[#This Row],[Ikärakenne, laskennallinen kustannus]]+Yhteenveto[[#This Row],[Muut laskennalliset kustannukset ]]</f>
        <v>85101081.542612746</v>
      </c>
      <c r="G154" s="498">
        <v>1422.47</v>
      </c>
      <c r="H154" s="17">
        <v>73853219.930000007</v>
      </c>
      <c r="I154" s="339">
        <f>Yhteenveto[[#This Row],[Laskennalliset kustannukset yhteensä]]-Yhteenveto[[#This Row],[Omarahoitusosuus, €]]</f>
        <v>11247861.612612739</v>
      </c>
      <c r="J154" s="33">
        <v>1825215.3725061186</v>
      </c>
      <c r="K154" s="34">
        <f>'Muut lis_väh'!O152</f>
        <v>-19666785.491465673</v>
      </c>
      <c r="L154" s="231">
        <f>Yhteenveto[[#This Row],[Valtionosuus omarahoitusosuuden jälkeen (välisumma)]]+Yhteenveto[[#This Row],[Lisäosat yhteensä]]+Yhteenveto[[#This Row],[Valtionosuuteen tehtävät vähennykset ja lisäykset, netto]]</f>
        <v>-6593708.5063468143</v>
      </c>
      <c r="M154" s="34">
        <f>'Verotuloihin perust tasaus'!N159</f>
        <v>11883109.895036237</v>
      </c>
      <c r="N154" s="303">
        <f>SUM(Yhteenveto[[#This Row],[Valtionosuus ennen verotuloihin perustuvaa valtionosuuden tasausta]]+Yhteenveto[[#This Row],[Verotuloihin perustuva valtionosuuden tasaus]])</f>
        <v>5289401.388689423</v>
      </c>
      <c r="O154" s="241">
        <v>5117882.0458482504</v>
      </c>
      <c r="P154" s="372">
        <f>SUM(Yhteenveto[[#This Row],[Kunnan  peruspalvelujen valtionosuus ]:[Veroperustemuutoksista johtuvien veromenetysten korvaus]])</f>
        <v>10407283.434537673</v>
      </c>
      <c r="Q154" s="34">
        <v>84449.045399999828</v>
      </c>
      <c r="R154" s="341">
        <f>+Yhteenveto[[#This Row],[Kunnan  peruspalvelujen valtionosuus ]]+Yhteenveto[[#This Row],[Veroperustemuutoksista johtuvien veromenetysten korvaus]]+Yhteenveto[[#This Row],[Kotikuntakorvaus, netto]]</f>
        <v>10491732.479937673</v>
      </c>
      <c r="S154" s="11"/>
      <c r="T154"/>
    </row>
    <row r="155" spans="1:20" ht="15">
      <c r="A155" s="32">
        <v>494</v>
      </c>
      <c r="B155" s="13" t="s">
        <v>160</v>
      </c>
      <c r="C155" s="15">
        <v>8827</v>
      </c>
      <c r="D155" s="15">
        <f>Ikärakenne[[#This Row],[Laskennalliset kustannukset, IKÄRAKENNE yhteensä, €]]</f>
        <v>19064030.960000001</v>
      </c>
      <c r="E155" s="15">
        <f>'Lask. kustannukset MUUT'!AD161</f>
        <v>1942433.2219216451</v>
      </c>
      <c r="F155" s="231">
        <f>Yhteenveto[[#This Row],[Ikärakenne, laskennallinen kustannus]]+Yhteenveto[[#This Row],[Muut laskennalliset kustannukset ]]</f>
        <v>21006464.181921646</v>
      </c>
      <c r="G155" s="498">
        <v>1422.47</v>
      </c>
      <c r="H155" s="17">
        <v>12556142.689999999</v>
      </c>
      <c r="I155" s="339">
        <f>Yhteenveto[[#This Row],[Laskennalliset kustannukset yhteensä]]-Yhteenveto[[#This Row],[Omarahoitusosuus, €]]</f>
        <v>8450321.4919216465</v>
      </c>
      <c r="J155" s="33">
        <v>333622.90093493357</v>
      </c>
      <c r="K155" s="34">
        <f>'Muut lis_väh'!O153</f>
        <v>-4233497.6026986754</v>
      </c>
      <c r="L155" s="231">
        <f>Yhteenveto[[#This Row],[Valtionosuus omarahoitusosuuden jälkeen (välisumma)]]+Yhteenveto[[#This Row],[Lisäosat yhteensä]]+Yhteenveto[[#This Row],[Valtionosuuteen tehtävät vähennykset ja lisäykset, netto]]</f>
        <v>4550446.7901579039</v>
      </c>
      <c r="M155" s="34">
        <f>'Verotuloihin perust tasaus'!N160</f>
        <v>5152290.4816407626</v>
      </c>
      <c r="N155" s="303">
        <f>SUM(Yhteenveto[[#This Row],[Valtionosuus ennen verotuloihin perustuvaa valtionosuuden tasausta]]+Yhteenveto[[#This Row],[Verotuloihin perustuva valtionosuuden tasaus]])</f>
        <v>9702737.2717986666</v>
      </c>
      <c r="O155" s="241">
        <v>718615.78400249081</v>
      </c>
      <c r="P155" s="372">
        <f>SUM(Yhteenveto[[#This Row],[Kunnan  peruspalvelujen valtionosuus ]:[Veroperustemuutoksista johtuvien veromenetysten korvaus]])</f>
        <v>10421353.055801157</v>
      </c>
      <c r="Q155" s="34">
        <v>19692.168220000021</v>
      </c>
      <c r="R155" s="341">
        <f>+Yhteenveto[[#This Row],[Kunnan  peruspalvelujen valtionosuus ]]+Yhteenveto[[#This Row],[Veroperustemuutoksista johtuvien veromenetysten korvaus]]+Yhteenveto[[#This Row],[Kotikuntakorvaus, netto]]</f>
        <v>10441045.224021157</v>
      </c>
      <c r="S155" s="11"/>
      <c r="T155"/>
    </row>
    <row r="156" spans="1:20" ht="15">
      <c r="A156" s="32">
        <v>495</v>
      </c>
      <c r="B156" s="13" t="s">
        <v>161</v>
      </c>
      <c r="C156" s="15">
        <v>1430</v>
      </c>
      <c r="D156" s="15">
        <f>Ikärakenne[[#This Row],[Laskennalliset kustannukset, IKÄRAKENNE yhteensä, €]]</f>
        <v>1914172.1500000001</v>
      </c>
      <c r="E156" s="15">
        <f>'Lask. kustannukset MUUT'!AD162</f>
        <v>834474.38482095674</v>
      </c>
      <c r="F156" s="231">
        <f>Yhteenveto[[#This Row],[Ikärakenne, laskennallinen kustannus]]+Yhteenveto[[#This Row],[Muut laskennalliset kustannukset ]]</f>
        <v>2748646.5348209571</v>
      </c>
      <c r="G156" s="498">
        <v>1422.47</v>
      </c>
      <c r="H156" s="17">
        <v>2034132.1</v>
      </c>
      <c r="I156" s="339">
        <f>Yhteenveto[[#This Row],[Laskennalliset kustannukset yhteensä]]-Yhteenveto[[#This Row],[Omarahoitusosuus, €]]</f>
        <v>714514.43482095702</v>
      </c>
      <c r="J156" s="33">
        <v>124028.22166079925</v>
      </c>
      <c r="K156" s="34">
        <f>'Muut lis_väh'!O154</f>
        <v>-76063.77255024339</v>
      </c>
      <c r="L156" s="231">
        <f>Yhteenveto[[#This Row],[Valtionosuus omarahoitusosuuden jälkeen (välisumma)]]+Yhteenveto[[#This Row],[Lisäosat yhteensä]]+Yhteenveto[[#This Row],[Valtionosuuteen tehtävät vähennykset ja lisäykset, netto]]</f>
        <v>762478.88393151283</v>
      </c>
      <c r="M156" s="34">
        <f>'Verotuloihin perust tasaus'!N161</f>
        <v>448747.15524240304</v>
      </c>
      <c r="N156" s="303">
        <f>SUM(Yhteenveto[[#This Row],[Valtionosuus ennen verotuloihin perustuvaa valtionosuuden tasausta]]+Yhteenveto[[#This Row],[Verotuloihin perustuva valtionosuuden tasaus]])</f>
        <v>1211226.039173916</v>
      </c>
      <c r="O156" s="241">
        <v>237833.25820892208</v>
      </c>
      <c r="P156" s="372">
        <f>SUM(Yhteenveto[[#This Row],[Kunnan  peruspalvelujen valtionosuus ]:[Veroperustemuutoksista johtuvien veromenetysten korvaus]])</f>
        <v>1449059.2973828381</v>
      </c>
      <c r="Q156" s="34">
        <v>-45854.350090000007</v>
      </c>
      <c r="R156" s="341">
        <f>+Yhteenveto[[#This Row],[Kunnan  peruspalvelujen valtionosuus ]]+Yhteenveto[[#This Row],[Veroperustemuutoksista johtuvien veromenetysten korvaus]]+Yhteenveto[[#This Row],[Kotikuntakorvaus, netto]]</f>
        <v>1403204.947292838</v>
      </c>
      <c r="S156" s="11"/>
      <c r="T156"/>
    </row>
    <row r="157" spans="1:20" ht="15">
      <c r="A157" s="32">
        <v>498</v>
      </c>
      <c r="B157" s="13" t="s">
        <v>162</v>
      </c>
      <c r="C157" s="15">
        <v>2325</v>
      </c>
      <c r="D157" s="15">
        <f>Ikärakenne[[#This Row],[Laskennalliset kustannukset, IKÄRAKENNE yhteensä, €]]</f>
        <v>3511606.52</v>
      </c>
      <c r="E157" s="15">
        <f>'Lask. kustannukset MUUT'!AD163</f>
        <v>1980667.9621647245</v>
      </c>
      <c r="F157" s="231">
        <f>Yhteenveto[[#This Row],[Ikärakenne, laskennallinen kustannus]]+Yhteenveto[[#This Row],[Muut laskennalliset kustannukset ]]</f>
        <v>5492274.4821647247</v>
      </c>
      <c r="G157" s="498">
        <v>1422.47</v>
      </c>
      <c r="H157" s="17">
        <v>3307242.75</v>
      </c>
      <c r="I157" s="339">
        <f>Yhteenveto[[#This Row],[Laskennalliset kustannukset yhteensä]]-Yhteenveto[[#This Row],[Omarahoitusosuus, €]]</f>
        <v>2185031.7321647247</v>
      </c>
      <c r="J157" s="33">
        <v>912784.53804273682</v>
      </c>
      <c r="K157" s="34">
        <f>'Muut lis_väh'!O155</f>
        <v>600199.25683395646</v>
      </c>
      <c r="L157" s="231">
        <f>Yhteenveto[[#This Row],[Valtionosuus omarahoitusosuuden jälkeen (välisumma)]]+Yhteenveto[[#This Row],[Lisäosat yhteensä]]+Yhteenveto[[#This Row],[Valtionosuuteen tehtävät vähennykset ja lisäykset, netto]]</f>
        <v>3698015.527041418</v>
      </c>
      <c r="M157" s="34">
        <f>'Verotuloihin perust tasaus'!N162</f>
        <v>201019.84229122091</v>
      </c>
      <c r="N157" s="303">
        <f>SUM(Yhteenveto[[#This Row],[Valtionosuus ennen verotuloihin perustuvaa valtionosuuden tasausta]]+Yhteenveto[[#This Row],[Verotuloihin perustuva valtionosuuden tasaus]])</f>
        <v>3899035.369332639</v>
      </c>
      <c r="O157" s="241">
        <v>262753.60379059997</v>
      </c>
      <c r="P157" s="372">
        <f>SUM(Yhteenveto[[#This Row],[Kunnan  peruspalvelujen valtionosuus ]:[Veroperustemuutoksista johtuvien veromenetysten korvaus]])</f>
        <v>4161788.9731232389</v>
      </c>
      <c r="Q157" s="34">
        <v>48283.166419999994</v>
      </c>
      <c r="R157" s="341">
        <f>+Yhteenveto[[#This Row],[Kunnan  peruspalvelujen valtionosuus ]]+Yhteenveto[[#This Row],[Veroperustemuutoksista johtuvien veromenetysten korvaus]]+Yhteenveto[[#This Row],[Kotikuntakorvaus, netto]]</f>
        <v>4210072.139543239</v>
      </c>
      <c r="S157" s="11"/>
      <c r="T157"/>
    </row>
    <row r="158" spans="1:20" ht="15">
      <c r="A158" s="32">
        <v>499</v>
      </c>
      <c r="B158" s="13" t="s">
        <v>163</v>
      </c>
      <c r="C158" s="15">
        <v>19763</v>
      </c>
      <c r="D158" s="15">
        <f>Ikärakenne[[#This Row],[Laskennalliset kustannukset, IKÄRAKENNE yhteensä, €]]</f>
        <v>36316102.460000001</v>
      </c>
      <c r="E158" s="15">
        <f>'Lask. kustannukset MUUT'!AD164</f>
        <v>7714790.0035578813</v>
      </c>
      <c r="F158" s="231">
        <f>Yhteenveto[[#This Row],[Ikärakenne, laskennallinen kustannus]]+Yhteenveto[[#This Row],[Muut laskennalliset kustannukset ]]</f>
        <v>44030892.463557884</v>
      </c>
      <c r="G158" s="498">
        <v>1422.47</v>
      </c>
      <c r="H158" s="17">
        <v>28112274.609999999</v>
      </c>
      <c r="I158" s="339">
        <f>Yhteenveto[[#This Row],[Laskennalliset kustannukset yhteensä]]-Yhteenveto[[#This Row],[Omarahoitusosuus, €]]</f>
        <v>15918617.853557885</v>
      </c>
      <c r="J158" s="33">
        <v>634777.80503000645</v>
      </c>
      <c r="K158" s="34">
        <f>'Muut lis_väh'!O156</f>
        <v>-110681.64106779051</v>
      </c>
      <c r="L158" s="231">
        <f>Yhteenveto[[#This Row],[Valtionosuus omarahoitusosuuden jälkeen (välisumma)]]+Yhteenveto[[#This Row],[Lisäosat yhteensä]]+Yhteenveto[[#This Row],[Valtionosuuteen tehtävät vähennykset ja lisäykset, netto]]</f>
        <v>16442714.017520102</v>
      </c>
      <c r="M158" s="34">
        <f>'Verotuloihin perust tasaus'!N163</f>
        <v>4389113.5173032377</v>
      </c>
      <c r="N158" s="303">
        <f>SUM(Yhteenveto[[#This Row],[Valtionosuus ennen verotuloihin perustuvaa valtionosuuden tasausta]]+Yhteenveto[[#This Row],[Verotuloihin perustuva valtionosuuden tasaus]])</f>
        <v>20831827.534823339</v>
      </c>
      <c r="O158" s="241">
        <v>1487420.8590001245</v>
      </c>
      <c r="P158" s="372">
        <f>SUM(Yhteenveto[[#This Row],[Kunnan  peruspalvelujen valtionosuus ]:[Veroperustemuutoksista johtuvien veromenetysten korvaus]])</f>
        <v>22319248.393823463</v>
      </c>
      <c r="Q158" s="34">
        <v>445173.1901099995</v>
      </c>
      <c r="R158" s="341">
        <f>+Yhteenveto[[#This Row],[Kunnan  peruspalvelujen valtionosuus ]]+Yhteenveto[[#This Row],[Veroperustemuutoksista johtuvien veromenetysten korvaus]]+Yhteenveto[[#This Row],[Kotikuntakorvaus, netto]]</f>
        <v>22764421.583933461</v>
      </c>
      <c r="S158" s="11"/>
      <c r="T158"/>
    </row>
    <row r="159" spans="1:20" ht="15">
      <c r="A159" s="32">
        <v>500</v>
      </c>
      <c r="B159" s="13" t="s">
        <v>164</v>
      </c>
      <c r="C159" s="15">
        <v>10551</v>
      </c>
      <c r="D159" s="15">
        <f>Ikärakenne[[#This Row],[Laskennalliset kustannukset, IKÄRAKENNE yhteensä, €]]</f>
        <v>21224471.710000001</v>
      </c>
      <c r="E159" s="15">
        <f>'Lask. kustannukset MUUT'!AD165</f>
        <v>1579301.9397387067</v>
      </c>
      <c r="F159" s="231">
        <f>Yhteenveto[[#This Row],[Ikärakenne, laskennallinen kustannus]]+Yhteenveto[[#This Row],[Muut laskennalliset kustannukset ]]</f>
        <v>22803773.649738707</v>
      </c>
      <c r="G159" s="498">
        <v>1422.47</v>
      </c>
      <c r="H159" s="17">
        <v>15008480.970000001</v>
      </c>
      <c r="I159" s="339">
        <f>Yhteenveto[[#This Row],[Laskennalliset kustannukset yhteensä]]-Yhteenveto[[#This Row],[Omarahoitusosuus, €]]</f>
        <v>7795292.679738706</v>
      </c>
      <c r="J159" s="33">
        <v>406065.62678295607</v>
      </c>
      <c r="K159" s="34">
        <f>'Muut lis_väh'!O157</f>
        <v>3333150.3337607845</v>
      </c>
      <c r="L159" s="231">
        <f>Yhteenveto[[#This Row],[Valtionosuus omarahoitusosuuden jälkeen (välisumma)]]+Yhteenveto[[#This Row],[Lisäosat yhteensä]]+Yhteenveto[[#This Row],[Valtionosuuteen tehtävät vähennykset ja lisäykset, netto]]</f>
        <v>11534508.640282447</v>
      </c>
      <c r="M159" s="34">
        <f>'Verotuloihin perust tasaus'!N164</f>
        <v>1040756.0120290138</v>
      </c>
      <c r="N159" s="303">
        <f>SUM(Yhteenveto[[#This Row],[Valtionosuus ennen verotuloihin perustuvaa valtionosuuden tasausta]]+Yhteenveto[[#This Row],[Verotuloihin perustuva valtionosuuden tasaus]])</f>
        <v>12575264.652311461</v>
      </c>
      <c r="O159" s="241">
        <v>504158.56174152566</v>
      </c>
      <c r="P159" s="372">
        <f>SUM(Yhteenveto[[#This Row],[Kunnan  peruspalvelujen valtionosuus ]:[Veroperustemuutoksista johtuvien veromenetysten korvaus]])</f>
        <v>13079423.214052986</v>
      </c>
      <c r="Q159" s="34">
        <v>-163201.95698000002</v>
      </c>
      <c r="R159" s="341">
        <f>+Yhteenveto[[#This Row],[Kunnan  peruspalvelujen valtionosuus ]]+Yhteenveto[[#This Row],[Veroperustemuutoksista johtuvien veromenetysten korvaus]]+Yhteenveto[[#This Row],[Kotikuntakorvaus, netto]]</f>
        <v>12916221.257072987</v>
      </c>
      <c r="S159" s="11"/>
      <c r="T159"/>
    </row>
    <row r="160" spans="1:20" ht="15">
      <c r="A160" s="32">
        <v>503</v>
      </c>
      <c r="B160" s="13" t="s">
        <v>165</v>
      </c>
      <c r="C160" s="15">
        <v>7515</v>
      </c>
      <c r="D160" s="15">
        <f>Ikärakenne[[#This Row],[Laskennalliset kustannukset, IKÄRAKENNE yhteensä, €]]</f>
        <v>11280970.99</v>
      </c>
      <c r="E160" s="15">
        <f>'Lask. kustannukset MUUT'!AD166</f>
        <v>1745778.6894799513</v>
      </c>
      <c r="F160" s="231">
        <f>Yhteenveto[[#This Row],[Ikärakenne, laskennallinen kustannus]]+Yhteenveto[[#This Row],[Muut laskennalliset kustannukset ]]</f>
        <v>13026749.679479951</v>
      </c>
      <c r="G160" s="498">
        <v>1422.47</v>
      </c>
      <c r="H160" s="17">
        <v>10689862.050000001</v>
      </c>
      <c r="I160" s="339">
        <f>Yhteenveto[[#This Row],[Laskennalliset kustannukset yhteensä]]-Yhteenveto[[#This Row],[Omarahoitusosuus, €]]</f>
        <v>2336887.6294799503</v>
      </c>
      <c r="J160" s="33">
        <v>210146.85851301491</v>
      </c>
      <c r="K160" s="34">
        <f>'Muut lis_väh'!O158</f>
        <v>-1770445.092136963</v>
      </c>
      <c r="L160" s="231">
        <f>Yhteenveto[[#This Row],[Valtionosuus omarahoitusosuuden jälkeen (välisumma)]]+Yhteenveto[[#This Row],[Lisäosat yhteensä]]+Yhteenveto[[#This Row],[Valtionosuuteen tehtävät vähennykset ja lisäykset, netto]]</f>
        <v>776589.39585600211</v>
      </c>
      <c r="M160" s="34">
        <f>'Verotuloihin perust tasaus'!N165</f>
        <v>2979561.3404462324</v>
      </c>
      <c r="N160" s="303">
        <f>SUM(Yhteenveto[[#This Row],[Valtionosuus ennen verotuloihin perustuvaa valtionosuuden tasausta]]+Yhteenveto[[#This Row],[Verotuloihin perustuva valtionosuuden tasaus]])</f>
        <v>3756150.7363022342</v>
      </c>
      <c r="O160" s="241">
        <v>822951.35182979167</v>
      </c>
      <c r="P160" s="372">
        <f>SUM(Yhteenveto[[#This Row],[Kunnan  peruspalvelujen valtionosuus ]:[Veroperustemuutoksista johtuvien veromenetysten korvaus]])</f>
        <v>4579102.0881320257</v>
      </c>
      <c r="Q160" s="34">
        <v>179122.44611000005</v>
      </c>
      <c r="R160" s="341">
        <f>+Yhteenveto[[#This Row],[Kunnan  peruspalvelujen valtionosuus ]]+Yhteenveto[[#This Row],[Veroperustemuutoksista johtuvien veromenetysten korvaus]]+Yhteenveto[[#This Row],[Kotikuntakorvaus, netto]]</f>
        <v>4758224.5342420256</v>
      </c>
      <c r="S160" s="11"/>
      <c r="T160"/>
    </row>
    <row r="161" spans="1:20" ht="15">
      <c r="A161" s="32">
        <v>504</v>
      </c>
      <c r="B161" s="13" t="s">
        <v>166</v>
      </c>
      <c r="C161" s="15">
        <v>1715</v>
      </c>
      <c r="D161" s="15">
        <f>Ikärakenne[[#This Row],[Laskennalliset kustannukset, IKÄRAKENNE yhteensä, €]]</f>
        <v>2421630.1100000003</v>
      </c>
      <c r="E161" s="15">
        <f>'Lask. kustannukset MUUT'!AD167</f>
        <v>608294.7515832932</v>
      </c>
      <c r="F161" s="231">
        <f>Yhteenveto[[#This Row],[Ikärakenne, laskennallinen kustannus]]+Yhteenveto[[#This Row],[Muut laskennalliset kustannukset ]]</f>
        <v>3029924.8615832934</v>
      </c>
      <c r="G161" s="498">
        <v>1422.47</v>
      </c>
      <c r="H161" s="17">
        <v>2439536.0500000003</v>
      </c>
      <c r="I161" s="339">
        <f>Yhteenveto[[#This Row],[Laskennalliset kustannukset yhteensä]]-Yhteenveto[[#This Row],[Omarahoitusosuus, €]]</f>
        <v>590388.81158329314</v>
      </c>
      <c r="J161" s="33">
        <v>49343.972053971811</v>
      </c>
      <c r="K161" s="34">
        <f>'Muut lis_väh'!O159</f>
        <v>-758820.80816878425</v>
      </c>
      <c r="L161" s="231">
        <f>Yhteenveto[[#This Row],[Valtionosuus omarahoitusosuuden jälkeen (välisumma)]]+Yhteenveto[[#This Row],[Lisäosat yhteensä]]+Yhteenveto[[#This Row],[Valtionosuuteen tehtävät vähennykset ja lisäykset, netto]]</f>
        <v>-119088.02453151927</v>
      </c>
      <c r="M161" s="34">
        <f>'Verotuloihin perust tasaus'!N166</f>
        <v>806038.30209355848</v>
      </c>
      <c r="N161" s="303">
        <f>SUM(Yhteenveto[[#This Row],[Valtionosuus ennen verotuloihin perustuvaa valtionosuuden tasausta]]+Yhteenveto[[#This Row],[Verotuloihin perustuva valtionosuuden tasaus]])</f>
        <v>686950.27756203921</v>
      </c>
      <c r="O161" s="241">
        <v>240182.1069167275</v>
      </c>
      <c r="P161" s="372">
        <f>SUM(Yhteenveto[[#This Row],[Kunnan  peruspalvelujen valtionosuus ]:[Veroperustemuutoksista johtuvien veromenetysten korvaus]])</f>
        <v>927132.3844787667</v>
      </c>
      <c r="Q161" s="34">
        <v>-739446.11788999988</v>
      </c>
      <c r="R161" s="341">
        <f>+Yhteenveto[[#This Row],[Kunnan  peruspalvelujen valtionosuus ]]+Yhteenveto[[#This Row],[Veroperustemuutoksista johtuvien veromenetysten korvaus]]+Yhteenveto[[#This Row],[Kotikuntakorvaus, netto]]</f>
        <v>187686.26658876683</v>
      </c>
      <c r="S161" s="11"/>
      <c r="T161"/>
    </row>
    <row r="162" spans="1:20" ht="15">
      <c r="A162" s="32">
        <v>505</v>
      </c>
      <c r="B162" s="13" t="s">
        <v>167</v>
      </c>
      <c r="C162" s="15">
        <v>20957</v>
      </c>
      <c r="D162" s="15">
        <f>Ikärakenne[[#This Row],[Laskennalliset kustannukset, IKÄRAKENNE yhteensä, €]]</f>
        <v>37987867.189999998</v>
      </c>
      <c r="E162" s="15">
        <f>'Lask. kustannukset MUUT'!AD168</f>
        <v>4760894.8131131548</v>
      </c>
      <c r="F162" s="231">
        <f>Yhteenveto[[#This Row],[Ikärakenne, laskennallinen kustannus]]+Yhteenveto[[#This Row],[Muut laskennalliset kustannukset ]]</f>
        <v>42748762.003113151</v>
      </c>
      <c r="G162" s="498">
        <v>1422.47</v>
      </c>
      <c r="H162" s="17">
        <v>29810703.789999999</v>
      </c>
      <c r="I162" s="339">
        <f>Yhteenveto[[#This Row],[Laskennalliset kustannukset yhteensä]]-Yhteenveto[[#This Row],[Omarahoitusosuus, €]]</f>
        <v>12938058.213113151</v>
      </c>
      <c r="J162" s="33">
        <v>659202.36705671297</v>
      </c>
      <c r="K162" s="34">
        <f>'Muut lis_väh'!O160</f>
        <v>-2535067.0248859902</v>
      </c>
      <c r="L162" s="231">
        <f>Yhteenveto[[#This Row],[Valtionosuus omarahoitusosuuden jälkeen (välisumma)]]+Yhteenveto[[#This Row],[Lisäosat yhteensä]]+Yhteenveto[[#This Row],[Valtionosuuteen tehtävät vähennykset ja lisäykset, netto]]</f>
        <v>11062193.555283874</v>
      </c>
      <c r="M162" s="34">
        <f>'Verotuloihin perust tasaus'!N167</f>
        <v>3745391.5055535142</v>
      </c>
      <c r="N162" s="303">
        <f>SUM(Yhteenveto[[#This Row],[Valtionosuus ennen verotuloihin perustuvaa valtionosuuden tasausta]]+Yhteenveto[[#This Row],[Verotuloihin perustuva valtionosuuden tasaus]])</f>
        <v>14807585.060837388</v>
      </c>
      <c r="O162" s="241">
        <v>1724493.8645294646</v>
      </c>
      <c r="P162" s="372">
        <f>SUM(Yhteenveto[[#This Row],[Kunnan  peruspalvelujen valtionosuus ]:[Veroperustemuutoksista johtuvien veromenetysten korvaus]])</f>
        <v>16532078.925366852</v>
      </c>
      <c r="Q162" s="34">
        <v>-1626061.7984000007</v>
      </c>
      <c r="R162" s="341">
        <f>+Yhteenveto[[#This Row],[Kunnan  peruspalvelujen valtionosuus ]]+Yhteenveto[[#This Row],[Veroperustemuutoksista johtuvien veromenetysten korvaus]]+Yhteenveto[[#This Row],[Kotikuntakorvaus, netto]]</f>
        <v>14906017.126966853</v>
      </c>
      <c r="S162" s="11"/>
      <c r="T162"/>
    </row>
    <row r="163" spans="1:20" ht="15">
      <c r="A163" s="32">
        <v>507</v>
      </c>
      <c r="B163" s="13" t="s">
        <v>168</v>
      </c>
      <c r="C163" s="15">
        <v>7099</v>
      </c>
      <c r="D163" s="15">
        <f>Ikärakenne[[#This Row],[Laskennalliset kustannukset, IKÄRAKENNE yhteensä, €]]</f>
        <v>7821170.1200000001</v>
      </c>
      <c r="E163" s="15">
        <f>'Lask. kustannukset MUUT'!AD169</f>
        <v>2617812.1630937881</v>
      </c>
      <c r="F163" s="231">
        <f>Yhteenveto[[#This Row],[Ikärakenne, laskennallinen kustannus]]+Yhteenveto[[#This Row],[Muut laskennalliset kustannukset ]]</f>
        <v>10438982.283093788</v>
      </c>
      <c r="G163" s="498">
        <v>1422.47</v>
      </c>
      <c r="H163" s="17">
        <v>10098114.529999999</v>
      </c>
      <c r="I163" s="339">
        <f>Yhteenveto[[#This Row],[Laskennalliset kustannukset yhteensä]]-Yhteenveto[[#This Row],[Omarahoitusosuus, €]]</f>
        <v>340867.7530937884</v>
      </c>
      <c r="J163" s="33">
        <v>551074.60358331108</v>
      </c>
      <c r="K163" s="34">
        <f>'Muut lis_väh'!O161</f>
        <v>-2165339.6155582243</v>
      </c>
      <c r="L163" s="231">
        <f>Yhteenveto[[#This Row],[Valtionosuus omarahoitusosuuden jälkeen (välisumma)]]+Yhteenveto[[#This Row],[Lisäosat yhteensä]]+Yhteenveto[[#This Row],[Valtionosuuteen tehtävät vähennykset ja lisäykset, netto]]</f>
        <v>-1273397.2588811247</v>
      </c>
      <c r="M163" s="34">
        <f>'Verotuloihin perust tasaus'!N168</f>
        <v>1594960.2137526623</v>
      </c>
      <c r="N163" s="303">
        <f>SUM(Yhteenveto[[#This Row],[Valtionosuus ennen verotuloihin perustuvaa valtionosuuden tasausta]]+Yhteenveto[[#This Row],[Verotuloihin perustuva valtionosuuden tasaus]])</f>
        <v>321562.95487153763</v>
      </c>
      <c r="O163" s="241">
        <v>1116341.6749485827</v>
      </c>
      <c r="P163" s="372">
        <f>SUM(Yhteenveto[[#This Row],[Kunnan  peruspalvelujen valtionosuus ]:[Veroperustemuutoksista johtuvien veromenetysten korvaus]])</f>
        <v>1437904.6298201203</v>
      </c>
      <c r="Q163" s="34">
        <v>59987.507799999963</v>
      </c>
      <c r="R163" s="341">
        <f>+Yhteenveto[[#This Row],[Kunnan  peruspalvelujen valtionosuus ]]+Yhteenveto[[#This Row],[Veroperustemuutoksista johtuvien veromenetysten korvaus]]+Yhteenveto[[#This Row],[Kotikuntakorvaus, netto]]</f>
        <v>1497892.1376201203</v>
      </c>
      <c r="S163" s="11"/>
      <c r="T163"/>
    </row>
    <row r="164" spans="1:20" ht="15">
      <c r="A164" s="32">
        <v>508</v>
      </c>
      <c r="B164" s="13" t="s">
        <v>169</v>
      </c>
      <c r="C164" s="15">
        <v>9271</v>
      </c>
      <c r="D164" s="15">
        <f>Ikärakenne[[#This Row],[Laskennalliset kustannukset, IKÄRAKENNE yhteensä, €]]</f>
        <v>10718531.18</v>
      </c>
      <c r="E164" s="15">
        <f>'Lask. kustannukset MUUT'!AD170</f>
        <v>2369463.9131635949</v>
      </c>
      <c r="F164" s="231">
        <f>Yhteenveto[[#This Row],[Ikärakenne, laskennallinen kustannus]]+Yhteenveto[[#This Row],[Muut laskennalliset kustannukset ]]</f>
        <v>13087995.093163595</v>
      </c>
      <c r="G164" s="498">
        <v>1422.47</v>
      </c>
      <c r="H164" s="17">
        <v>13187719.370000001</v>
      </c>
      <c r="I164" s="339">
        <f>Yhteenveto[[#This Row],[Laskennalliset kustannukset yhteensä]]-Yhteenveto[[#This Row],[Omarahoitusosuus, €]]</f>
        <v>-99724.27683640644</v>
      </c>
      <c r="J164" s="33">
        <v>648105.18637063366</v>
      </c>
      <c r="K164" s="34">
        <f>'Muut lis_väh'!O162</f>
        <v>-1761201.0416725851</v>
      </c>
      <c r="L164" s="231">
        <f>Yhteenveto[[#This Row],[Valtionosuus omarahoitusosuuden jälkeen (välisumma)]]+Yhteenveto[[#This Row],[Lisäosat yhteensä]]+Yhteenveto[[#This Row],[Valtionosuuteen tehtävät vähennykset ja lisäykset, netto]]</f>
        <v>-1212820.132138358</v>
      </c>
      <c r="M164" s="34">
        <f>'Verotuloihin perust tasaus'!N169</f>
        <v>1931626.3872831357</v>
      </c>
      <c r="N164" s="303">
        <f>SUM(Yhteenveto[[#This Row],[Valtionosuus ennen verotuloihin perustuvaa valtionosuuden tasausta]]+Yhteenveto[[#This Row],[Verotuloihin perustuva valtionosuuden tasaus]])</f>
        <v>718806.25514477771</v>
      </c>
      <c r="O164" s="241">
        <v>1028314.867099897</v>
      </c>
      <c r="P164" s="372">
        <f>SUM(Yhteenveto[[#This Row],[Kunnan  peruspalvelujen valtionosuus ]:[Veroperustemuutoksista johtuvien veromenetysten korvaus]])</f>
        <v>1747121.1222446747</v>
      </c>
      <c r="Q164" s="34">
        <v>116937.81308999998</v>
      </c>
      <c r="R164" s="341">
        <f>+Yhteenveto[[#This Row],[Kunnan  peruspalvelujen valtionosuus ]]+Yhteenveto[[#This Row],[Veroperustemuutoksista johtuvien veromenetysten korvaus]]+Yhteenveto[[#This Row],[Kotikuntakorvaus, netto]]</f>
        <v>1864058.9353346748</v>
      </c>
      <c r="S164" s="11"/>
      <c r="T164"/>
    </row>
    <row r="165" spans="1:20" ht="15">
      <c r="A165" s="32">
        <v>529</v>
      </c>
      <c r="B165" s="13" t="s">
        <v>170</v>
      </c>
      <c r="C165" s="15">
        <v>19999</v>
      </c>
      <c r="D165" s="15">
        <f>Ikärakenne[[#This Row],[Laskennalliset kustannukset, IKÄRAKENNE yhteensä, €]]</f>
        <v>29700717.379999999</v>
      </c>
      <c r="E165" s="15">
        <f>'Lask. kustannukset MUUT'!AD171</f>
        <v>4922797.7405954292</v>
      </c>
      <c r="F165" s="231">
        <f>Yhteenveto[[#This Row],[Ikärakenne, laskennallinen kustannus]]+Yhteenveto[[#This Row],[Muut laskennalliset kustannukset ]]</f>
        <v>34623515.120595425</v>
      </c>
      <c r="G165" s="498">
        <v>1422.47</v>
      </c>
      <c r="H165" s="17">
        <v>28447977.530000001</v>
      </c>
      <c r="I165" s="339">
        <f>Yhteenveto[[#This Row],[Laskennalliset kustannukset yhteensä]]-Yhteenveto[[#This Row],[Omarahoitusosuus, €]]</f>
        <v>6175537.5905954242</v>
      </c>
      <c r="J165" s="33">
        <v>807627.77321964735</v>
      </c>
      <c r="K165" s="34">
        <f>'Muut lis_väh'!O163</f>
        <v>3870194.1317349793</v>
      </c>
      <c r="L165" s="231">
        <f>Yhteenveto[[#This Row],[Valtionosuus omarahoitusosuuden jälkeen (välisumma)]]+Yhteenveto[[#This Row],[Lisäosat yhteensä]]+Yhteenveto[[#This Row],[Valtionosuuteen tehtävät vähennykset ja lisäykset, netto]]</f>
        <v>10853359.495550051</v>
      </c>
      <c r="M165" s="34">
        <f>'Verotuloihin perust tasaus'!N170</f>
        <v>-561716.49586959556</v>
      </c>
      <c r="N165" s="303">
        <f>SUM(Yhteenveto[[#This Row],[Valtionosuus ennen verotuloihin perustuvaa valtionosuuden tasausta]]+Yhteenveto[[#This Row],[Verotuloihin perustuva valtionosuuden tasaus]])</f>
        <v>10291642.999680456</v>
      </c>
      <c r="O165" s="241">
        <v>1451194.1828255558</v>
      </c>
      <c r="P165" s="372">
        <f>SUM(Yhteenveto[[#This Row],[Kunnan  peruspalvelujen valtionosuus ]:[Veroperustemuutoksista johtuvien veromenetysten korvaus]])</f>
        <v>11742837.182506012</v>
      </c>
      <c r="Q165" s="34">
        <v>-45890.601079999993</v>
      </c>
      <c r="R165" s="341">
        <f>+Yhteenveto[[#This Row],[Kunnan  peruspalvelujen valtionosuus ]]+Yhteenveto[[#This Row],[Veroperustemuutoksista johtuvien veromenetysten korvaus]]+Yhteenveto[[#This Row],[Kotikuntakorvaus, netto]]</f>
        <v>11696946.581426011</v>
      </c>
      <c r="S165" s="11"/>
      <c r="T165"/>
    </row>
    <row r="166" spans="1:20" ht="15">
      <c r="A166" s="32">
        <v>531</v>
      </c>
      <c r="B166" s="13" t="s">
        <v>171</v>
      </c>
      <c r="C166" s="15">
        <v>4966</v>
      </c>
      <c r="D166" s="15">
        <f>Ikärakenne[[#This Row],[Laskennalliset kustannukset, IKÄRAKENNE yhteensä, €]]</f>
        <v>6976183.7399999993</v>
      </c>
      <c r="E166" s="15">
        <f>'Lask. kustannukset MUUT'!AD172</f>
        <v>905109.46150805952</v>
      </c>
      <c r="F166" s="231">
        <f>Yhteenveto[[#This Row],[Ikärakenne, laskennallinen kustannus]]+Yhteenveto[[#This Row],[Muut laskennalliset kustannukset ]]</f>
        <v>7881293.2015080592</v>
      </c>
      <c r="G166" s="498">
        <v>1422.47</v>
      </c>
      <c r="H166" s="17">
        <v>7063986.0200000005</v>
      </c>
      <c r="I166" s="339">
        <f>Yhteenveto[[#This Row],[Laskennalliset kustannukset yhteensä]]-Yhteenveto[[#This Row],[Omarahoitusosuus, €]]</f>
        <v>817307.18150805868</v>
      </c>
      <c r="J166" s="33">
        <v>135754.14410247887</v>
      </c>
      <c r="K166" s="34">
        <f>'Muut lis_väh'!O164</f>
        <v>-2111830.7350211823</v>
      </c>
      <c r="L166" s="231">
        <f>Yhteenveto[[#This Row],[Valtionosuus omarahoitusosuuden jälkeen (välisumma)]]+Yhteenveto[[#This Row],[Lisäosat yhteensä]]+Yhteenveto[[#This Row],[Valtionosuuteen tehtävät vähennykset ja lisäykset, netto]]</f>
        <v>-1158769.4094106448</v>
      </c>
      <c r="M166" s="34">
        <f>'Verotuloihin perust tasaus'!N171</f>
        <v>2113918.6509391982</v>
      </c>
      <c r="N166" s="303">
        <f>SUM(Yhteenveto[[#This Row],[Valtionosuus ennen verotuloihin perustuvaa valtionosuuden tasausta]]+Yhteenveto[[#This Row],[Verotuloihin perustuva valtionosuuden tasaus]])</f>
        <v>955149.24152855342</v>
      </c>
      <c r="O166" s="241">
        <v>532702.22956581763</v>
      </c>
      <c r="P166" s="372">
        <f>SUM(Yhteenveto[[#This Row],[Kunnan  peruspalvelujen valtionosuus ]:[Veroperustemuutoksista johtuvien veromenetysten korvaus]])</f>
        <v>1487851.4710943711</v>
      </c>
      <c r="Q166" s="34">
        <v>-41713.856579999992</v>
      </c>
      <c r="R166" s="341">
        <f>+Yhteenveto[[#This Row],[Kunnan  peruspalvelujen valtionosuus ]]+Yhteenveto[[#This Row],[Veroperustemuutoksista johtuvien veromenetysten korvaus]]+Yhteenveto[[#This Row],[Kotikuntakorvaus, netto]]</f>
        <v>1446137.6145143711</v>
      </c>
      <c r="S166" s="11"/>
      <c r="T166"/>
    </row>
    <row r="167" spans="1:20" ht="15">
      <c r="A167" s="32">
        <v>535</v>
      </c>
      <c r="B167" s="13" t="s">
        <v>172</v>
      </c>
      <c r="C167" s="15">
        <v>10454</v>
      </c>
      <c r="D167" s="15">
        <f>Ikärakenne[[#This Row],[Laskennalliset kustannukset, IKÄRAKENNE yhteensä, €]]</f>
        <v>22058955.239999995</v>
      </c>
      <c r="E167" s="15">
        <f>'Lask. kustannukset MUUT'!AD173</f>
        <v>1811708.4472551665</v>
      </c>
      <c r="F167" s="231">
        <f>Yhteenveto[[#This Row],[Ikärakenne, laskennallinen kustannus]]+Yhteenveto[[#This Row],[Muut laskennalliset kustannukset ]]</f>
        <v>23870663.687255163</v>
      </c>
      <c r="G167" s="498">
        <v>1422.47</v>
      </c>
      <c r="H167" s="17">
        <v>14870501.380000001</v>
      </c>
      <c r="I167" s="339">
        <f>Yhteenveto[[#This Row],[Laskennalliset kustannukset yhteensä]]-Yhteenveto[[#This Row],[Omarahoitusosuus, €]]</f>
        <v>9000162.3072551619</v>
      </c>
      <c r="J167" s="33">
        <v>395274.18763666414</v>
      </c>
      <c r="K167" s="34">
        <f>'Muut lis_väh'!O165</f>
        <v>-553120.99781556695</v>
      </c>
      <c r="L167" s="231">
        <f>Yhteenveto[[#This Row],[Valtionosuus omarahoitusosuuden jälkeen (välisumma)]]+Yhteenveto[[#This Row],[Lisäosat yhteensä]]+Yhteenveto[[#This Row],[Valtionosuuteen tehtävät vähennykset ja lisäykset, netto]]</f>
        <v>8842315.4970762599</v>
      </c>
      <c r="M167" s="34">
        <f>'Verotuloihin perust tasaus'!N172</f>
        <v>6598600.013930521</v>
      </c>
      <c r="N167" s="303">
        <f>SUM(Yhteenveto[[#This Row],[Valtionosuus ennen verotuloihin perustuvaa valtionosuuden tasausta]]+Yhteenveto[[#This Row],[Verotuloihin perustuva valtionosuuden tasaus]])</f>
        <v>15440915.51100678</v>
      </c>
      <c r="O167" s="241">
        <v>1191076.6172898414</v>
      </c>
      <c r="P167" s="372">
        <f>SUM(Yhteenveto[[#This Row],[Kunnan  peruspalvelujen valtionosuus ]:[Veroperustemuutoksista johtuvien veromenetysten korvaus]])</f>
        <v>16631992.128296621</v>
      </c>
      <c r="Q167" s="34">
        <v>-180824.66650999995</v>
      </c>
      <c r="R167" s="341">
        <f>+Yhteenveto[[#This Row],[Kunnan  peruspalvelujen valtionosuus ]]+Yhteenveto[[#This Row],[Veroperustemuutoksista johtuvien veromenetysten korvaus]]+Yhteenveto[[#This Row],[Kotikuntakorvaus, netto]]</f>
        <v>16451167.46178662</v>
      </c>
      <c r="S167" s="11"/>
      <c r="T167"/>
    </row>
    <row r="168" spans="1:20" ht="15">
      <c r="A168" s="32">
        <v>536</v>
      </c>
      <c r="B168" s="13" t="s">
        <v>173</v>
      </c>
      <c r="C168" s="15">
        <v>35647</v>
      </c>
      <c r="D168" s="15">
        <f>Ikärakenne[[#This Row],[Laskennalliset kustannukset, IKÄRAKENNE yhteensä, €]]</f>
        <v>61130920.799999997</v>
      </c>
      <c r="E168" s="15">
        <f>'Lask. kustannukset MUUT'!AD174</f>
        <v>6638406.7371754162</v>
      </c>
      <c r="F168" s="231">
        <f>Yhteenveto[[#This Row],[Ikärakenne, laskennallinen kustannus]]+Yhteenveto[[#This Row],[Muut laskennalliset kustannukset ]]</f>
        <v>67769327.537175417</v>
      </c>
      <c r="G168" s="498">
        <v>1422.47</v>
      </c>
      <c r="H168" s="17">
        <v>50706788.090000004</v>
      </c>
      <c r="I168" s="339">
        <f>Yhteenveto[[#This Row],[Laskennalliset kustannukset yhteensä]]-Yhteenveto[[#This Row],[Omarahoitusosuus, €]]</f>
        <v>17062539.447175413</v>
      </c>
      <c r="J168" s="33">
        <v>1575989.0936679598</v>
      </c>
      <c r="K168" s="34">
        <f>'Muut lis_väh'!O166</f>
        <v>-4223919.0112107936</v>
      </c>
      <c r="L168" s="231">
        <f>Yhteenveto[[#This Row],[Valtionosuus omarahoitusosuuden jälkeen (välisumma)]]+Yhteenveto[[#This Row],[Lisäosat yhteensä]]+Yhteenveto[[#This Row],[Valtionosuuteen tehtävät vähennykset ja lisäykset, netto]]</f>
        <v>14414609.529632581</v>
      </c>
      <c r="M168" s="34">
        <f>'Verotuloihin perust tasaus'!N173</f>
        <v>6306834.3206473654</v>
      </c>
      <c r="N168" s="303">
        <f>SUM(Yhteenveto[[#This Row],[Valtionosuus ennen verotuloihin perustuvaa valtionosuuden tasausta]]+Yhteenveto[[#This Row],[Verotuloihin perustuva valtionosuuden tasaus]])</f>
        <v>20721443.850279946</v>
      </c>
      <c r="O168" s="241">
        <v>1984555.9332368174</v>
      </c>
      <c r="P168" s="372">
        <f>SUM(Yhteenveto[[#This Row],[Kunnan  peruspalvelujen valtionosuus ]:[Veroperustemuutoksista johtuvien veromenetysten korvaus]])</f>
        <v>22705999.783516765</v>
      </c>
      <c r="Q168" s="34">
        <v>123716.74821999983</v>
      </c>
      <c r="R168" s="341">
        <f>+Yhteenveto[[#This Row],[Kunnan  peruspalvelujen valtionosuus ]]+Yhteenveto[[#This Row],[Veroperustemuutoksista johtuvien veromenetysten korvaus]]+Yhteenveto[[#This Row],[Kotikuntakorvaus, netto]]</f>
        <v>22829716.531736765</v>
      </c>
      <c r="S168" s="11"/>
      <c r="T168"/>
    </row>
    <row r="169" spans="1:20" ht="15">
      <c r="A169" s="32">
        <v>538</v>
      </c>
      <c r="B169" s="13" t="s">
        <v>174</v>
      </c>
      <c r="C169" s="15">
        <v>4695</v>
      </c>
      <c r="D169" s="15">
        <f>Ikärakenne[[#This Row],[Laskennalliset kustannukset, IKÄRAKENNE yhteensä, €]]</f>
        <v>8613332.2000000011</v>
      </c>
      <c r="E169" s="15">
        <f>'Lask. kustannukset MUUT'!AD175</f>
        <v>823441.07387459499</v>
      </c>
      <c r="F169" s="231">
        <f>Yhteenveto[[#This Row],[Ikärakenne, laskennallinen kustannus]]+Yhteenveto[[#This Row],[Muut laskennalliset kustannukset ]]</f>
        <v>9436773.2738745958</v>
      </c>
      <c r="G169" s="498">
        <v>1422.47</v>
      </c>
      <c r="H169" s="17">
        <v>6678496.6500000004</v>
      </c>
      <c r="I169" s="339">
        <f>Yhteenveto[[#This Row],[Laskennalliset kustannukset yhteensä]]-Yhteenveto[[#This Row],[Omarahoitusosuus, €]]</f>
        <v>2758276.6238745954</v>
      </c>
      <c r="J169" s="33">
        <v>102611.34360213683</v>
      </c>
      <c r="K169" s="34">
        <f>'Muut lis_väh'!O167</f>
        <v>-436576.5349950653</v>
      </c>
      <c r="L169" s="231">
        <f>Yhteenveto[[#This Row],[Valtionosuus omarahoitusosuuden jälkeen (välisumma)]]+Yhteenveto[[#This Row],[Lisäosat yhteensä]]+Yhteenveto[[#This Row],[Valtionosuuteen tehtävät vähennykset ja lisäykset, netto]]</f>
        <v>2424311.432481667</v>
      </c>
      <c r="M169" s="34">
        <f>'Verotuloihin perust tasaus'!N174</f>
        <v>1782472.1944673131</v>
      </c>
      <c r="N169" s="303">
        <f>SUM(Yhteenveto[[#This Row],[Valtionosuus ennen verotuloihin perustuvaa valtionosuuden tasausta]]+Yhteenveto[[#This Row],[Verotuloihin perustuva valtionosuuden tasaus]])</f>
        <v>4206783.6269489806</v>
      </c>
      <c r="O169" s="241">
        <v>424874.02134924236</v>
      </c>
      <c r="P169" s="372">
        <f>SUM(Yhteenveto[[#This Row],[Kunnan  peruspalvelujen valtionosuus ]:[Veroperustemuutoksista johtuvien veromenetysten korvaus]])</f>
        <v>4631657.6482982226</v>
      </c>
      <c r="Q169" s="34">
        <v>-1629.7184200000193</v>
      </c>
      <c r="R169" s="341">
        <f>+Yhteenveto[[#This Row],[Kunnan  peruspalvelujen valtionosuus ]]+Yhteenveto[[#This Row],[Veroperustemuutoksista johtuvien veromenetysten korvaus]]+Yhteenveto[[#This Row],[Kotikuntakorvaus, netto]]</f>
        <v>4630027.9298782228</v>
      </c>
      <c r="S169" s="11"/>
      <c r="T169"/>
    </row>
    <row r="170" spans="1:20" ht="15">
      <c r="A170" s="32">
        <v>541</v>
      </c>
      <c r="B170" s="13" t="s">
        <v>175</v>
      </c>
      <c r="C170" s="15">
        <v>9130</v>
      </c>
      <c r="D170" s="15">
        <f>Ikärakenne[[#This Row],[Laskennalliset kustannukset, IKÄRAKENNE yhteensä, €]]</f>
        <v>10508775.93</v>
      </c>
      <c r="E170" s="15">
        <f>'Lask. kustannukset MUUT'!AD176</f>
        <v>3858968.058043648</v>
      </c>
      <c r="F170" s="231">
        <f>Yhteenveto[[#This Row],[Ikärakenne, laskennallinen kustannus]]+Yhteenveto[[#This Row],[Muut laskennalliset kustannukset ]]</f>
        <v>14367743.988043647</v>
      </c>
      <c r="G170" s="498">
        <v>1422.47</v>
      </c>
      <c r="H170" s="17">
        <v>12987151.1</v>
      </c>
      <c r="I170" s="339">
        <f>Yhteenveto[[#This Row],[Laskennalliset kustannukset yhteensä]]-Yhteenveto[[#This Row],[Omarahoitusosuus, €]]</f>
        <v>1380592.8880436476</v>
      </c>
      <c r="J170" s="33">
        <v>1319502.3794919872</v>
      </c>
      <c r="K170" s="34">
        <f>'Muut lis_väh'!O168</f>
        <v>3617780.6903471132</v>
      </c>
      <c r="L170" s="231">
        <f>Yhteenveto[[#This Row],[Valtionosuus omarahoitusosuuden jälkeen (välisumma)]]+Yhteenveto[[#This Row],[Lisäosat yhteensä]]+Yhteenveto[[#This Row],[Valtionosuuteen tehtävät vähennykset ja lisäykset, netto]]</f>
        <v>6317875.957882748</v>
      </c>
      <c r="M170" s="34">
        <f>'Verotuloihin perust tasaus'!N175</f>
        <v>4629339.5874962397</v>
      </c>
      <c r="N170" s="303">
        <f>SUM(Yhteenveto[[#This Row],[Valtionosuus ennen verotuloihin perustuvaa valtionosuuden tasausta]]+Yhteenveto[[#This Row],[Verotuloihin perustuva valtionosuuden tasaus]])</f>
        <v>10947215.545378987</v>
      </c>
      <c r="O170" s="241">
        <v>1462022.8183782715</v>
      </c>
      <c r="P170" s="372">
        <f>SUM(Yhteenveto[[#This Row],[Kunnan  peruspalvelujen valtionosuus ]:[Veroperustemuutoksista johtuvien veromenetysten korvaus]])</f>
        <v>12409238.363757258</v>
      </c>
      <c r="Q170" s="34">
        <v>-53262.161089999994</v>
      </c>
      <c r="R170" s="341">
        <f>+Yhteenveto[[#This Row],[Kunnan  peruspalvelujen valtionosuus ]]+Yhteenveto[[#This Row],[Veroperustemuutoksista johtuvien veromenetysten korvaus]]+Yhteenveto[[#This Row],[Kotikuntakorvaus, netto]]</f>
        <v>12355976.202667259</v>
      </c>
      <c r="S170" s="11"/>
      <c r="T170"/>
    </row>
    <row r="171" spans="1:20" ht="15">
      <c r="A171" s="32">
        <v>543</v>
      </c>
      <c r="B171" s="13" t="s">
        <v>176</v>
      </c>
      <c r="C171" s="15">
        <v>44785</v>
      </c>
      <c r="D171" s="15">
        <f>Ikärakenne[[#This Row],[Laskennalliset kustannukset, IKÄRAKENNE yhteensä, €]]</f>
        <v>84187988.670000002</v>
      </c>
      <c r="E171" s="15">
        <f>'Lask. kustannukset MUUT'!AD177</f>
        <v>11719484.91125901</v>
      </c>
      <c r="F171" s="231">
        <f>Yhteenveto[[#This Row],[Ikärakenne, laskennallinen kustannus]]+Yhteenveto[[#This Row],[Muut laskennalliset kustannukset ]]</f>
        <v>95907473.581259012</v>
      </c>
      <c r="G171" s="498">
        <v>1422.47</v>
      </c>
      <c r="H171" s="17">
        <v>63705318.950000003</v>
      </c>
      <c r="I171" s="339">
        <f>Yhteenveto[[#This Row],[Laskennalliset kustannukset yhteensä]]-Yhteenveto[[#This Row],[Omarahoitusosuus, €]]</f>
        <v>32202154.631259009</v>
      </c>
      <c r="J171" s="33">
        <v>1662344.5748884901</v>
      </c>
      <c r="K171" s="34">
        <f>'Muut lis_väh'!O169</f>
        <v>3295832.8762120269</v>
      </c>
      <c r="L171" s="231">
        <f>Yhteenveto[[#This Row],[Valtionosuus omarahoitusosuuden jälkeen (välisumma)]]+Yhteenveto[[#This Row],[Lisäosat yhteensä]]+Yhteenveto[[#This Row],[Valtionosuuteen tehtävät vähennykset ja lisäykset, netto]]</f>
        <v>37160332.082359523</v>
      </c>
      <c r="M171" s="34">
        <f>'Verotuloihin perust tasaus'!N176</f>
        <v>-189170.70336456905</v>
      </c>
      <c r="N171" s="303">
        <f>SUM(Yhteenveto[[#This Row],[Valtionosuus ennen verotuloihin perustuvaa valtionosuuden tasausta]]+Yhteenveto[[#This Row],[Verotuloihin perustuva valtionosuuden tasaus]])</f>
        <v>36971161.378994957</v>
      </c>
      <c r="O171" s="241">
        <v>2656732.6410357924</v>
      </c>
      <c r="P171" s="372">
        <f>SUM(Yhteenveto[[#This Row],[Kunnan  peruspalvelujen valtionosuus ]:[Veroperustemuutoksista johtuvien veromenetysten korvaus]])</f>
        <v>39627894.020030752</v>
      </c>
      <c r="Q171" s="34">
        <v>-363885.86149000004</v>
      </c>
      <c r="R171" s="341">
        <f>+Yhteenveto[[#This Row],[Kunnan  peruspalvelujen valtionosuus ]]+Yhteenveto[[#This Row],[Veroperustemuutoksista johtuvien veromenetysten korvaus]]+Yhteenveto[[#This Row],[Kotikuntakorvaus, netto]]</f>
        <v>39264008.158540756</v>
      </c>
      <c r="S171" s="11"/>
      <c r="T171"/>
    </row>
    <row r="172" spans="1:20" ht="15">
      <c r="A172" s="32">
        <v>545</v>
      </c>
      <c r="B172" s="13" t="s">
        <v>177</v>
      </c>
      <c r="C172" s="15">
        <v>9621</v>
      </c>
      <c r="D172" s="15">
        <f>Ikärakenne[[#This Row],[Laskennalliset kustannukset, IKÄRAKENNE yhteensä, €]]</f>
        <v>15162110.67</v>
      </c>
      <c r="E172" s="15">
        <f>'Lask. kustannukset MUUT'!AD178</f>
        <v>7570507.0417536935</v>
      </c>
      <c r="F172" s="231">
        <f>Yhteenveto[[#This Row],[Ikärakenne, laskennallinen kustannus]]+Yhteenveto[[#This Row],[Muut laskennalliset kustannukset ]]</f>
        <v>22732617.711753692</v>
      </c>
      <c r="G172" s="498">
        <v>1422.47</v>
      </c>
      <c r="H172" s="17">
        <v>13685583.870000001</v>
      </c>
      <c r="I172" s="339">
        <f>Yhteenveto[[#This Row],[Laskennalliset kustannukset yhteensä]]-Yhteenveto[[#This Row],[Omarahoitusosuus, €]]</f>
        <v>9047033.8417536914</v>
      </c>
      <c r="J172" s="33">
        <v>778735.06342377898</v>
      </c>
      <c r="K172" s="34">
        <f>'Muut lis_väh'!O170</f>
        <v>2479142.7165138694</v>
      </c>
      <c r="L172" s="231">
        <f>Yhteenveto[[#This Row],[Valtionosuus omarahoitusosuuden jälkeen (välisumma)]]+Yhteenveto[[#This Row],[Lisäosat yhteensä]]+Yhteenveto[[#This Row],[Valtionosuuteen tehtävät vähennykset ja lisäykset, netto]]</f>
        <v>12304911.621691339</v>
      </c>
      <c r="M172" s="34">
        <f>'Verotuloihin perust tasaus'!N177</f>
        <v>3285078.140177255</v>
      </c>
      <c r="N172" s="303">
        <f>SUM(Yhteenveto[[#This Row],[Valtionosuus ennen verotuloihin perustuvaa valtionosuuden tasausta]]+Yhteenveto[[#This Row],[Verotuloihin perustuva valtionosuuden tasaus]])</f>
        <v>15589989.761868594</v>
      </c>
      <c r="O172" s="241">
        <v>1511683.778457378</v>
      </c>
      <c r="P172" s="372">
        <f>SUM(Yhteenveto[[#This Row],[Kunnan  peruspalvelujen valtionosuus ]:[Veroperustemuutoksista johtuvien veromenetysten korvaus]])</f>
        <v>17101673.540325973</v>
      </c>
      <c r="Q172" s="34">
        <v>82819.326980000027</v>
      </c>
      <c r="R172" s="341">
        <f>+Yhteenveto[[#This Row],[Kunnan  peruspalvelujen valtionosuus ]]+Yhteenveto[[#This Row],[Veroperustemuutoksista johtuvien veromenetysten korvaus]]+Yhteenveto[[#This Row],[Kotikuntakorvaus, netto]]</f>
        <v>17184492.867305972</v>
      </c>
      <c r="S172" s="11"/>
      <c r="T172"/>
    </row>
    <row r="173" spans="1:20" ht="15">
      <c r="A173" s="32">
        <v>560</v>
      </c>
      <c r="B173" s="13" t="s">
        <v>178</v>
      </c>
      <c r="C173" s="15">
        <v>15669</v>
      </c>
      <c r="D173" s="15">
        <f>Ikärakenne[[#This Row],[Laskennalliset kustannukset, IKÄRAKENNE yhteensä, €]]</f>
        <v>24876047.149999999</v>
      </c>
      <c r="E173" s="15">
        <f>'Lask. kustannukset MUUT'!AD179</f>
        <v>4042944.824279408</v>
      </c>
      <c r="F173" s="231">
        <f>Yhteenveto[[#This Row],[Ikärakenne, laskennallinen kustannus]]+Yhteenveto[[#This Row],[Muut laskennalliset kustannukset ]]</f>
        <v>28918991.974279407</v>
      </c>
      <c r="G173" s="498">
        <v>1422.47</v>
      </c>
      <c r="H173" s="17">
        <v>22288682.43</v>
      </c>
      <c r="I173" s="339">
        <f>Yhteenveto[[#This Row],[Laskennalliset kustannukset yhteensä]]-Yhteenveto[[#This Row],[Omarahoitusosuus, €]]</f>
        <v>6630309.5442794077</v>
      </c>
      <c r="J173" s="33">
        <v>409155.99404772383</v>
      </c>
      <c r="K173" s="34">
        <f>'Muut lis_väh'!O171</f>
        <v>-1176720.9552458087</v>
      </c>
      <c r="L173" s="231">
        <f>Yhteenveto[[#This Row],[Valtionosuus omarahoitusosuuden jälkeen (välisumma)]]+Yhteenveto[[#This Row],[Lisäosat yhteensä]]+Yhteenveto[[#This Row],[Valtionosuuteen tehtävät vähennykset ja lisäykset, netto]]</f>
        <v>5862744.5830813227</v>
      </c>
      <c r="M173" s="34">
        <f>'Verotuloihin perust tasaus'!N178</f>
        <v>6622080.3975777691</v>
      </c>
      <c r="N173" s="303">
        <f>SUM(Yhteenveto[[#This Row],[Valtionosuus ennen verotuloihin perustuvaa valtionosuuden tasausta]]+Yhteenveto[[#This Row],[Verotuloihin perustuva valtionosuuden tasaus]])</f>
        <v>12484824.980659092</v>
      </c>
      <c r="O173" s="241">
        <v>1725272.0522359279</v>
      </c>
      <c r="P173" s="372">
        <f>SUM(Yhteenveto[[#This Row],[Kunnan  peruspalvelujen valtionosuus ]:[Veroperustemuutoksista johtuvien veromenetysten korvaus]])</f>
        <v>14210097.032895019</v>
      </c>
      <c r="Q173" s="34">
        <v>337304.42903999973</v>
      </c>
      <c r="R173" s="341">
        <f>+Yhteenveto[[#This Row],[Kunnan  peruspalvelujen valtionosuus ]]+Yhteenveto[[#This Row],[Veroperustemuutoksista johtuvien veromenetysten korvaus]]+Yhteenveto[[#This Row],[Kotikuntakorvaus, netto]]</f>
        <v>14547401.461935019</v>
      </c>
      <c r="S173" s="11"/>
      <c r="T173"/>
    </row>
    <row r="174" spans="1:20" ht="15">
      <c r="A174" s="32">
        <v>561</v>
      </c>
      <c r="B174" s="13" t="s">
        <v>179</v>
      </c>
      <c r="C174" s="15">
        <v>1315</v>
      </c>
      <c r="D174" s="15">
        <f>Ikärakenne[[#This Row],[Laskennalliset kustannukset, IKÄRAKENNE yhteensä, €]]</f>
        <v>2241577.7999999998</v>
      </c>
      <c r="E174" s="15">
        <f>'Lask. kustannukset MUUT'!AD180</f>
        <v>482645.90587266744</v>
      </c>
      <c r="F174" s="231">
        <f>Yhteenveto[[#This Row],[Ikärakenne, laskennallinen kustannus]]+Yhteenveto[[#This Row],[Muut laskennalliset kustannukset ]]</f>
        <v>2724223.705872667</v>
      </c>
      <c r="G174" s="498">
        <v>1422.47</v>
      </c>
      <c r="H174" s="17">
        <v>1870548.05</v>
      </c>
      <c r="I174" s="339">
        <f>Yhteenveto[[#This Row],[Laskennalliset kustannukset yhteensä]]-Yhteenveto[[#This Row],[Omarahoitusosuus, €]]</f>
        <v>853675.65587266698</v>
      </c>
      <c r="J174" s="33">
        <v>31872.808145573305</v>
      </c>
      <c r="K174" s="34">
        <f>'Muut lis_väh'!O172</f>
        <v>642548.11678966484</v>
      </c>
      <c r="L174" s="231">
        <f>Yhteenveto[[#This Row],[Valtionosuus omarahoitusosuuden jälkeen (välisumma)]]+Yhteenveto[[#This Row],[Lisäosat yhteensä]]+Yhteenveto[[#This Row],[Valtionosuuteen tehtävät vähennykset ja lisäykset, netto]]</f>
        <v>1528096.5808079052</v>
      </c>
      <c r="M174" s="34">
        <f>'Verotuloihin perust tasaus'!N179</f>
        <v>443044.92124670645</v>
      </c>
      <c r="N174" s="303">
        <f>SUM(Yhteenveto[[#This Row],[Valtionosuus ennen verotuloihin perustuvaa valtionosuuden tasausta]]+Yhteenveto[[#This Row],[Verotuloihin perustuva valtionosuuden tasaus]])</f>
        <v>1971141.5020546117</v>
      </c>
      <c r="O174" s="241">
        <v>256104.07618257817</v>
      </c>
      <c r="P174" s="372">
        <f>SUM(Yhteenveto[[#This Row],[Kunnan  peruspalvelujen valtionosuus ]:[Veroperustemuutoksista johtuvien veromenetysten korvaus]])</f>
        <v>2227245.5782371899</v>
      </c>
      <c r="Q174" s="34">
        <v>-763909.23161999998</v>
      </c>
      <c r="R174" s="341">
        <f>+Yhteenveto[[#This Row],[Kunnan  peruspalvelujen valtionosuus ]]+Yhteenveto[[#This Row],[Veroperustemuutoksista johtuvien veromenetysten korvaus]]+Yhteenveto[[#This Row],[Kotikuntakorvaus, netto]]</f>
        <v>1463336.3466171899</v>
      </c>
      <c r="S174" s="11"/>
      <c r="T174"/>
    </row>
    <row r="175" spans="1:20" ht="15">
      <c r="A175" s="32">
        <v>562</v>
      </c>
      <c r="B175" s="13" t="s">
        <v>180</v>
      </c>
      <c r="C175" s="15">
        <v>8839</v>
      </c>
      <c r="D175" s="15">
        <f>Ikärakenne[[#This Row],[Laskennalliset kustannukset, IKÄRAKENNE yhteensä, €]]</f>
        <v>12346363.879999999</v>
      </c>
      <c r="E175" s="15">
        <f>'Lask. kustannukset MUUT'!AD181</f>
        <v>2018986.9924090421</v>
      </c>
      <c r="F175" s="231">
        <f>Yhteenveto[[#This Row],[Ikärakenne, laskennallinen kustannus]]+Yhteenveto[[#This Row],[Muut laskennalliset kustannukset ]]</f>
        <v>14365350.872409042</v>
      </c>
      <c r="G175" s="498">
        <v>1422.47</v>
      </c>
      <c r="H175" s="17">
        <v>12573212.33</v>
      </c>
      <c r="I175" s="339">
        <f>Yhteenveto[[#This Row],[Laskennalliset kustannukset yhteensä]]-Yhteenveto[[#This Row],[Omarahoitusosuus, €]]</f>
        <v>1792138.5424090419</v>
      </c>
      <c r="J175" s="33">
        <v>421133.3584370694</v>
      </c>
      <c r="K175" s="34">
        <f>'Muut lis_väh'!O173</f>
        <v>-656930.19174094708</v>
      </c>
      <c r="L175" s="231">
        <f>Yhteenveto[[#This Row],[Valtionosuus omarahoitusosuuden jälkeen (välisumma)]]+Yhteenveto[[#This Row],[Lisäosat yhteensä]]+Yhteenveto[[#This Row],[Valtionosuuteen tehtävät vähennykset ja lisäykset, netto]]</f>
        <v>1556341.709105164</v>
      </c>
      <c r="M175" s="34">
        <f>'Verotuloihin perust tasaus'!N180</f>
        <v>3382640.9958232911</v>
      </c>
      <c r="N175" s="303">
        <f>SUM(Yhteenveto[[#This Row],[Valtionosuus ennen verotuloihin perustuvaa valtionosuuden tasausta]]+Yhteenveto[[#This Row],[Verotuloihin perustuva valtionosuuden tasaus]])</f>
        <v>4938982.7049284549</v>
      </c>
      <c r="O175" s="241">
        <v>1060062.2630919507</v>
      </c>
      <c r="P175" s="372">
        <f>SUM(Yhteenveto[[#This Row],[Kunnan  peruspalvelujen valtionosuus ]:[Veroperustemuutoksista johtuvien veromenetysten korvaus]])</f>
        <v>5999044.9680204056</v>
      </c>
      <c r="Q175" s="34">
        <v>-205785.83731999999</v>
      </c>
      <c r="R175" s="341">
        <f>+Yhteenveto[[#This Row],[Kunnan  peruspalvelujen valtionosuus ]]+Yhteenveto[[#This Row],[Veroperustemuutoksista johtuvien veromenetysten korvaus]]+Yhteenveto[[#This Row],[Kotikuntakorvaus, netto]]</f>
        <v>5793259.1307004057</v>
      </c>
      <c r="S175" s="11"/>
      <c r="T175"/>
    </row>
    <row r="176" spans="1:20" ht="15">
      <c r="A176" s="32">
        <v>563</v>
      </c>
      <c r="B176" s="13" t="s">
        <v>181</v>
      </c>
      <c r="C176" s="15">
        <v>6978</v>
      </c>
      <c r="D176" s="15">
        <f>Ikärakenne[[#This Row],[Laskennalliset kustannukset, IKÄRAKENNE yhteensä, €]]</f>
        <v>11417812.699999999</v>
      </c>
      <c r="E176" s="15">
        <f>'Lask. kustannukset MUUT'!AD182</f>
        <v>1602022.2272238997</v>
      </c>
      <c r="F176" s="231">
        <f>Yhteenveto[[#This Row],[Ikärakenne, laskennallinen kustannus]]+Yhteenveto[[#This Row],[Muut laskennalliset kustannukset ]]</f>
        <v>13019834.927223898</v>
      </c>
      <c r="G176" s="498">
        <v>1422.47</v>
      </c>
      <c r="H176" s="17">
        <v>9925995.6600000001</v>
      </c>
      <c r="I176" s="339">
        <f>Yhteenveto[[#This Row],[Laskennalliset kustannukset yhteensä]]-Yhteenveto[[#This Row],[Omarahoitusosuus, €]]</f>
        <v>3093839.2672238983</v>
      </c>
      <c r="J176" s="33">
        <v>425246.97957595775</v>
      </c>
      <c r="K176" s="34">
        <f>'Muut lis_väh'!O174</f>
        <v>-2066640.2336851838</v>
      </c>
      <c r="L176" s="231">
        <f>Yhteenveto[[#This Row],[Valtionosuus omarahoitusosuuden jälkeen (välisumma)]]+Yhteenveto[[#This Row],[Lisäosat yhteensä]]+Yhteenveto[[#This Row],[Valtionosuuteen tehtävät vähennykset ja lisäykset, netto]]</f>
        <v>1452446.0131146722</v>
      </c>
      <c r="M176" s="34">
        <f>'Verotuloihin perust tasaus'!N181</f>
        <v>3300738.6291025989</v>
      </c>
      <c r="N176" s="303">
        <f>SUM(Yhteenveto[[#This Row],[Valtionosuus ennen verotuloihin perustuvaa valtionosuuden tasausta]]+Yhteenveto[[#This Row],[Verotuloihin perustuva valtionosuuden tasaus]])</f>
        <v>4753184.642217271</v>
      </c>
      <c r="O176" s="241">
        <v>758604.12389413116</v>
      </c>
      <c r="P176" s="372">
        <f>SUM(Yhteenveto[[#This Row],[Kunnan  peruspalvelujen valtionosuus ]:[Veroperustemuutoksista johtuvien veromenetysten korvaus]])</f>
        <v>5511788.7661114018</v>
      </c>
      <c r="Q176" s="34">
        <v>113323.74699999997</v>
      </c>
      <c r="R176" s="341">
        <f>+Yhteenveto[[#This Row],[Kunnan  peruspalvelujen valtionosuus ]]+Yhteenveto[[#This Row],[Veroperustemuutoksista johtuvien veromenetysten korvaus]]+Yhteenveto[[#This Row],[Kotikuntakorvaus, netto]]</f>
        <v>5625112.5131114013</v>
      </c>
      <c r="S176" s="11"/>
      <c r="T176"/>
    </row>
    <row r="177" spans="1:20" ht="15">
      <c r="A177" s="32">
        <v>564</v>
      </c>
      <c r="B177" s="13" t="s">
        <v>182</v>
      </c>
      <c r="C177" s="15">
        <v>214633</v>
      </c>
      <c r="D177" s="15">
        <f>Ikärakenne[[#This Row],[Laskennalliset kustannukset, IKÄRAKENNE yhteensä, €]]</f>
        <v>348297993.92000002</v>
      </c>
      <c r="E177" s="15">
        <f>'Lask. kustannukset MUUT'!AD183</f>
        <v>60800247.19180277</v>
      </c>
      <c r="F177" s="231">
        <f>Yhteenveto[[#This Row],[Ikärakenne, laskennallinen kustannus]]+Yhteenveto[[#This Row],[Muut laskennalliset kustannukset ]]</f>
        <v>409098241.11180282</v>
      </c>
      <c r="G177" s="498">
        <v>1422.47</v>
      </c>
      <c r="H177" s="17">
        <v>305309003.50999999</v>
      </c>
      <c r="I177" s="339">
        <f>Yhteenveto[[#This Row],[Laskennalliset kustannukset yhteensä]]-Yhteenveto[[#This Row],[Omarahoitusosuus, €]]</f>
        <v>103789237.60180283</v>
      </c>
      <c r="J177" s="33">
        <v>9991688.8076758794</v>
      </c>
      <c r="K177" s="34">
        <f>'Muut lis_väh'!O175</f>
        <v>-35750625.489119396</v>
      </c>
      <c r="L177" s="231">
        <f>Yhteenveto[[#This Row],[Valtionosuus omarahoitusosuuden jälkeen (välisumma)]]+Yhteenveto[[#This Row],[Lisäosat yhteensä]]+Yhteenveto[[#This Row],[Valtionosuuteen tehtävät vähennykset ja lisäykset, netto]]</f>
        <v>78030300.920359313</v>
      </c>
      <c r="M177" s="34">
        <f>'Verotuloihin perust tasaus'!N182</f>
        <v>35252143.999021351</v>
      </c>
      <c r="N177" s="303">
        <f>SUM(Yhteenveto[[#This Row],[Valtionosuus ennen verotuloihin perustuvaa valtionosuuden tasausta]]+Yhteenveto[[#This Row],[Verotuloihin perustuva valtionosuuden tasaus]])</f>
        <v>113282444.91938066</v>
      </c>
      <c r="O177" s="241">
        <v>17116093.453777634</v>
      </c>
      <c r="P177" s="372">
        <f>SUM(Yhteenveto[[#This Row],[Kunnan  peruspalvelujen valtionosuus ]:[Veroperustemuutoksista johtuvien veromenetysten korvaus]])</f>
        <v>130398538.37315831</v>
      </c>
      <c r="Q177" s="34">
        <v>-14022551.211120008</v>
      </c>
      <c r="R177" s="341">
        <f>+Yhteenveto[[#This Row],[Kunnan  peruspalvelujen valtionosuus ]]+Yhteenveto[[#This Row],[Veroperustemuutoksista johtuvien veromenetysten korvaus]]+Yhteenveto[[#This Row],[Kotikuntakorvaus, netto]]</f>
        <v>116375987.1620383</v>
      </c>
      <c r="S177" s="11"/>
      <c r="T177"/>
    </row>
    <row r="178" spans="1:20" ht="15">
      <c r="A178" s="32">
        <v>576</v>
      </c>
      <c r="B178" s="13" t="s">
        <v>183</v>
      </c>
      <c r="C178" s="15">
        <v>2726</v>
      </c>
      <c r="D178" s="15">
        <f>Ikärakenne[[#This Row],[Laskennalliset kustannukset, IKÄRAKENNE yhteensä, €]]</f>
        <v>2691188.27</v>
      </c>
      <c r="E178" s="15">
        <f>'Lask. kustannukset MUUT'!AD184</f>
        <v>968553.05457092135</v>
      </c>
      <c r="F178" s="231">
        <f>Yhteenveto[[#This Row],[Ikärakenne, laskennallinen kustannus]]+Yhteenveto[[#This Row],[Muut laskennalliset kustannukset ]]</f>
        <v>3659741.3245709212</v>
      </c>
      <c r="G178" s="498">
        <v>1422.47</v>
      </c>
      <c r="H178" s="17">
        <v>3877653.22</v>
      </c>
      <c r="I178" s="339">
        <f>Yhteenveto[[#This Row],[Laskennalliset kustannukset yhteensä]]-Yhteenveto[[#This Row],[Omarahoitusosuus, €]]</f>
        <v>-217911.89542907896</v>
      </c>
      <c r="J178" s="33">
        <v>372037.16258875269</v>
      </c>
      <c r="K178" s="34">
        <f>'Muut lis_väh'!O176</f>
        <v>554526.12607680552</v>
      </c>
      <c r="L178" s="231">
        <f>Yhteenveto[[#This Row],[Valtionosuus omarahoitusosuuden jälkeen (välisumma)]]+Yhteenveto[[#This Row],[Lisäosat yhteensä]]+Yhteenveto[[#This Row],[Valtionosuuteen tehtävät vähennykset ja lisäykset, netto]]</f>
        <v>708651.39323647926</v>
      </c>
      <c r="M178" s="34">
        <f>'Verotuloihin perust tasaus'!N183</f>
        <v>852699.15372170706</v>
      </c>
      <c r="N178" s="303">
        <f>SUM(Yhteenveto[[#This Row],[Valtionosuus ennen verotuloihin perustuvaa valtionosuuden tasausta]]+Yhteenveto[[#This Row],[Verotuloihin perustuva valtionosuuden tasaus]])</f>
        <v>1561350.5469581862</v>
      </c>
      <c r="O178" s="241">
        <v>485142.51899181324</v>
      </c>
      <c r="P178" s="372">
        <f>SUM(Yhteenveto[[#This Row],[Kunnan  peruspalvelujen valtionosuus ]:[Veroperustemuutoksista johtuvien veromenetysten korvaus]])</f>
        <v>2046493.0659499995</v>
      </c>
      <c r="Q178" s="34">
        <v>-47409.990400000002</v>
      </c>
      <c r="R178" s="341">
        <f>+Yhteenveto[[#This Row],[Kunnan  peruspalvelujen valtionosuus ]]+Yhteenveto[[#This Row],[Veroperustemuutoksista johtuvien veromenetysten korvaus]]+Yhteenveto[[#This Row],[Kotikuntakorvaus, netto]]</f>
        <v>1999083.0755499995</v>
      </c>
      <c r="S178" s="11"/>
      <c r="T178"/>
    </row>
    <row r="179" spans="1:20" ht="15">
      <c r="A179" s="32">
        <v>577</v>
      </c>
      <c r="B179" s="13" t="s">
        <v>184</v>
      </c>
      <c r="C179" s="15">
        <v>11236</v>
      </c>
      <c r="D179" s="15">
        <f>Ikärakenne[[#This Row],[Laskennalliset kustannukset, IKÄRAKENNE yhteensä, €]]</f>
        <v>20460100.130000003</v>
      </c>
      <c r="E179" s="15">
        <f>'Lask. kustannukset MUUT'!AD185</f>
        <v>2055297.4892969709</v>
      </c>
      <c r="F179" s="231">
        <f>Yhteenveto[[#This Row],[Ikärakenne, laskennallinen kustannus]]+Yhteenveto[[#This Row],[Muut laskennalliset kustannukset ]]</f>
        <v>22515397.619296975</v>
      </c>
      <c r="G179" s="498">
        <v>1422.47</v>
      </c>
      <c r="H179" s="17">
        <v>15982872.92</v>
      </c>
      <c r="I179" s="339">
        <f>Yhteenveto[[#This Row],[Laskennalliset kustannukset yhteensä]]-Yhteenveto[[#This Row],[Omarahoitusosuus, €]]</f>
        <v>6532524.6992969755</v>
      </c>
      <c r="J179" s="33">
        <v>428183.30611727678</v>
      </c>
      <c r="K179" s="34">
        <f>'Muut lis_väh'!O177</f>
        <v>-342522.00925779552</v>
      </c>
      <c r="L179" s="231">
        <f>Yhteenveto[[#This Row],[Valtionosuus omarahoitusosuuden jälkeen (välisumma)]]+Yhteenveto[[#This Row],[Lisäosat yhteensä]]+Yhteenveto[[#This Row],[Valtionosuuteen tehtävät vähennykset ja lisäykset, netto]]</f>
        <v>6618185.9961564569</v>
      </c>
      <c r="M179" s="34">
        <f>'Verotuloihin perust tasaus'!N184</f>
        <v>2406615.4069339097</v>
      </c>
      <c r="N179" s="303">
        <f>SUM(Yhteenveto[[#This Row],[Valtionosuus ennen verotuloihin perustuvaa valtionosuuden tasausta]]+Yhteenveto[[#This Row],[Verotuloihin perustuva valtionosuuden tasaus]])</f>
        <v>9024801.4030903671</v>
      </c>
      <c r="O179" s="241">
        <v>839924.30279719026</v>
      </c>
      <c r="P179" s="372">
        <f>SUM(Yhteenveto[[#This Row],[Kunnan  peruspalvelujen valtionosuus ]:[Veroperustemuutoksista johtuvien veromenetysten korvaus]])</f>
        <v>9864725.7058875579</v>
      </c>
      <c r="Q179" s="34">
        <v>111118.7411300001</v>
      </c>
      <c r="R179" s="341">
        <f>+Yhteenveto[[#This Row],[Kunnan  peruspalvelujen valtionosuus ]]+Yhteenveto[[#This Row],[Veroperustemuutoksista johtuvien veromenetysten korvaus]]+Yhteenveto[[#This Row],[Kotikuntakorvaus, netto]]</f>
        <v>9975844.4470175579</v>
      </c>
      <c r="S179" s="11"/>
      <c r="T179"/>
    </row>
    <row r="180" spans="1:20" ht="15">
      <c r="A180" s="32">
        <v>578</v>
      </c>
      <c r="B180" s="13" t="s">
        <v>185</v>
      </c>
      <c r="C180" s="15">
        <v>3037</v>
      </c>
      <c r="D180" s="15">
        <f>Ikärakenne[[#This Row],[Laskennalliset kustannukset, IKÄRAKENNE yhteensä, €]]</f>
        <v>3718134.42</v>
      </c>
      <c r="E180" s="15">
        <f>'Lask. kustannukset MUUT'!AD186</f>
        <v>1208690.7923607351</v>
      </c>
      <c r="F180" s="231">
        <f>Yhteenveto[[#This Row],[Ikärakenne, laskennallinen kustannus]]+Yhteenveto[[#This Row],[Muut laskennalliset kustannukset ]]</f>
        <v>4926825.2123607351</v>
      </c>
      <c r="G180" s="498">
        <v>1422.47</v>
      </c>
      <c r="H180" s="17">
        <v>4320041.3899999997</v>
      </c>
      <c r="I180" s="339">
        <f>Yhteenveto[[#This Row],[Laskennalliset kustannukset yhteensä]]-Yhteenveto[[#This Row],[Omarahoitusosuus, €]]</f>
        <v>606783.82236073539</v>
      </c>
      <c r="J180" s="33">
        <v>286044.81857229414</v>
      </c>
      <c r="K180" s="34">
        <f>'Muut lis_väh'!O178</f>
        <v>-653214.04883565207</v>
      </c>
      <c r="L180" s="231">
        <f>Yhteenveto[[#This Row],[Valtionosuus omarahoitusosuuden jälkeen (välisumma)]]+Yhteenveto[[#This Row],[Lisäosat yhteensä]]+Yhteenveto[[#This Row],[Valtionosuuteen tehtävät vähennykset ja lisäykset, netto]]</f>
        <v>239614.59209737752</v>
      </c>
      <c r="M180" s="34">
        <f>'Verotuloihin perust tasaus'!N185</f>
        <v>1748795.0699863127</v>
      </c>
      <c r="N180" s="303">
        <f>SUM(Yhteenveto[[#This Row],[Valtionosuus ennen verotuloihin perustuvaa valtionosuuden tasausta]]+Yhteenveto[[#This Row],[Verotuloihin perustuva valtionosuuden tasaus]])</f>
        <v>1988409.6620836901</v>
      </c>
      <c r="O180" s="241">
        <v>464128.56365547585</v>
      </c>
      <c r="P180" s="372">
        <f>SUM(Yhteenveto[[#This Row],[Kunnan  peruspalvelujen valtionosuus ]:[Veroperustemuutoksista johtuvien veromenetysten korvaus]])</f>
        <v>2452538.2257391661</v>
      </c>
      <c r="Q180" s="34">
        <v>231716.32808000001</v>
      </c>
      <c r="R180" s="341">
        <f>+Yhteenveto[[#This Row],[Kunnan  peruspalvelujen valtionosuus ]]+Yhteenveto[[#This Row],[Veroperustemuutoksista johtuvien veromenetysten korvaus]]+Yhteenveto[[#This Row],[Kotikuntakorvaus, netto]]</f>
        <v>2684254.553819166</v>
      </c>
      <c r="S180" s="11"/>
      <c r="T180"/>
    </row>
    <row r="181" spans="1:20" ht="15">
      <c r="A181" s="32">
        <v>580</v>
      </c>
      <c r="B181" s="13" t="s">
        <v>186</v>
      </c>
      <c r="C181" s="15">
        <v>4366</v>
      </c>
      <c r="D181" s="15">
        <f>Ikärakenne[[#This Row],[Laskennalliset kustannukset, IKÄRAKENNE yhteensä, €]]</f>
        <v>4424862.1899999995</v>
      </c>
      <c r="E181" s="15">
        <f>'Lask. kustannukset MUUT'!AD187</f>
        <v>1347156.9005649134</v>
      </c>
      <c r="F181" s="231">
        <f>Yhteenveto[[#This Row],[Ikärakenne, laskennallinen kustannus]]+Yhteenveto[[#This Row],[Muut laskennalliset kustannukset ]]</f>
        <v>5772019.0905649131</v>
      </c>
      <c r="G181" s="498">
        <v>1422.47</v>
      </c>
      <c r="H181" s="17">
        <v>6210504.0200000005</v>
      </c>
      <c r="I181" s="339">
        <f>Yhteenveto[[#This Row],[Laskennalliset kustannukset yhteensä]]-Yhteenveto[[#This Row],[Omarahoitusosuus, €]]</f>
        <v>-438484.92943508737</v>
      </c>
      <c r="J181" s="33">
        <v>697186.52608817699</v>
      </c>
      <c r="K181" s="34">
        <f>'Muut lis_väh'!O179</f>
        <v>-656634.60197168088</v>
      </c>
      <c r="L181" s="231">
        <f>Yhteenveto[[#This Row],[Valtionosuus omarahoitusosuuden jälkeen (välisumma)]]+Yhteenveto[[#This Row],[Lisäosat yhteensä]]+Yhteenveto[[#This Row],[Valtionosuuteen tehtävät vähennykset ja lisäykset, netto]]</f>
        <v>-397933.00531859125</v>
      </c>
      <c r="M181" s="34">
        <f>'Verotuloihin perust tasaus'!N186</f>
        <v>2220342.3730982859</v>
      </c>
      <c r="N181" s="303">
        <f>SUM(Yhteenveto[[#This Row],[Valtionosuus ennen verotuloihin perustuvaa valtionosuuden tasausta]]+Yhteenveto[[#This Row],[Verotuloihin perustuva valtionosuuden tasaus]])</f>
        <v>1822409.3677796945</v>
      </c>
      <c r="O181" s="241">
        <v>761934.22961061308</v>
      </c>
      <c r="P181" s="372">
        <f>SUM(Yhteenveto[[#This Row],[Kunnan  peruspalvelujen valtionosuus ]:[Veroperustemuutoksista johtuvien veromenetysten korvaus]])</f>
        <v>2584343.5973903076</v>
      </c>
      <c r="Q181" s="34">
        <v>22223.433000000005</v>
      </c>
      <c r="R181" s="341">
        <f>+Yhteenveto[[#This Row],[Kunnan  peruspalvelujen valtionosuus ]]+Yhteenveto[[#This Row],[Veroperustemuutoksista johtuvien veromenetysten korvaus]]+Yhteenveto[[#This Row],[Kotikuntakorvaus, netto]]</f>
        <v>2606567.0303903078</v>
      </c>
      <c r="S181" s="11"/>
      <c r="T181"/>
    </row>
    <row r="182" spans="1:20" ht="15">
      <c r="A182" s="32">
        <v>581</v>
      </c>
      <c r="B182" s="13" t="s">
        <v>187</v>
      </c>
      <c r="C182" s="15">
        <v>6123</v>
      </c>
      <c r="D182" s="15">
        <f>Ikärakenne[[#This Row],[Laskennalliset kustannukset, IKÄRAKENNE yhteensä, €]]</f>
        <v>8182681.3800000008</v>
      </c>
      <c r="E182" s="15">
        <f>'Lask. kustannukset MUUT'!AD188</f>
        <v>1888936.5250201146</v>
      </c>
      <c r="F182" s="231">
        <f>Yhteenveto[[#This Row],[Ikärakenne, laskennallinen kustannus]]+Yhteenveto[[#This Row],[Muut laskennalliset kustannukset ]]</f>
        <v>10071617.905020116</v>
      </c>
      <c r="G182" s="498">
        <v>1422.47</v>
      </c>
      <c r="H182" s="17">
        <v>8709783.8100000005</v>
      </c>
      <c r="I182" s="339">
        <f>Yhteenveto[[#This Row],[Laskennalliset kustannukset yhteensä]]-Yhteenveto[[#This Row],[Omarahoitusosuus, €]]</f>
        <v>1361834.0950201154</v>
      </c>
      <c r="J182" s="33">
        <v>508436.26260669669</v>
      </c>
      <c r="K182" s="34">
        <f>'Muut lis_väh'!O180</f>
        <v>-771121.86642424576</v>
      </c>
      <c r="L182" s="231">
        <f>Yhteenveto[[#This Row],[Valtionosuus omarahoitusosuuden jälkeen (välisumma)]]+Yhteenveto[[#This Row],[Lisäosat yhteensä]]+Yhteenveto[[#This Row],[Valtionosuuteen tehtävät vähennykset ja lisäykset, netto]]</f>
        <v>1099148.4912025663</v>
      </c>
      <c r="M182" s="34">
        <f>'Verotuloihin perust tasaus'!N187</f>
        <v>2264842.1527326019</v>
      </c>
      <c r="N182" s="303">
        <f>SUM(Yhteenveto[[#This Row],[Valtionosuus ennen verotuloihin perustuvaa valtionosuuden tasausta]]+Yhteenveto[[#This Row],[Verotuloihin perustuva valtionosuuden tasaus]])</f>
        <v>3363990.6439351682</v>
      </c>
      <c r="O182" s="241">
        <v>805246.54460611218</v>
      </c>
      <c r="P182" s="372">
        <f>SUM(Yhteenveto[[#This Row],[Kunnan  peruspalvelujen valtionosuus ]:[Veroperustemuutoksista johtuvien veromenetysten korvaus]])</f>
        <v>4169237.1885412801</v>
      </c>
      <c r="Q182" s="34">
        <v>68404.041999999958</v>
      </c>
      <c r="R182" s="341">
        <f>+Yhteenveto[[#This Row],[Kunnan  peruspalvelujen valtionosuus ]]+Yhteenveto[[#This Row],[Veroperustemuutoksista johtuvien veromenetysten korvaus]]+Yhteenveto[[#This Row],[Kotikuntakorvaus, netto]]</f>
        <v>4237641.2305412805</v>
      </c>
      <c r="S182" s="11"/>
      <c r="T182"/>
    </row>
    <row r="183" spans="1:20" ht="15">
      <c r="A183" s="32">
        <v>583</v>
      </c>
      <c r="B183" s="13" t="s">
        <v>188</v>
      </c>
      <c r="C183" s="15">
        <v>912</v>
      </c>
      <c r="D183" s="15">
        <f>Ikärakenne[[#This Row],[Laskennalliset kustannukset, IKÄRAKENNE yhteensä, €]]</f>
        <v>742408.26</v>
      </c>
      <c r="E183" s="15">
        <f>'Lask. kustannukset MUUT'!AD189</f>
        <v>928633.62488666619</v>
      </c>
      <c r="F183" s="231">
        <f>Yhteenveto[[#This Row],[Ikärakenne, laskennallinen kustannus]]+Yhteenveto[[#This Row],[Muut laskennalliset kustannukset ]]</f>
        <v>1671041.8848866662</v>
      </c>
      <c r="G183" s="498">
        <v>1422.47</v>
      </c>
      <c r="H183" s="17">
        <v>1297292.6400000001</v>
      </c>
      <c r="I183" s="339">
        <f>Yhteenveto[[#This Row],[Laskennalliset kustannukset yhteensä]]-Yhteenveto[[#This Row],[Omarahoitusosuus, €]]</f>
        <v>373749.24488666607</v>
      </c>
      <c r="J183" s="33">
        <v>359348.7317587001</v>
      </c>
      <c r="K183" s="34">
        <f>'Muut lis_väh'!O181</f>
        <v>-218472.76353797381</v>
      </c>
      <c r="L183" s="231">
        <f>Yhteenveto[[#This Row],[Valtionosuus omarahoitusosuuden jälkeen (välisumma)]]+Yhteenveto[[#This Row],[Lisäosat yhteensä]]+Yhteenveto[[#This Row],[Valtionosuuteen tehtävät vähennykset ja lisäykset, netto]]</f>
        <v>514625.21310739237</v>
      </c>
      <c r="M183" s="34">
        <f>'Verotuloihin perust tasaus'!N188</f>
        <v>97747.273843880175</v>
      </c>
      <c r="N183" s="303">
        <f>SUM(Yhteenveto[[#This Row],[Valtionosuus ennen verotuloihin perustuvaa valtionosuuden tasausta]]+Yhteenveto[[#This Row],[Verotuloihin perustuva valtionosuuden tasaus]])</f>
        <v>612372.48695127259</v>
      </c>
      <c r="O183" s="241">
        <v>130820.12209057904</v>
      </c>
      <c r="P183" s="372">
        <f>SUM(Yhteenveto[[#This Row],[Kunnan  peruspalvelujen valtionosuus ]:[Veroperustemuutoksista johtuvien veromenetysten korvaus]])</f>
        <v>743192.6090418516</v>
      </c>
      <c r="Q183" s="34">
        <v>59410.644220000002</v>
      </c>
      <c r="R183" s="341">
        <f>+Yhteenveto[[#This Row],[Kunnan  peruspalvelujen valtionosuus ]]+Yhteenveto[[#This Row],[Veroperustemuutoksista johtuvien veromenetysten korvaus]]+Yhteenveto[[#This Row],[Kotikuntakorvaus, netto]]</f>
        <v>802603.25326185161</v>
      </c>
      <c r="S183" s="11"/>
      <c r="T183"/>
    </row>
    <row r="184" spans="1:20" ht="15">
      <c r="A184" s="32">
        <v>584</v>
      </c>
      <c r="B184" s="13" t="s">
        <v>189</v>
      </c>
      <c r="C184" s="15">
        <v>2578</v>
      </c>
      <c r="D184" s="15">
        <f>Ikärakenne[[#This Row],[Laskennalliset kustannukset, IKÄRAKENNE yhteensä, €]]</f>
        <v>6048110.04</v>
      </c>
      <c r="E184" s="15">
        <f>'Lask. kustannukset MUUT'!AD190</f>
        <v>963119.00981185923</v>
      </c>
      <c r="F184" s="231">
        <f>Yhteenveto[[#This Row],[Ikärakenne, laskennallinen kustannus]]+Yhteenveto[[#This Row],[Muut laskennalliset kustannukset ]]</f>
        <v>7011229.0498118596</v>
      </c>
      <c r="G184" s="498">
        <v>1422.47</v>
      </c>
      <c r="H184" s="17">
        <v>3667127.66</v>
      </c>
      <c r="I184" s="339">
        <f>Yhteenveto[[#This Row],[Laskennalliset kustannukset yhteensä]]-Yhteenveto[[#This Row],[Omarahoitusosuus, €]]</f>
        <v>3344101.3898118595</v>
      </c>
      <c r="J184" s="33">
        <v>411316.89834407024</v>
      </c>
      <c r="K184" s="34">
        <f>'Muut lis_väh'!O182</f>
        <v>-924886.9685210709</v>
      </c>
      <c r="L184" s="231">
        <f>Yhteenveto[[#This Row],[Valtionosuus omarahoitusosuuden jälkeen (välisumma)]]+Yhteenveto[[#This Row],[Lisäosat yhteensä]]+Yhteenveto[[#This Row],[Valtionosuuteen tehtävät vähennykset ja lisäykset, netto]]</f>
        <v>2830531.3196348585</v>
      </c>
      <c r="M184" s="34">
        <f>'Verotuloihin perust tasaus'!N189</f>
        <v>1891268.0710448385</v>
      </c>
      <c r="N184" s="303">
        <f>SUM(Yhteenveto[[#This Row],[Valtionosuus ennen verotuloihin perustuvaa valtionosuuden tasausta]]+Yhteenveto[[#This Row],[Verotuloihin perustuva valtionosuuden tasaus]])</f>
        <v>4721799.3906796966</v>
      </c>
      <c r="O184" s="241">
        <v>384800.65599519282</v>
      </c>
      <c r="P184" s="372">
        <f>SUM(Yhteenveto[[#This Row],[Kunnan  peruspalvelujen valtionosuus ]:[Veroperustemuutoksista johtuvien veromenetysten korvaus]])</f>
        <v>5106600.0466748895</v>
      </c>
      <c r="Q184" s="34">
        <v>23704.995200000001</v>
      </c>
      <c r="R184" s="341">
        <f>+Yhteenveto[[#This Row],[Kunnan  peruspalvelujen valtionosuus ]]+Yhteenveto[[#This Row],[Veroperustemuutoksista johtuvien veromenetysten korvaus]]+Yhteenveto[[#This Row],[Kotikuntakorvaus, netto]]</f>
        <v>5130305.0418748893</v>
      </c>
      <c r="S184" s="11"/>
      <c r="T184"/>
    </row>
    <row r="185" spans="1:20" ht="15">
      <c r="A185" s="32">
        <v>592</v>
      </c>
      <c r="B185" s="13" t="s">
        <v>191</v>
      </c>
      <c r="C185" s="15">
        <v>3596</v>
      </c>
      <c r="D185" s="15">
        <f>Ikärakenne[[#This Row],[Laskennalliset kustannukset, IKÄRAKENNE yhteensä, €]]</f>
        <v>6217882.6899999995</v>
      </c>
      <c r="E185" s="15">
        <f>'Lask. kustannukset MUUT'!AD191</f>
        <v>947917.97299853421</v>
      </c>
      <c r="F185" s="231">
        <f>Yhteenveto[[#This Row],[Ikärakenne, laskennallinen kustannus]]+Yhteenveto[[#This Row],[Muut laskennalliset kustannukset ]]</f>
        <v>7165800.6629985338</v>
      </c>
      <c r="G185" s="498">
        <v>1422.47</v>
      </c>
      <c r="H185" s="17">
        <v>5115202.12</v>
      </c>
      <c r="I185" s="339">
        <f>Yhteenveto[[#This Row],[Laskennalliset kustannukset yhteensä]]-Yhteenveto[[#This Row],[Omarahoitusosuus, €]]</f>
        <v>2050598.5429985337</v>
      </c>
      <c r="J185" s="33">
        <v>197636.46160584211</v>
      </c>
      <c r="K185" s="34">
        <f>'Muut lis_väh'!O183</f>
        <v>-816180.27170299052</v>
      </c>
      <c r="L185" s="231">
        <f>Yhteenveto[[#This Row],[Valtionosuus omarahoitusosuuden jälkeen (välisumma)]]+Yhteenveto[[#This Row],[Lisäosat yhteensä]]+Yhteenveto[[#This Row],[Valtionosuuteen tehtävät vähennykset ja lisäykset, netto]]</f>
        <v>1432054.7329013855</v>
      </c>
      <c r="M185" s="34">
        <f>'Verotuloihin perust tasaus'!N191</f>
        <v>1721113.910114601</v>
      </c>
      <c r="N185" s="303">
        <f>SUM(Yhteenveto[[#This Row],[Valtionosuus ennen verotuloihin perustuvaa valtionosuuden tasausta]]+Yhteenveto[[#This Row],[Verotuloihin perustuva valtionosuuden tasaus]])</f>
        <v>3153168.6430159863</v>
      </c>
      <c r="O185" s="241">
        <v>395032.66715588805</v>
      </c>
      <c r="P185" s="372">
        <f>SUM(Yhteenveto[[#This Row],[Kunnan  peruspalvelujen valtionosuus ]:[Veroperustemuutoksista johtuvien veromenetysten korvaus]])</f>
        <v>3548201.3101718742</v>
      </c>
      <c r="Q185" s="34">
        <v>136525.95672999998</v>
      </c>
      <c r="R185" s="341">
        <f>+Yhteenveto[[#This Row],[Kunnan  peruspalvelujen valtionosuus ]]+Yhteenveto[[#This Row],[Veroperustemuutoksista johtuvien veromenetysten korvaus]]+Yhteenveto[[#This Row],[Kotikuntakorvaus, netto]]</f>
        <v>3684727.266901874</v>
      </c>
      <c r="S185" s="11"/>
      <c r="T185"/>
    </row>
    <row r="186" spans="1:20" ht="15">
      <c r="A186" s="32">
        <v>593</v>
      </c>
      <c r="B186" s="13" t="s">
        <v>192</v>
      </c>
      <c r="C186" s="15">
        <v>17050</v>
      </c>
      <c r="D186" s="15">
        <f>Ikärakenne[[#This Row],[Laskennalliset kustannukset, IKÄRAKENNE yhteensä, €]]</f>
        <v>19633549.190000001</v>
      </c>
      <c r="E186" s="15">
        <f>'Lask. kustannukset MUUT'!AD192</f>
        <v>5072682.0964843035</v>
      </c>
      <c r="F186" s="231">
        <f>Yhteenveto[[#This Row],[Ikärakenne, laskennallinen kustannus]]+Yhteenveto[[#This Row],[Muut laskennalliset kustannukset ]]</f>
        <v>24706231.286484305</v>
      </c>
      <c r="G186" s="498">
        <v>1422.47</v>
      </c>
      <c r="H186" s="17">
        <v>24253113.5</v>
      </c>
      <c r="I186" s="339">
        <f>Yhteenveto[[#This Row],[Laskennalliset kustannukset yhteensä]]-Yhteenveto[[#This Row],[Omarahoitusosuus, €]]</f>
        <v>453117.78648430482</v>
      </c>
      <c r="J186" s="33">
        <v>580683.0629830223</v>
      </c>
      <c r="K186" s="34">
        <f>'Muut lis_väh'!O184</f>
        <v>-3582320.9519935278</v>
      </c>
      <c r="L186" s="231">
        <f>Yhteenveto[[#This Row],[Valtionosuus omarahoitusosuuden jälkeen (välisumma)]]+Yhteenveto[[#This Row],[Lisäosat yhteensä]]+Yhteenveto[[#This Row],[Valtionosuuteen tehtävät vähennykset ja lisäykset, netto]]</f>
        <v>-2548520.1025262009</v>
      </c>
      <c r="M186" s="34">
        <f>'Verotuloihin perust tasaus'!N192</f>
        <v>6820851.7399078179</v>
      </c>
      <c r="N186" s="303">
        <f>SUM(Yhteenveto[[#This Row],[Valtionosuus ennen verotuloihin perustuvaa valtionosuuden tasausta]]+Yhteenveto[[#This Row],[Verotuloihin perustuva valtionosuuden tasaus]])</f>
        <v>4272331.637381617</v>
      </c>
      <c r="O186" s="241">
        <v>2168746.0143515416</v>
      </c>
      <c r="P186" s="372">
        <f>SUM(Yhteenveto[[#This Row],[Kunnan  peruspalvelujen valtionosuus ]:[Veroperustemuutoksista johtuvien veromenetysten korvaus]])</f>
        <v>6441077.6517331582</v>
      </c>
      <c r="Q186" s="34">
        <v>-26223.650940000021</v>
      </c>
      <c r="R186" s="341">
        <f>+Yhteenveto[[#This Row],[Kunnan  peruspalvelujen valtionosuus ]]+Yhteenveto[[#This Row],[Veroperustemuutoksista johtuvien veromenetysten korvaus]]+Yhteenveto[[#This Row],[Kotikuntakorvaus, netto]]</f>
        <v>6414854.0007931581</v>
      </c>
      <c r="S186" s="11"/>
      <c r="T186"/>
    </row>
    <row r="187" spans="1:20" ht="15">
      <c r="A187" s="32">
        <v>595</v>
      </c>
      <c r="B187" s="13" t="s">
        <v>193</v>
      </c>
      <c r="C187" s="15">
        <v>4073</v>
      </c>
      <c r="D187" s="15">
        <f>Ikärakenne[[#This Row],[Laskennalliset kustannukset, IKÄRAKENNE yhteensä, €]]</f>
        <v>5064054.379999999</v>
      </c>
      <c r="E187" s="15">
        <f>'Lask. kustannukset MUUT'!AD193</f>
        <v>1532008.1770400838</v>
      </c>
      <c r="F187" s="231">
        <f>Yhteenveto[[#This Row],[Ikärakenne, laskennallinen kustannus]]+Yhteenveto[[#This Row],[Muut laskennalliset kustannukset ]]</f>
        <v>6596062.5570400823</v>
      </c>
      <c r="G187" s="498">
        <v>1422.47</v>
      </c>
      <c r="H187" s="17">
        <v>5793720.3100000005</v>
      </c>
      <c r="I187" s="339">
        <f>Yhteenveto[[#This Row],[Laskennalliset kustannukset yhteensä]]-Yhteenveto[[#This Row],[Omarahoitusosuus, €]]</f>
        <v>802342.24704008177</v>
      </c>
      <c r="J187" s="33">
        <v>640602.76442810323</v>
      </c>
      <c r="K187" s="34">
        <f>'Muut lis_väh'!O185</f>
        <v>888867.85771710728</v>
      </c>
      <c r="L187" s="231">
        <f>Yhteenveto[[#This Row],[Valtionosuus omarahoitusosuuden jälkeen (välisumma)]]+Yhteenveto[[#This Row],[Lisäosat yhteensä]]+Yhteenveto[[#This Row],[Valtionosuuteen tehtävät vähennykset ja lisäykset, netto]]</f>
        <v>2331812.8691852922</v>
      </c>
      <c r="M187" s="34">
        <f>'Verotuloihin perust tasaus'!N193</f>
        <v>2445107.7073877403</v>
      </c>
      <c r="N187" s="303">
        <f>SUM(Yhteenveto[[#This Row],[Valtionosuus ennen verotuloihin perustuvaa valtionosuuden tasausta]]+Yhteenveto[[#This Row],[Verotuloihin perustuva valtionosuuden tasaus]])</f>
        <v>4776920.5765730329</v>
      </c>
      <c r="O187" s="241">
        <v>741706.25903257914</v>
      </c>
      <c r="P187" s="372">
        <f>SUM(Yhteenveto[[#This Row],[Kunnan  peruspalvelujen valtionosuus ]:[Veroperustemuutoksista johtuvien veromenetysten korvaus]])</f>
        <v>5518626.835605612</v>
      </c>
      <c r="Q187" s="34">
        <v>72596.5478</v>
      </c>
      <c r="R187" s="341">
        <f>+Yhteenveto[[#This Row],[Kunnan  peruspalvelujen valtionosuus ]]+Yhteenveto[[#This Row],[Veroperustemuutoksista johtuvien veromenetysten korvaus]]+Yhteenveto[[#This Row],[Kotikuntakorvaus, netto]]</f>
        <v>5591223.3834056119</v>
      </c>
      <c r="S187" s="11"/>
      <c r="T187"/>
    </row>
    <row r="188" spans="1:20" ht="15">
      <c r="A188" s="32">
        <v>598</v>
      </c>
      <c r="B188" s="13" t="s">
        <v>194</v>
      </c>
      <c r="C188" s="15">
        <v>19475</v>
      </c>
      <c r="D188" s="15">
        <f>Ikärakenne[[#This Row],[Laskennalliset kustannukset, IKÄRAKENNE yhteensä, €]]</f>
        <v>29400708.820000004</v>
      </c>
      <c r="E188" s="15">
        <f>'Lask. kustannukset MUUT'!AD194</f>
        <v>11238427.724998878</v>
      </c>
      <c r="F188" s="231">
        <f>Yhteenveto[[#This Row],[Ikärakenne, laskennallinen kustannus]]+Yhteenveto[[#This Row],[Muut laskennalliset kustannukset ]]</f>
        <v>40639136.544998884</v>
      </c>
      <c r="G188" s="498">
        <v>1422.47</v>
      </c>
      <c r="H188" s="17">
        <v>27702603.25</v>
      </c>
      <c r="I188" s="339">
        <f>Yhteenveto[[#This Row],[Laskennalliset kustannukset yhteensä]]-Yhteenveto[[#This Row],[Omarahoitusosuus, €]]</f>
        <v>12936533.294998884</v>
      </c>
      <c r="J188" s="33">
        <v>786892.79379169655</v>
      </c>
      <c r="K188" s="34">
        <f>'Muut lis_väh'!O186</f>
        <v>-11433792.987685395</v>
      </c>
      <c r="L188" s="231">
        <f>Yhteenveto[[#This Row],[Valtionosuus omarahoitusosuuden jälkeen (välisumma)]]+Yhteenveto[[#This Row],[Lisäosat yhteensä]]+Yhteenveto[[#This Row],[Valtionosuuteen tehtävät vähennykset ja lisäykset, netto]]</f>
        <v>2289633.1011051852</v>
      </c>
      <c r="M188" s="34">
        <f>'Verotuloihin perust tasaus'!N194</f>
        <v>1502561.509120015</v>
      </c>
      <c r="N188" s="303">
        <f>SUM(Yhteenveto[[#This Row],[Valtionosuus ennen verotuloihin perustuvaa valtionosuuden tasausta]]+Yhteenveto[[#This Row],[Verotuloihin perustuva valtionosuuden tasaus]])</f>
        <v>3792194.6102252002</v>
      </c>
      <c r="O188" s="241">
        <v>1730684.605277091</v>
      </c>
      <c r="P188" s="372">
        <f>SUM(Yhteenveto[[#This Row],[Kunnan  peruspalvelujen valtionosuus ]:[Veroperustemuutoksista johtuvien veromenetysten korvaus]])</f>
        <v>5522879.215502291</v>
      </c>
      <c r="Q188" s="34">
        <v>979460.77042000019</v>
      </c>
      <c r="R188" s="341">
        <f>+Yhteenveto[[#This Row],[Kunnan  peruspalvelujen valtionosuus ]]+Yhteenveto[[#This Row],[Veroperustemuutoksista johtuvien veromenetysten korvaus]]+Yhteenveto[[#This Row],[Kotikuntakorvaus, netto]]</f>
        <v>6502339.9859222909</v>
      </c>
      <c r="S188" s="11"/>
      <c r="T188"/>
    </row>
    <row r="189" spans="1:20" ht="15">
      <c r="A189" s="32">
        <v>599</v>
      </c>
      <c r="B189" s="13" t="s">
        <v>195</v>
      </c>
      <c r="C189" s="15">
        <v>11225</v>
      </c>
      <c r="D189" s="15">
        <f>Ikärakenne[[#This Row],[Laskennalliset kustannukset, IKÄRAKENNE yhteensä, €]]</f>
        <v>25170527.099999998</v>
      </c>
      <c r="E189" s="15">
        <f>'Lask. kustannukset MUUT'!AD195</f>
        <v>4807321.214679854</v>
      </c>
      <c r="F189" s="231">
        <f>Yhteenveto[[#This Row],[Ikärakenne, laskennallinen kustannus]]+Yhteenveto[[#This Row],[Muut laskennalliset kustannukset ]]</f>
        <v>29977848.314679854</v>
      </c>
      <c r="G189" s="498">
        <v>1422.47</v>
      </c>
      <c r="H189" s="17">
        <v>15967225.75</v>
      </c>
      <c r="I189" s="339">
        <f>Yhteenveto[[#This Row],[Laskennalliset kustannukset yhteensä]]-Yhteenveto[[#This Row],[Omarahoitusosuus, €]]</f>
        <v>14010622.564679854</v>
      </c>
      <c r="J189" s="33">
        <v>371631.67239954515</v>
      </c>
      <c r="K189" s="34">
        <f>'Muut lis_väh'!O187</f>
        <v>-4382024.7972397469</v>
      </c>
      <c r="L189" s="231">
        <f>Yhteenveto[[#This Row],[Valtionosuus omarahoitusosuuden jälkeen (välisumma)]]+Yhteenveto[[#This Row],[Lisäosat yhteensä]]+Yhteenveto[[#This Row],[Valtionosuuteen tehtävät vähennykset ja lisäykset, netto]]</f>
        <v>10000229.439839652</v>
      </c>
      <c r="M189" s="34">
        <f>'Verotuloihin perust tasaus'!N195</f>
        <v>4916559.0293114837</v>
      </c>
      <c r="N189" s="303">
        <f>SUM(Yhteenveto[[#This Row],[Valtionosuus ennen verotuloihin perustuvaa valtionosuuden tasausta]]+Yhteenveto[[#This Row],[Verotuloihin perustuva valtionosuuden tasaus]])</f>
        <v>14916788.469151136</v>
      </c>
      <c r="O189" s="241">
        <v>1179677.4086964517</v>
      </c>
      <c r="P189" s="372">
        <f>SUM(Yhteenveto[[#This Row],[Kunnan  peruspalvelujen valtionosuus ]:[Veroperustemuutoksista johtuvien veromenetysten korvaus]])</f>
        <v>16096465.877847588</v>
      </c>
      <c r="Q189" s="34">
        <v>-395725.26361999998</v>
      </c>
      <c r="R189" s="341">
        <f>+Yhteenveto[[#This Row],[Kunnan  peruspalvelujen valtionosuus ]]+Yhteenveto[[#This Row],[Veroperustemuutoksista johtuvien veromenetysten korvaus]]+Yhteenveto[[#This Row],[Kotikuntakorvaus, netto]]</f>
        <v>15700740.614227587</v>
      </c>
      <c r="S189" s="11"/>
      <c r="T189"/>
    </row>
    <row r="190" spans="1:20" ht="15">
      <c r="A190" s="32">
        <v>601</v>
      </c>
      <c r="B190" s="13" t="s">
        <v>196</v>
      </c>
      <c r="C190" s="15">
        <v>3739</v>
      </c>
      <c r="D190" s="15">
        <f>Ikärakenne[[#This Row],[Laskennalliset kustannukset, IKÄRAKENNE yhteensä, €]]</f>
        <v>5230604.1499999985</v>
      </c>
      <c r="E190" s="15">
        <f>'Lask. kustannukset MUUT'!AD196</f>
        <v>1493193.1793717309</v>
      </c>
      <c r="F190" s="231">
        <f>Yhteenveto[[#This Row],[Ikärakenne, laskennallinen kustannus]]+Yhteenveto[[#This Row],[Muut laskennalliset kustannukset ]]</f>
        <v>6723797.3293717299</v>
      </c>
      <c r="G190" s="498">
        <v>1422.47</v>
      </c>
      <c r="H190" s="17">
        <v>5318615.33</v>
      </c>
      <c r="I190" s="339">
        <f>Yhteenveto[[#This Row],[Laskennalliset kustannukset yhteensä]]-Yhteenveto[[#This Row],[Omarahoitusosuus, €]]</f>
        <v>1405181.9993717298</v>
      </c>
      <c r="J190" s="33">
        <v>637560.89478795533</v>
      </c>
      <c r="K190" s="34">
        <f>'Muut lis_väh'!O188</f>
        <v>973279.1084041209</v>
      </c>
      <c r="L190" s="231">
        <f>Yhteenveto[[#This Row],[Valtionosuus omarahoitusosuuden jälkeen (välisumma)]]+Yhteenveto[[#This Row],[Lisäosat yhteensä]]+Yhteenveto[[#This Row],[Valtionosuuteen tehtävät vähennykset ja lisäykset, netto]]</f>
        <v>3016022.0025638063</v>
      </c>
      <c r="M190" s="34">
        <f>'Verotuloihin perust tasaus'!N196</f>
        <v>1394922.3494171344</v>
      </c>
      <c r="N190" s="303">
        <f>SUM(Yhteenveto[[#This Row],[Valtionosuus ennen verotuloihin perustuvaa valtionosuuden tasausta]]+Yhteenveto[[#This Row],[Verotuloihin perustuva valtionosuuden tasaus]])</f>
        <v>4410944.3519809404</v>
      </c>
      <c r="O190" s="241">
        <v>642657.24724067468</v>
      </c>
      <c r="P190" s="372">
        <f>SUM(Yhteenveto[[#This Row],[Kunnan  peruspalvelujen valtionosuus ]:[Veroperustemuutoksista johtuvien veromenetysten korvaus]])</f>
        <v>5053601.5992216151</v>
      </c>
      <c r="Q190" s="34">
        <v>-45854.350090000007</v>
      </c>
      <c r="R190" s="341">
        <f>+Yhteenveto[[#This Row],[Kunnan  peruspalvelujen valtionosuus ]]+Yhteenveto[[#This Row],[Veroperustemuutoksista johtuvien veromenetysten korvaus]]+Yhteenveto[[#This Row],[Kotikuntakorvaus, netto]]</f>
        <v>5007747.2491316153</v>
      </c>
      <c r="S190" s="11"/>
      <c r="T190"/>
    </row>
    <row r="191" spans="1:20" ht="15">
      <c r="A191" s="32">
        <v>604</v>
      </c>
      <c r="B191" s="13" t="s">
        <v>197</v>
      </c>
      <c r="C191" s="15">
        <v>20763</v>
      </c>
      <c r="D191" s="15">
        <f>Ikärakenne[[#This Row],[Laskennalliset kustannukset, IKÄRAKENNE yhteensä, €]]</f>
        <v>38422768.829999998</v>
      </c>
      <c r="E191" s="15">
        <f>'Lask. kustannukset MUUT'!AD197</f>
        <v>3812366.9396032398</v>
      </c>
      <c r="F191" s="231">
        <f>Yhteenveto[[#This Row],[Ikärakenne, laskennallinen kustannus]]+Yhteenveto[[#This Row],[Muut laskennalliset kustannukset ]]</f>
        <v>42235135.769603238</v>
      </c>
      <c r="G191" s="498">
        <v>1422.47</v>
      </c>
      <c r="H191" s="17">
        <v>29534744.609999999</v>
      </c>
      <c r="I191" s="339">
        <f>Yhteenveto[[#This Row],[Laskennalliset kustannukset yhteensä]]-Yhteenveto[[#This Row],[Omarahoitusosuus, €]]</f>
        <v>12700391.159603238</v>
      </c>
      <c r="J191" s="33">
        <v>1112590.4329375515</v>
      </c>
      <c r="K191" s="34">
        <f>'Muut lis_väh'!O189</f>
        <v>4006027.0114003601</v>
      </c>
      <c r="L191" s="231">
        <f>Yhteenveto[[#This Row],[Valtionosuus omarahoitusosuuden jälkeen (välisumma)]]+Yhteenveto[[#This Row],[Lisäosat yhteensä]]+Yhteenveto[[#This Row],[Valtionosuuteen tehtävät vähennykset ja lisäykset, netto]]</f>
        <v>17819008.60394115</v>
      </c>
      <c r="M191" s="34">
        <f>'Verotuloihin perust tasaus'!N197</f>
        <v>-488609.27033656603</v>
      </c>
      <c r="N191" s="303">
        <f>SUM(Yhteenveto[[#This Row],[Valtionosuus ennen verotuloihin perustuvaa valtionosuuden tasausta]]+Yhteenveto[[#This Row],[Verotuloihin perustuva valtionosuuden tasaus]])</f>
        <v>17330399.333604585</v>
      </c>
      <c r="O191" s="241">
        <v>933585.56476083258</v>
      </c>
      <c r="P191" s="372">
        <f>SUM(Yhteenveto[[#This Row],[Kunnan  peruspalvelujen valtionosuus ]:[Veroperustemuutoksista johtuvien veromenetysten korvaus]])</f>
        <v>18263984.898365419</v>
      </c>
      <c r="Q191" s="34">
        <v>-708443.64079000009</v>
      </c>
      <c r="R191" s="341">
        <f>+Yhteenveto[[#This Row],[Kunnan  peruspalvelujen valtionosuus ]]+Yhteenveto[[#This Row],[Veroperustemuutoksista johtuvien veromenetysten korvaus]]+Yhteenveto[[#This Row],[Kotikuntakorvaus, netto]]</f>
        <v>17555541.257575419</v>
      </c>
      <c r="S191" s="11"/>
      <c r="T191"/>
    </row>
    <row r="192" spans="1:20" ht="15">
      <c r="A192" s="32">
        <v>607</v>
      </c>
      <c r="B192" s="13" t="s">
        <v>198</v>
      </c>
      <c r="C192" s="15">
        <v>4064</v>
      </c>
      <c r="D192" s="15">
        <f>Ikärakenne[[#This Row],[Laskennalliset kustannukset, IKÄRAKENNE yhteensä, €]]</f>
        <v>5344134.46</v>
      </c>
      <c r="E192" s="15">
        <f>'Lask. kustannukset MUUT'!AD198</f>
        <v>1366958.9687348204</v>
      </c>
      <c r="F192" s="231">
        <f>Yhteenveto[[#This Row],[Ikärakenne, laskennallinen kustannus]]+Yhteenveto[[#This Row],[Muut laskennalliset kustannukset ]]</f>
        <v>6711093.4287348203</v>
      </c>
      <c r="G192" s="498">
        <v>1422.47</v>
      </c>
      <c r="H192" s="17">
        <v>5780918.0800000001</v>
      </c>
      <c r="I192" s="339">
        <f>Yhteenveto[[#This Row],[Laskennalliset kustannukset yhteensä]]-Yhteenveto[[#This Row],[Omarahoitusosuus, €]]</f>
        <v>930175.34873482026</v>
      </c>
      <c r="J192" s="33">
        <v>281583.84138802008</v>
      </c>
      <c r="K192" s="34">
        <f>'Muut lis_väh'!O190</f>
        <v>-861885.34496212425</v>
      </c>
      <c r="L192" s="231">
        <f>Yhteenveto[[#This Row],[Valtionosuus omarahoitusosuuden jälkeen (välisumma)]]+Yhteenveto[[#This Row],[Lisäosat yhteensä]]+Yhteenveto[[#This Row],[Valtionosuuteen tehtävät vähennykset ja lisäykset, netto]]</f>
        <v>349873.84516071621</v>
      </c>
      <c r="M192" s="34">
        <f>'Verotuloihin perust tasaus'!N198</f>
        <v>2461786.1767609389</v>
      </c>
      <c r="N192" s="303">
        <f>SUM(Yhteenveto[[#This Row],[Valtionosuus ennen verotuloihin perustuvaa valtionosuuden tasausta]]+Yhteenveto[[#This Row],[Verotuloihin perustuva valtionosuuden tasaus]])</f>
        <v>2811660.0219216552</v>
      </c>
      <c r="O192" s="241">
        <v>711675.68918198172</v>
      </c>
      <c r="P192" s="372">
        <f>SUM(Yhteenveto[[#This Row],[Kunnan  peruspalvelujen valtionosuus ]:[Veroperustemuutoksista johtuvien veromenetysten korvaus]])</f>
        <v>3523335.7111036368</v>
      </c>
      <c r="Q192" s="34">
        <v>-22770.350109999999</v>
      </c>
      <c r="R192" s="341">
        <f>+Yhteenveto[[#This Row],[Kunnan  peruspalvelujen valtionosuus ]]+Yhteenveto[[#This Row],[Veroperustemuutoksista johtuvien veromenetysten korvaus]]+Yhteenveto[[#This Row],[Kotikuntakorvaus, netto]]</f>
        <v>3500565.3609936368</v>
      </c>
      <c r="S192" s="11"/>
      <c r="T192"/>
    </row>
    <row r="193" spans="1:20" ht="15">
      <c r="A193" s="32">
        <v>608</v>
      </c>
      <c r="B193" s="13" t="s">
        <v>199</v>
      </c>
      <c r="C193" s="15">
        <v>1943</v>
      </c>
      <c r="D193" s="15">
        <f>Ikärakenne[[#This Row],[Laskennalliset kustannukset, IKÄRAKENNE yhteensä, €]]</f>
        <v>2612432.7599999998</v>
      </c>
      <c r="E193" s="15">
        <f>'Lask. kustannukset MUUT'!AD199</f>
        <v>514357.56753387448</v>
      </c>
      <c r="F193" s="231">
        <f>Yhteenveto[[#This Row],[Ikärakenne, laskennallinen kustannus]]+Yhteenveto[[#This Row],[Muut laskennalliset kustannukset ]]</f>
        <v>3126790.3275338742</v>
      </c>
      <c r="G193" s="498">
        <v>1422.47</v>
      </c>
      <c r="H193" s="17">
        <v>2763859.21</v>
      </c>
      <c r="I193" s="339">
        <f>Yhteenveto[[#This Row],[Laskennalliset kustannukset yhteensä]]-Yhteenveto[[#This Row],[Omarahoitusosuus, €]]</f>
        <v>362931.11753387423</v>
      </c>
      <c r="J193" s="33">
        <v>62128.532691993139</v>
      </c>
      <c r="K193" s="34">
        <f>'Muut lis_väh'!O191</f>
        <v>-368552.7325250826</v>
      </c>
      <c r="L193" s="231">
        <f>Yhteenveto[[#This Row],[Valtionosuus omarahoitusosuuden jälkeen (välisumma)]]+Yhteenveto[[#This Row],[Lisäosat yhteensä]]+Yhteenveto[[#This Row],[Valtionosuuteen tehtävät vähennykset ja lisäykset, netto]]</f>
        <v>56506.917700784805</v>
      </c>
      <c r="M193" s="34">
        <f>'Verotuloihin perust tasaus'!N199</f>
        <v>1006889.3311280058</v>
      </c>
      <c r="N193" s="303">
        <f>SUM(Yhteenveto[[#This Row],[Valtionosuus ennen verotuloihin perustuvaa valtionosuuden tasausta]]+Yhteenveto[[#This Row],[Verotuloihin perustuva valtionosuuden tasaus]])</f>
        <v>1063396.2488287906</v>
      </c>
      <c r="O193" s="241">
        <v>275303.81752427155</v>
      </c>
      <c r="P193" s="372">
        <f>SUM(Yhteenveto[[#This Row],[Kunnan  peruspalvelujen valtionosuus ]:[Veroperustemuutoksista johtuvien veromenetysten korvaus]])</f>
        <v>1338700.0663530622</v>
      </c>
      <c r="Q193" s="34">
        <v>0</v>
      </c>
      <c r="R193" s="341">
        <f>+Yhteenveto[[#This Row],[Kunnan  peruspalvelujen valtionosuus ]]+Yhteenveto[[#This Row],[Veroperustemuutoksista johtuvien veromenetysten korvaus]]+Yhteenveto[[#This Row],[Kotikuntakorvaus, netto]]</f>
        <v>1338700.0663530622</v>
      </c>
      <c r="S193" s="11"/>
      <c r="T193"/>
    </row>
    <row r="194" spans="1:20" ht="15">
      <c r="A194" s="32">
        <v>609</v>
      </c>
      <c r="B194" s="13" t="s">
        <v>200</v>
      </c>
      <c r="C194" s="15">
        <v>83106</v>
      </c>
      <c r="D194" s="15">
        <f>Ikärakenne[[#This Row],[Laskennalliset kustannukset, IKÄRAKENNE yhteensä, €]]</f>
        <v>112972872.02</v>
      </c>
      <c r="E194" s="15">
        <f>'Lask. kustannukset MUUT'!AD200</f>
        <v>22417980.191054534</v>
      </c>
      <c r="F194" s="231">
        <f>Yhteenveto[[#This Row],[Ikärakenne, laskennallinen kustannus]]+Yhteenveto[[#This Row],[Muut laskennalliset kustannukset ]]</f>
        <v>135390852.21105453</v>
      </c>
      <c r="G194" s="498">
        <v>1422.47</v>
      </c>
      <c r="H194" s="17">
        <v>118215791.82000001</v>
      </c>
      <c r="I194" s="339">
        <f>Yhteenveto[[#This Row],[Laskennalliset kustannukset yhteensä]]-Yhteenveto[[#This Row],[Omarahoitusosuus, €]]</f>
        <v>17175060.391054526</v>
      </c>
      <c r="J194" s="33">
        <v>2851043.010408184</v>
      </c>
      <c r="K194" s="34">
        <f>'Muut lis_väh'!O192</f>
        <v>-24461044.037746113</v>
      </c>
      <c r="L194" s="231">
        <f>Yhteenveto[[#This Row],[Valtionosuus omarahoitusosuuden jälkeen (välisumma)]]+Yhteenveto[[#This Row],[Lisäosat yhteensä]]+Yhteenveto[[#This Row],[Valtionosuuteen tehtävät vähennykset ja lisäykset, netto]]</f>
        <v>-4434940.6362834014</v>
      </c>
      <c r="M194" s="34">
        <f>'Verotuloihin perust tasaus'!N200</f>
        <v>21560428.374902017</v>
      </c>
      <c r="N194" s="303">
        <f>SUM(Yhteenveto[[#This Row],[Valtionosuus ennen verotuloihin perustuvaa valtionosuuden tasausta]]+Yhteenveto[[#This Row],[Verotuloihin perustuva valtionosuuden tasaus]])</f>
        <v>17125487.738618616</v>
      </c>
      <c r="O194" s="241">
        <v>8302878.5981981605</v>
      </c>
      <c r="P194" s="372">
        <f>SUM(Yhteenveto[[#This Row],[Kunnan  peruspalvelujen valtionosuus ]:[Veroperustemuutoksista johtuvien veromenetysten korvaus]])</f>
        <v>25428366.336816777</v>
      </c>
      <c r="Q194" s="34">
        <v>-2908699.0549699995</v>
      </c>
      <c r="R194" s="341">
        <f>+Yhteenveto[[#This Row],[Kunnan  peruspalvelujen valtionosuus ]]+Yhteenveto[[#This Row],[Veroperustemuutoksista johtuvien veromenetysten korvaus]]+Yhteenveto[[#This Row],[Kotikuntakorvaus, netto]]</f>
        <v>22519667.281846777</v>
      </c>
      <c r="S194" s="11"/>
      <c r="T194"/>
    </row>
    <row r="195" spans="1:20" ht="15">
      <c r="A195" s="32">
        <v>611</v>
      </c>
      <c r="B195" s="13" t="s">
        <v>201</v>
      </c>
      <c r="C195" s="15">
        <v>4973</v>
      </c>
      <c r="D195" s="15">
        <f>Ikärakenne[[#This Row],[Laskennalliset kustannukset, IKÄRAKENNE yhteensä, €]]</f>
        <v>8987504.5500000007</v>
      </c>
      <c r="E195" s="15">
        <f>'Lask. kustannukset MUUT'!AD201</f>
        <v>969678.5358691772</v>
      </c>
      <c r="F195" s="231">
        <f>Yhteenveto[[#This Row],[Ikärakenne, laskennallinen kustannus]]+Yhteenveto[[#This Row],[Muut laskennalliset kustannukset ]]</f>
        <v>9957183.0858691782</v>
      </c>
      <c r="G195" s="498">
        <v>1422.47</v>
      </c>
      <c r="H195" s="17">
        <v>7073943.3100000005</v>
      </c>
      <c r="I195" s="339">
        <f>Yhteenveto[[#This Row],[Laskennalliset kustannukset yhteensä]]-Yhteenveto[[#This Row],[Omarahoitusosuus, €]]</f>
        <v>2883239.7758691777</v>
      </c>
      <c r="J195" s="33">
        <v>115935.4257163391</v>
      </c>
      <c r="K195" s="34">
        <f>'Muut lis_väh'!O193</f>
        <v>163928.84206186401</v>
      </c>
      <c r="L195" s="231">
        <f>Yhteenveto[[#This Row],[Valtionosuus omarahoitusosuuden jälkeen (välisumma)]]+Yhteenveto[[#This Row],[Lisäosat yhteensä]]+Yhteenveto[[#This Row],[Valtionosuuteen tehtävät vähennykset ja lisäykset, netto]]</f>
        <v>3163104.043647381</v>
      </c>
      <c r="M195" s="34">
        <f>'Verotuloihin perust tasaus'!N201</f>
        <v>1131113.6802843525</v>
      </c>
      <c r="N195" s="303">
        <f>SUM(Yhteenveto[[#This Row],[Valtionosuus ennen verotuloihin perustuvaa valtionosuuden tasausta]]+Yhteenveto[[#This Row],[Verotuloihin perustuva valtionosuuden tasaus]])</f>
        <v>4294217.7239317335</v>
      </c>
      <c r="O195" s="241">
        <v>399029.7061257516</v>
      </c>
      <c r="P195" s="372">
        <f>SUM(Yhteenveto[[#This Row],[Kunnan  peruspalvelujen valtionosuus ]:[Veroperustemuutoksista johtuvien veromenetysten korvaus]])</f>
        <v>4693247.4300574847</v>
      </c>
      <c r="Q195" s="34">
        <v>19648.036580000015</v>
      </c>
      <c r="R195" s="341">
        <f>+Yhteenveto[[#This Row],[Kunnan  peruspalvelujen valtionosuus ]]+Yhteenveto[[#This Row],[Veroperustemuutoksista johtuvien veromenetysten korvaus]]+Yhteenveto[[#This Row],[Kotikuntakorvaus, netto]]</f>
        <v>4712895.4666374847</v>
      </c>
      <c r="S195" s="11"/>
      <c r="T195"/>
    </row>
    <row r="196" spans="1:20" ht="15">
      <c r="A196" s="32">
        <v>614</v>
      </c>
      <c r="B196" s="13" t="s">
        <v>202</v>
      </c>
      <c r="C196" s="15">
        <v>2923</v>
      </c>
      <c r="D196" s="15">
        <f>Ikärakenne[[#This Row],[Laskennalliset kustannukset, IKÄRAKENNE yhteensä, €]]</f>
        <v>2450058.16</v>
      </c>
      <c r="E196" s="15">
        <f>'Lask. kustannukset MUUT'!AD202</f>
        <v>2964399.4036786812</v>
      </c>
      <c r="F196" s="231">
        <f>Yhteenveto[[#This Row],[Ikärakenne, laskennallinen kustannus]]+Yhteenveto[[#This Row],[Muut laskennalliset kustannukset ]]</f>
        <v>5414457.5636786819</v>
      </c>
      <c r="G196" s="498">
        <v>1422.47</v>
      </c>
      <c r="H196" s="17">
        <v>4157879.81</v>
      </c>
      <c r="I196" s="339">
        <f>Yhteenveto[[#This Row],[Laskennalliset kustannukset yhteensä]]-Yhteenveto[[#This Row],[Omarahoitusosuus, €]]</f>
        <v>1256577.7536786818</v>
      </c>
      <c r="J196" s="33">
        <v>1112941.8187624111</v>
      </c>
      <c r="K196" s="34">
        <f>'Muut lis_väh'!O194</f>
        <v>-1109306.8460823584</v>
      </c>
      <c r="L196" s="231">
        <f>Yhteenveto[[#This Row],[Valtionosuus omarahoitusosuuden jälkeen (välisumma)]]+Yhteenveto[[#This Row],[Lisäosat yhteensä]]+Yhteenveto[[#This Row],[Valtionosuuteen tehtävät vähennykset ja lisäykset, netto]]</f>
        <v>1260212.7263587343</v>
      </c>
      <c r="M196" s="34">
        <f>'Verotuloihin perust tasaus'!N202</f>
        <v>1469944.0738123546</v>
      </c>
      <c r="N196" s="303">
        <f>SUM(Yhteenveto[[#This Row],[Valtionosuus ennen verotuloihin perustuvaa valtionosuuden tasausta]]+Yhteenveto[[#This Row],[Verotuloihin perustuva valtionosuuden tasaus]])</f>
        <v>2730156.8001710889</v>
      </c>
      <c r="O196" s="241">
        <v>604003.98509200918</v>
      </c>
      <c r="P196" s="372">
        <f>SUM(Yhteenveto[[#This Row],[Kunnan  peruspalvelujen valtionosuus ]:[Veroperustemuutoksista johtuvien veromenetysten korvaus]])</f>
        <v>3334160.7852630978</v>
      </c>
      <c r="Q196" s="34">
        <v>-5201.229000000003</v>
      </c>
      <c r="R196" s="341">
        <f>+Yhteenveto[[#This Row],[Kunnan  peruspalvelujen valtionosuus ]]+Yhteenveto[[#This Row],[Veroperustemuutoksista johtuvien veromenetysten korvaus]]+Yhteenveto[[#This Row],[Kotikuntakorvaus, netto]]</f>
        <v>3328959.556263098</v>
      </c>
      <c r="S196" s="11"/>
      <c r="T196"/>
    </row>
    <row r="197" spans="1:20" ht="15">
      <c r="A197" s="32">
        <v>615</v>
      </c>
      <c r="B197" s="13" t="s">
        <v>203</v>
      </c>
      <c r="C197" s="15">
        <v>7479</v>
      </c>
      <c r="D197" s="15">
        <f>Ikärakenne[[#This Row],[Laskennalliset kustannukset, IKÄRAKENNE yhteensä, €]]</f>
        <v>11114326.98</v>
      </c>
      <c r="E197" s="15">
        <f>'Lask. kustannukset MUUT'!AD203</f>
        <v>6141420.9541256251</v>
      </c>
      <c r="F197" s="231">
        <f>Yhteenveto[[#This Row],[Ikärakenne, laskennallinen kustannus]]+Yhteenveto[[#This Row],[Muut laskennalliset kustannukset ]]</f>
        <v>17255747.934125625</v>
      </c>
      <c r="G197" s="498">
        <v>1422.47</v>
      </c>
      <c r="H197" s="17">
        <v>10638653.130000001</v>
      </c>
      <c r="I197" s="339">
        <f>Yhteenveto[[#This Row],[Laskennalliset kustannukset yhteensä]]-Yhteenveto[[#This Row],[Omarahoitusosuus, €]]</f>
        <v>6617094.8041256238</v>
      </c>
      <c r="J197" s="33">
        <v>2427655.2513666032</v>
      </c>
      <c r="K197" s="34">
        <f>'Muut lis_väh'!O195</f>
        <v>1975816.9796819929</v>
      </c>
      <c r="L197" s="231">
        <f>Yhteenveto[[#This Row],[Valtionosuus omarahoitusosuuden jälkeen (välisumma)]]+Yhteenveto[[#This Row],[Lisäosat yhteensä]]+Yhteenveto[[#This Row],[Valtionosuuteen tehtävät vähennykset ja lisäykset, netto]]</f>
        <v>11020567.035174219</v>
      </c>
      <c r="M197" s="34">
        <f>'Verotuloihin perust tasaus'!N203</f>
        <v>3977799.7576365513</v>
      </c>
      <c r="N197" s="303">
        <f>SUM(Yhteenveto[[#This Row],[Valtionosuus ennen verotuloihin perustuvaa valtionosuuden tasausta]]+Yhteenveto[[#This Row],[Verotuloihin perustuva valtionosuuden tasaus]])</f>
        <v>14998366.79281077</v>
      </c>
      <c r="O197" s="241">
        <v>1112623.2746747392</v>
      </c>
      <c r="P197" s="372">
        <f>SUM(Yhteenveto[[#This Row],[Kunnan  peruspalvelujen valtionosuus ]:[Veroperustemuutoksista johtuvien veromenetysten korvaus]])</f>
        <v>16110990.067485509</v>
      </c>
      <c r="Q197" s="34">
        <v>112820.96153000002</v>
      </c>
      <c r="R197" s="341">
        <f>+Yhteenveto[[#This Row],[Kunnan  peruspalvelujen valtionosuus ]]+Yhteenveto[[#This Row],[Veroperustemuutoksista johtuvien veromenetysten korvaus]]+Yhteenveto[[#This Row],[Kotikuntakorvaus, netto]]</f>
        <v>16223811.029015509</v>
      </c>
      <c r="S197" s="11"/>
      <c r="T197"/>
    </row>
    <row r="198" spans="1:20" ht="15">
      <c r="A198" s="32">
        <v>616</v>
      </c>
      <c r="B198" s="13" t="s">
        <v>204</v>
      </c>
      <c r="C198" s="15">
        <v>1781</v>
      </c>
      <c r="D198" s="15">
        <f>Ikärakenne[[#This Row],[Laskennalliset kustannukset, IKÄRAKENNE yhteensä, €]]</f>
        <v>2566459.8199999998</v>
      </c>
      <c r="E198" s="15">
        <f>'Lask. kustannukset MUUT'!AD204</f>
        <v>431993.35290090705</v>
      </c>
      <c r="F198" s="231">
        <f>Yhteenveto[[#This Row],[Ikärakenne, laskennallinen kustannus]]+Yhteenveto[[#This Row],[Muut laskennalliset kustannukset ]]</f>
        <v>2998453.1729009068</v>
      </c>
      <c r="G198" s="498">
        <v>1422.47</v>
      </c>
      <c r="H198" s="17">
        <v>2533419.0699999998</v>
      </c>
      <c r="I198" s="339">
        <f>Yhteenveto[[#This Row],[Laskennalliset kustannukset yhteensä]]-Yhteenveto[[#This Row],[Omarahoitusosuus, €]]</f>
        <v>465034.10290090693</v>
      </c>
      <c r="J198" s="33">
        <v>46209.189749446683</v>
      </c>
      <c r="K198" s="34">
        <f>'Muut lis_väh'!O196</f>
        <v>-447267.31180563621</v>
      </c>
      <c r="L198" s="231">
        <f>Yhteenveto[[#This Row],[Valtionosuus omarahoitusosuuden jälkeen (välisumma)]]+Yhteenveto[[#This Row],[Lisäosat yhteensä]]+Yhteenveto[[#This Row],[Valtionosuuteen tehtävät vähennykset ja lisäykset, netto]]</f>
        <v>63975.980844717415</v>
      </c>
      <c r="M198" s="34">
        <f>'Verotuloihin perust tasaus'!N204</f>
        <v>823345.94266835332</v>
      </c>
      <c r="N198" s="303">
        <f>SUM(Yhteenveto[[#This Row],[Valtionosuus ennen verotuloihin perustuvaa valtionosuuden tasausta]]+Yhteenveto[[#This Row],[Verotuloihin perustuva valtionosuuden tasaus]])</f>
        <v>887321.92351307068</v>
      </c>
      <c r="O198" s="241">
        <v>253592.95207585779</v>
      </c>
      <c r="P198" s="372">
        <f>SUM(Yhteenveto[[#This Row],[Kunnan  peruspalvelujen valtionosuus ]:[Veroperustemuutoksista johtuvien veromenetysten korvaus]])</f>
        <v>1140914.8755889283</v>
      </c>
      <c r="Q198" s="34">
        <v>-721446.7132900001</v>
      </c>
      <c r="R198" s="341">
        <f>+Yhteenveto[[#This Row],[Kunnan  peruspalvelujen valtionosuus ]]+Yhteenveto[[#This Row],[Veroperustemuutoksista johtuvien veromenetysten korvaus]]+Yhteenveto[[#This Row],[Kotikuntakorvaus, netto]]</f>
        <v>419468.16229892825</v>
      </c>
      <c r="S198" s="11"/>
      <c r="T198"/>
    </row>
    <row r="199" spans="1:20" ht="15">
      <c r="A199" s="32">
        <v>619</v>
      </c>
      <c r="B199" s="13" t="s">
        <v>205</v>
      </c>
      <c r="C199" s="15">
        <v>2650</v>
      </c>
      <c r="D199" s="15">
        <f>Ikärakenne[[#This Row],[Laskennalliset kustannukset, IKÄRAKENNE yhteensä, €]]</f>
        <v>3191816.4800000004</v>
      </c>
      <c r="E199" s="15">
        <f>'Lask. kustannukset MUUT'!AD205</f>
        <v>731964.16721264657</v>
      </c>
      <c r="F199" s="231">
        <f>Yhteenveto[[#This Row],[Ikärakenne, laskennallinen kustannus]]+Yhteenveto[[#This Row],[Muut laskennalliset kustannukset ]]</f>
        <v>3923780.6472126469</v>
      </c>
      <c r="G199" s="498">
        <v>1422.47</v>
      </c>
      <c r="H199" s="17">
        <v>3769545.5</v>
      </c>
      <c r="I199" s="339">
        <f>Yhteenveto[[#This Row],[Laskennalliset kustannukset yhteensä]]-Yhteenveto[[#This Row],[Omarahoitusosuus, €]]</f>
        <v>154235.1472126469</v>
      </c>
      <c r="J199" s="33">
        <v>158093.69688644283</v>
      </c>
      <c r="K199" s="34">
        <f>'Muut lis_väh'!O197</f>
        <v>982345.47467640159</v>
      </c>
      <c r="L199" s="231">
        <f>Yhteenveto[[#This Row],[Valtionosuus omarahoitusosuuden jälkeen (välisumma)]]+Yhteenveto[[#This Row],[Lisäosat yhteensä]]+Yhteenveto[[#This Row],[Valtionosuuteen tehtävät vähennykset ja lisäykset, netto]]</f>
        <v>1294674.3187754913</v>
      </c>
      <c r="M199" s="34">
        <f>'Verotuloihin perust tasaus'!N205</f>
        <v>1666752.5873783091</v>
      </c>
      <c r="N199" s="303">
        <f>SUM(Yhteenveto[[#This Row],[Valtionosuus ennen verotuloihin perustuvaa valtionosuuden tasausta]]+Yhteenveto[[#This Row],[Verotuloihin perustuva valtionosuuden tasaus]])</f>
        <v>2961426.9061538004</v>
      </c>
      <c r="O199" s="241">
        <v>538352.62980728957</v>
      </c>
      <c r="P199" s="372">
        <f>SUM(Yhteenveto[[#This Row],[Kunnan  peruspalvelujen valtionosuus ]:[Veroperustemuutoksista johtuvien veromenetysten korvaus]])</f>
        <v>3499779.5359610901</v>
      </c>
      <c r="Q199" s="34">
        <v>117043.41380000001</v>
      </c>
      <c r="R199" s="341">
        <f>+Yhteenveto[[#This Row],[Kunnan  peruspalvelujen valtionosuus ]]+Yhteenveto[[#This Row],[Veroperustemuutoksista johtuvien veromenetysten korvaus]]+Yhteenveto[[#This Row],[Kotikuntakorvaus, netto]]</f>
        <v>3616822.9497610903</v>
      </c>
      <c r="S199" s="11"/>
      <c r="T199"/>
    </row>
    <row r="200" spans="1:20" ht="15">
      <c r="A200" s="32">
        <v>620</v>
      </c>
      <c r="B200" s="13" t="s">
        <v>206</v>
      </c>
      <c r="C200" s="15">
        <v>2359</v>
      </c>
      <c r="D200" s="15">
        <f>Ikärakenne[[#This Row],[Laskennalliset kustannukset, IKÄRAKENNE yhteensä, €]]</f>
        <v>2285090.7400000002</v>
      </c>
      <c r="E200" s="15">
        <f>'Lask. kustannukset MUUT'!AD206</f>
        <v>2515690.9644681392</v>
      </c>
      <c r="F200" s="231">
        <f>Yhteenveto[[#This Row],[Ikärakenne, laskennallinen kustannus]]+Yhteenveto[[#This Row],[Muut laskennalliset kustannukset ]]</f>
        <v>4800781.7044681394</v>
      </c>
      <c r="G200" s="498">
        <v>1422.47</v>
      </c>
      <c r="H200" s="17">
        <v>3355606.73</v>
      </c>
      <c r="I200" s="339">
        <f>Yhteenveto[[#This Row],[Laskennalliset kustannukset yhteensä]]-Yhteenveto[[#This Row],[Omarahoitusosuus, €]]</f>
        <v>1445174.9744681395</v>
      </c>
      <c r="J200" s="33">
        <v>882414.95475037897</v>
      </c>
      <c r="K200" s="34">
        <f>'Muut lis_väh'!O198</f>
        <v>580234.93678070186</v>
      </c>
      <c r="L200" s="231">
        <f>Yhteenveto[[#This Row],[Valtionosuus omarahoitusosuuden jälkeen (välisumma)]]+Yhteenveto[[#This Row],[Lisäosat yhteensä]]+Yhteenveto[[#This Row],[Valtionosuuteen tehtävät vähennykset ja lisäykset, netto]]</f>
        <v>2907824.8659992204</v>
      </c>
      <c r="M200" s="34">
        <f>'Verotuloihin perust tasaus'!N206</f>
        <v>957260.36457264819</v>
      </c>
      <c r="N200" s="303">
        <f>SUM(Yhteenveto[[#This Row],[Valtionosuus ennen verotuloihin perustuvaa valtionosuuden tasausta]]+Yhteenveto[[#This Row],[Verotuloihin perustuva valtionosuuden tasaus]])</f>
        <v>3865085.2305718688</v>
      </c>
      <c r="O200" s="241">
        <v>473708.22518068325</v>
      </c>
      <c r="P200" s="372">
        <f>SUM(Yhteenveto[[#This Row],[Kunnan  peruspalvelujen valtionosuus ]:[Veroperustemuutoksista johtuvien veromenetysten korvaus]])</f>
        <v>4338793.4557525525</v>
      </c>
      <c r="Q200" s="34">
        <v>-29557.165889999997</v>
      </c>
      <c r="R200" s="341">
        <f>+Yhteenveto[[#This Row],[Kunnan  peruspalvelujen valtionosuus ]]+Yhteenveto[[#This Row],[Veroperustemuutoksista johtuvien veromenetysten korvaus]]+Yhteenveto[[#This Row],[Kotikuntakorvaus, netto]]</f>
        <v>4309236.2898625527</v>
      </c>
      <c r="S200" s="11"/>
      <c r="T200"/>
    </row>
    <row r="201" spans="1:20" ht="15">
      <c r="A201" s="32">
        <v>623</v>
      </c>
      <c r="B201" s="13" t="s">
        <v>207</v>
      </c>
      <c r="C201" s="15">
        <v>2108</v>
      </c>
      <c r="D201" s="15">
        <f>Ikärakenne[[#This Row],[Laskennalliset kustannukset, IKÄRAKENNE yhteensä, €]]</f>
        <v>1487984.54</v>
      </c>
      <c r="E201" s="15">
        <f>'Lask. kustannukset MUUT'!AD207</f>
        <v>1820252.4488247528</v>
      </c>
      <c r="F201" s="231">
        <f>Yhteenveto[[#This Row],[Ikärakenne, laskennallinen kustannus]]+Yhteenveto[[#This Row],[Muut laskennalliset kustannukset ]]</f>
        <v>3308236.9888247531</v>
      </c>
      <c r="G201" s="498">
        <v>1422.47</v>
      </c>
      <c r="H201" s="17">
        <v>2998566.7600000002</v>
      </c>
      <c r="I201" s="339">
        <f>Yhteenveto[[#This Row],[Laskennalliset kustannukset yhteensä]]-Yhteenveto[[#This Row],[Omarahoitusosuus, €]]</f>
        <v>309670.22882475285</v>
      </c>
      <c r="J201" s="33">
        <v>767146.34631143836</v>
      </c>
      <c r="K201" s="34">
        <f>'Muut lis_väh'!O199</f>
        <v>439472.85108974203</v>
      </c>
      <c r="L201" s="231">
        <f>Yhteenveto[[#This Row],[Valtionosuus omarahoitusosuuden jälkeen (välisumma)]]+Yhteenveto[[#This Row],[Lisäosat yhteensä]]+Yhteenveto[[#This Row],[Valtionosuuteen tehtävät vähennykset ja lisäykset, netto]]</f>
        <v>1516289.4262259332</v>
      </c>
      <c r="M201" s="34">
        <f>'Verotuloihin perust tasaus'!N207</f>
        <v>-48702.697074826778</v>
      </c>
      <c r="N201" s="303">
        <f>SUM(Yhteenveto[[#This Row],[Valtionosuus ennen verotuloihin perustuvaa valtionosuuden tasausta]]+Yhteenveto[[#This Row],[Verotuloihin perustuva valtionosuuden tasaus]])</f>
        <v>1467586.7291511064</v>
      </c>
      <c r="O201" s="241">
        <v>397022.13454298698</v>
      </c>
      <c r="P201" s="372">
        <f>SUM(Yhteenveto[[#This Row],[Kunnan  peruspalvelujen valtionosuus ]:[Veroperustemuutoksista johtuvien veromenetysten korvaus]])</f>
        <v>1864608.8636940934</v>
      </c>
      <c r="Q201" s="34">
        <v>-54891.879509999999</v>
      </c>
      <c r="R201" s="341">
        <f>+Yhteenveto[[#This Row],[Kunnan  peruspalvelujen valtionosuus ]]+Yhteenveto[[#This Row],[Veroperustemuutoksista johtuvien veromenetysten korvaus]]+Yhteenveto[[#This Row],[Kotikuntakorvaus, netto]]</f>
        <v>1809716.9841840933</v>
      </c>
      <c r="S201" s="11"/>
      <c r="T201"/>
    </row>
    <row r="202" spans="1:20" ht="15">
      <c r="A202" s="32">
        <v>624</v>
      </c>
      <c r="B202" s="13" t="s">
        <v>208</v>
      </c>
      <c r="C202" s="15">
        <v>5065</v>
      </c>
      <c r="D202" s="15">
        <f>Ikärakenne[[#This Row],[Laskennalliset kustannukset, IKÄRAKENNE yhteensä, €]]</f>
        <v>7849962.4500000011</v>
      </c>
      <c r="E202" s="15">
        <f>'Lask. kustannukset MUUT'!AD208</f>
        <v>1621463.1069530733</v>
      </c>
      <c r="F202" s="231">
        <f>Yhteenveto[[#This Row],[Ikärakenne, laskennallinen kustannus]]+Yhteenveto[[#This Row],[Muut laskennalliset kustannukset ]]</f>
        <v>9471425.5569530744</v>
      </c>
      <c r="G202" s="498">
        <v>1422.47</v>
      </c>
      <c r="H202" s="17">
        <v>7204810.5499999998</v>
      </c>
      <c r="I202" s="339">
        <f>Yhteenveto[[#This Row],[Laskennalliset kustannukset yhteensä]]-Yhteenveto[[#This Row],[Omarahoitusosuus, €]]</f>
        <v>2266615.0069530746</v>
      </c>
      <c r="J202" s="33">
        <v>131605.56579871883</v>
      </c>
      <c r="K202" s="34">
        <f>'Muut lis_väh'!O200</f>
        <v>1141111.0162663185</v>
      </c>
      <c r="L202" s="231">
        <f>Yhteenveto[[#This Row],[Valtionosuus omarahoitusosuuden jälkeen (välisumma)]]+Yhteenveto[[#This Row],[Lisäosat yhteensä]]+Yhteenveto[[#This Row],[Valtionosuuteen tehtävät vähennykset ja lisäykset, netto]]</f>
        <v>3539331.589018112</v>
      </c>
      <c r="M202" s="34">
        <f>'Verotuloihin perust tasaus'!N208</f>
        <v>938213.90814115712</v>
      </c>
      <c r="N202" s="303">
        <f>SUM(Yhteenveto[[#This Row],[Valtionosuus ennen verotuloihin perustuvaa valtionosuuden tasausta]]+Yhteenveto[[#This Row],[Verotuloihin perustuva valtionosuuden tasaus]])</f>
        <v>4477545.4971592687</v>
      </c>
      <c r="O202" s="241">
        <v>430280.65829648782</v>
      </c>
      <c r="P202" s="372">
        <f>SUM(Yhteenveto[[#This Row],[Kunnan  peruspalvelujen valtionosuus ]:[Veroperustemuutoksista johtuvien veromenetysten korvaus]])</f>
        <v>4907826.1554557569</v>
      </c>
      <c r="Q202" s="34">
        <v>-180340.79459999999</v>
      </c>
      <c r="R202" s="341">
        <f>+Yhteenveto[[#This Row],[Kunnan  peruspalvelujen valtionosuus ]]+Yhteenveto[[#This Row],[Veroperustemuutoksista johtuvien veromenetysten korvaus]]+Yhteenveto[[#This Row],[Kotikuntakorvaus, netto]]</f>
        <v>4727485.3608557573</v>
      </c>
      <c r="S202" s="11"/>
      <c r="T202"/>
    </row>
    <row r="203" spans="1:20" ht="15">
      <c r="A203" s="32">
        <v>625</v>
      </c>
      <c r="B203" s="13" t="s">
        <v>209</v>
      </c>
      <c r="C203" s="15">
        <v>2980</v>
      </c>
      <c r="D203" s="15">
        <f>Ikärakenne[[#This Row],[Laskennalliset kustannukset, IKÄRAKENNE yhteensä, €]]</f>
        <v>4932936.7400000012</v>
      </c>
      <c r="E203" s="15">
        <f>'Lask. kustannukset MUUT'!AD209</f>
        <v>1070396.1413491478</v>
      </c>
      <c r="F203" s="231">
        <f>Yhteenveto[[#This Row],[Ikärakenne, laskennallinen kustannus]]+Yhteenveto[[#This Row],[Muut laskennalliset kustannukset ]]</f>
        <v>6003332.8813491492</v>
      </c>
      <c r="G203" s="498">
        <v>1422.47</v>
      </c>
      <c r="H203" s="17">
        <v>4238960.5999999996</v>
      </c>
      <c r="I203" s="339">
        <f>Yhteenveto[[#This Row],[Laskennalliset kustannukset yhteensä]]-Yhteenveto[[#This Row],[Omarahoitusosuus, €]]</f>
        <v>1764372.2813491495</v>
      </c>
      <c r="J203" s="33">
        <v>240625.04469358115</v>
      </c>
      <c r="K203" s="34">
        <f>'Muut lis_väh'!O201</f>
        <v>1155953.1829388819</v>
      </c>
      <c r="L203" s="231">
        <f>Yhteenveto[[#This Row],[Valtionosuus omarahoitusosuuden jälkeen (välisumma)]]+Yhteenveto[[#This Row],[Lisäosat yhteensä]]+Yhteenveto[[#This Row],[Valtionosuuteen tehtävät vähennykset ja lisäykset, netto]]</f>
        <v>3160950.5089816125</v>
      </c>
      <c r="M203" s="34">
        <f>'Verotuloihin perust tasaus'!N209</f>
        <v>639346.58866207162</v>
      </c>
      <c r="N203" s="303">
        <f>SUM(Yhteenveto[[#This Row],[Valtionosuus ennen verotuloihin perustuvaa valtionosuuden tasausta]]+Yhteenveto[[#This Row],[Verotuloihin perustuva valtionosuuden tasaus]])</f>
        <v>3800297.0976436841</v>
      </c>
      <c r="O203" s="241">
        <v>389430.70773148828</v>
      </c>
      <c r="P203" s="372">
        <f>SUM(Yhteenveto[[#This Row],[Kunnan  peruspalvelujen valtionosuus ]:[Veroperustemuutoksista johtuvien veromenetysten korvaus]])</f>
        <v>4189727.8053751723</v>
      </c>
      <c r="Q203" s="34">
        <v>-60744.050200000012</v>
      </c>
      <c r="R203" s="341">
        <f>+Yhteenveto[[#This Row],[Kunnan  peruspalvelujen valtionosuus ]]+Yhteenveto[[#This Row],[Veroperustemuutoksista johtuvien veromenetysten korvaus]]+Yhteenveto[[#This Row],[Kotikuntakorvaus, netto]]</f>
        <v>4128983.7551751724</v>
      </c>
      <c r="S203" s="11"/>
      <c r="T203"/>
    </row>
    <row r="204" spans="1:20" ht="15">
      <c r="A204" s="32">
        <v>626</v>
      </c>
      <c r="B204" s="13" t="s">
        <v>210</v>
      </c>
      <c r="C204" s="15">
        <v>4756</v>
      </c>
      <c r="D204" s="15">
        <f>Ikärakenne[[#This Row],[Laskennalliset kustannukset, IKÄRAKENNE yhteensä, €]]</f>
        <v>6655302.8899999997</v>
      </c>
      <c r="E204" s="15">
        <f>'Lask. kustannukset MUUT'!AD210</f>
        <v>1984920.7245030436</v>
      </c>
      <c r="F204" s="231">
        <f>Yhteenveto[[#This Row],[Ikärakenne, laskennallinen kustannus]]+Yhteenveto[[#This Row],[Muut laskennalliset kustannukset ]]</f>
        <v>8640223.6145030428</v>
      </c>
      <c r="G204" s="498">
        <v>1422.47</v>
      </c>
      <c r="H204" s="17">
        <v>6765267.3200000003</v>
      </c>
      <c r="I204" s="339">
        <f>Yhteenveto[[#This Row],[Laskennalliset kustannukset yhteensä]]-Yhteenveto[[#This Row],[Omarahoitusosuus, €]]</f>
        <v>1874956.2945030425</v>
      </c>
      <c r="J204" s="33">
        <v>742882.4795246576</v>
      </c>
      <c r="K204" s="34">
        <f>'Muut lis_väh'!O202</f>
        <v>-1575817.3542163491</v>
      </c>
      <c r="L204" s="231">
        <f>Yhteenveto[[#This Row],[Valtionosuus omarahoitusosuuden jälkeen (välisumma)]]+Yhteenveto[[#This Row],[Lisäosat yhteensä]]+Yhteenveto[[#This Row],[Valtionosuuteen tehtävät vähennykset ja lisäykset, netto]]</f>
        <v>1042021.419811351</v>
      </c>
      <c r="M204" s="34">
        <f>'Verotuloihin perust tasaus'!N210</f>
        <v>2282675.8316454887</v>
      </c>
      <c r="N204" s="303">
        <f>SUM(Yhteenveto[[#This Row],[Valtionosuus ennen verotuloihin perustuvaa valtionosuuden tasausta]]+Yhteenveto[[#This Row],[Verotuloihin perustuva valtionosuuden tasaus]])</f>
        <v>3324697.25145684</v>
      </c>
      <c r="O204" s="241">
        <v>685861.36446665041</v>
      </c>
      <c r="P204" s="372">
        <f>SUM(Yhteenveto[[#This Row],[Kunnan  peruspalvelujen valtionosuus ]:[Veroperustemuutoksista johtuvien veromenetysten korvaus]])</f>
        <v>4010558.6159234904</v>
      </c>
      <c r="Q204" s="34">
        <v>-13408.137910000019</v>
      </c>
      <c r="R204" s="341">
        <f>+Yhteenveto[[#This Row],[Kunnan  peruspalvelujen valtionosuus ]]+Yhteenveto[[#This Row],[Veroperustemuutoksista johtuvien veromenetysten korvaus]]+Yhteenveto[[#This Row],[Kotikuntakorvaus, netto]]</f>
        <v>3997150.4780134903</v>
      </c>
      <c r="S204" s="11"/>
      <c r="T204"/>
    </row>
    <row r="205" spans="1:20" ht="15">
      <c r="A205" s="32">
        <v>630</v>
      </c>
      <c r="B205" s="13" t="s">
        <v>211</v>
      </c>
      <c r="C205" s="15">
        <v>1646</v>
      </c>
      <c r="D205" s="15">
        <f>Ikärakenne[[#This Row],[Laskennalliset kustannukset, IKÄRAKENNE yhteensä, €]]</f>
        <v>3409774.5199999996</v>
      </c>
      <c r="E205" s="15">
        <f>'Lask. kustannukset MUUT'!AD211</f>
        <v>1078351.5954291751</v>
      </c>
      <c r="F205" s="231">
        <f>Yhteenveto[[#This Row],[Ikärakenne, laskennallinen kustannus]]+Yhteenveto[[#This Row],[Muut laskennalliset kustannukset ]]</f>
        <v>4488126.1154291742</v>
      </c>
      <c r="G205" s="498">
        <v>1422.47</v>
      </c>
      <c r="H205" s="17">
        <v>2341385.62</v>
      </c>
      <c r="I205" s="339">
        <f>Yhteenveto[[#This Row],[Laskennalliset kustannukset yhteensä]]-Yhteenveto[[#This Row],[Omarahoitusosuus, €]]</f>
        <v>2146740.495429174</v>
      </c>
      <c r="J205" s="33">
        <v>599531.94416301709</v>
      </c>
      <c r="K205" s="34">
        <f>'Muut lis_väh'!O203</f>
        <v>-668960.06619823899</v>
      </c>
      <c r="L205" s="231">
        <f>Yhteenveto[[#This Row],[Valtionosuus omarahoitusosuuden jälkeen (välisumma)]]+Yhteenveto[[#This Row],[Lisäosat yhteensä]]+Yhteenveto[[#This Row],[Valtionosuuteen tehtävät vähennykset ja lisäykset, netto]]</f>
        <v>2077312.3733939519</v>
      </c>
      <c r="M205" s="34">
        <f>'Verotuloihin perust tasaus'!N211</f>
        <v>785755.55072267761</v>
      </c>
      <c r="N205" s="303">
        <f>SUM(Yhteenveto[[#This Row],[Valtionosuus ennen verotuloihin perustuvaa valtionosuuden tasausta]]+Yhteenveto[[#This Row],[Verotuloihin perustuva valtionosuuden tasaus]])</f>
        <v>2863067.9241166296</v>
      </c>
      <c r="O205" s="241">
        <v>192885.78793238977</v>
      </c>
      <c r="P205" s="372">
        <f>SUM(Yhteenveto[[#This Row],[Kunnan  peruspalvelujen valtionosuus ]:[Veroperustemuutoksista johtuvien veromenetysten korvaus]])</f>
        <v>3055953.7120490195</v>
      </c>
      <c r="Q205" s="34">
        <v>177935.62021999998</v>
      </c>
      <c r="R205" s="341">
        <f>+Yhteenveto[[#This Row],[Kunnan  peruspalvelujen valtionosuus ]]+Yhteenveto[[#This Row],[Veroperustemuutoksista johtuvien veromenetysten korvaus]]+Yhteenveto[[#This Row],[Kotikuntakorvaus, netto]]</f>
        <v>3233889.3322690194</v>
      </c>
      <c r="S205" s="11"/>
      <c r="T205"/>
    </row>
    <row r="206" spans="1:20" ht="15">
      <c r="A206" s="32">
        <v>631</v>
      </c>
      <c r="B206" s="13" t="s">
        <v>212</v>
      </c>
      <c r="C206" s="15">
        <v>1930</v>
      </c>
      <c r="D206" s="15">
        <f>Ikärakenne[[#This Row],[Laskennalliset kustannukset, IKÄRAKENNE yhteensä, €]]</f>
        <v>2835812.25</v>
      </c>
      <c r="E206" s="15">
        <f>'Lask. kustannukset MUUT'!AD212</f>
        <v>454483.52547107119</v>
      </c>
      <c r="F206" s="231">
        <f>Yhteenveto[[#This Row],[Ikärakenne, laskennallinen kustannus]]+Yhteenveto[[#This Row],[Muut laskennalliset kustannukset ]]</f>
        <v>3290295.7754710712</v>
      </c>
      <c r="G206" s="498">
        <v>1422.47</v>
      </c>
      <c r="H206" s="17">
        <v>2745367.1</v>
      </c>
      <c r="I206" s="339">
        <f>Yhteenveto[[#This Row],[Laskennalliset kustannukset yhteensä]]-Yhteenveto[[#This Row],[Omarahoitusosuus, €]]</f>
        <v>544928.67547107115</v>
      </c>
      <c r="J206" s="33">
        <v>38828.615269725742</v>
      </c>
      <c r="K206" s="34">
        <f>'Muut lis_väh'!O204</f>
        <v>276643.29145304125</v>
      </c>
      <c r="L206" s="231">
        <f>Yhteenveto[[#This Row],[Valtionosuus omarahoitusosuuden jälkeen (välisumma)]]+Yhteenveto[[#This Row],[Lisäosat yhteensä]]+Yhteenveto[[#This Row],[Valtionosuuteen tehtävät vähennykset ja lisäykset, netto]]</f>
        <v>860400.5821938382</v>
      </c>
      <c r="M206" s="34">
        <f>'Verotuloihin perust tasaus'!N212</f>
        <v>679550.70300285053</v>
      </c>
      <c r="N206" s="303">
        <f>SUM(Yhteenveto[[#This Row],[Valtionosuus ennen verotuloihin perustuvaa valtionosuuden tasausta]]+Yhteenveto[[#This Row],[Verotuloihin perustuva valtionosuuden tasaus]])</f>
        <v>1539951.2851966887</v>
      </c>
      <c r="O206" s="241">
        <v>190737.84798615909</v>
      </c>
      <c r="P206" s="372">
        <f>SUM(Yhteenveto[[#This Row],[Kunnan  peruspalvelujen valtionosuus ]:[Veroperustemuutoksista johtuvien veromenetysten korvaus]])</f>
        <v>1730689.1331828479</v>
      </c>
      <c r="Q206" s="34">
        <v>-714585.81940000004</v>
      </c>
      <c r="R206" s="341">
        <f>+Yhteenveto[[#This Row],[Kunnan  peruspalvelujen valtionosuus ]]+Yhteenveto[[#This Row],[Veroperustemuutoksista johtuvien veromenetysten korvaus]]+Yhteenveto[[#This Row],[Kotikuntakorvaus, netto]]</f>
        <v>1016103.3137828478</v>
      </c>
      <c r="S206" s="11"/>
      <c r="T206"/>
    </row>
    <row r="207" spans="1:20" ht="15">
      <c r="A207" s="32">
        <v>635</v>
      </c>
      <c r="B207" s="13" t="s">
        <v>213</v>
      </c>
      <c r="C207" s="15">
        <v>6337</v>
      </c>
      <c r="D207" s="15">
        <f>Ikärakenne[[#This Row],[Laskennalliset kustannukset, IKÄRAKENNE yhteensä, €]]</f>
        <v>8985253.3800000008</v>
      </c>
      <c r="E207" s="15">
        <f>'Lask. kustannukset MUUT'!AD213</f>
        <v>1545567.8457055511</v>
      </c>
      <c r="F207" s="231">
        <f>Yhteenveto[[#This Row],[Ikärakenne, laskennallinen kustannus]]+Yhteenveto[[#This Row],[Muut laskennalliset kustannukset ]]</f>
        <v>10530821.225705553</v>
      </c>
      <c r="G207" s="498">
        <v>1422.47</v>
      </c>
      <c r="H207" s="17">
        <v>9014192.3900000006</v>
      </c>
      <c r="I207" s="339">
        <f>Yhteenveto[[#This Row],[Laskennalliset kustannukset yhteensä]]-Yhteenveto[[#This Row],[Omarahoitusosuus, €]]</f>
        <v>1516628.8357055523</v>
      </c>
      <c r="J207" s="33">
        <v>330357.29168814974</v>
      </c>
      <c r="K207" s="34">
        <f>'Muut lis_väh'!O205</f>
        <v>-422141.01268770685</v>
      </c>
      <c r="L207" s="231">
        <f>Yhteenveto[[#This Row],[Valtionosuus omarahoitusosuuden jälkeen (välisumma)]]+Yhteenveto[[#This Row],[Lisäosat yhteensä]]+Yhteenveto[[#This Row],[Valtionosuuteen tehtävät vähennykset ja lisäykset, netto]]</f>
        <v>1424845.1147059952</v>
      </c>
      <c r="M207" s="34">
        <f>'Verotuloihin perust tasaus'!N213</f>
        <v>2207730.3500640588</v>
      </c>
      <c r="N207" s="303">
        <f>SUM(Yhteenveto[[#This Row],[Valtionosuus ennen verotuloihin perustuvaa valtionosuuden tasausta]]+Yhteenveto[[#This Row],[Verotuloihin perustuva valtionosuuden tasaus]])</f>
        <v>3632575.464770054</v>
      </c>
      <c r="O207" s="241">
        <v>821984.06107010157</v>
      </c>
      <c r="P207" s="372">
        <f>SUM(Yhteenveto[[#This Row],[Kunnan  peruspalvelujen valtionosuus ]:[Veroperustemuutoksista johtuvien veromenetysten korvaus]])</f>
        <v>4454559.5258401558</v>
      </c>
      <c r="Q207" s="34">
        <v>-436367.3518</v>
      </c>
      <c r="R207" s="341">
        <f>+Yhteenveto[[#This Row],[Kunnan  peruspalvelujen valtionosuus ]]+Yhteenveto[[#This Row],[Veroperustemuutoksista johtuvien veromenetysten korvaus]]+Yhteenveto[[#This Row],[Kotikuntakorvaus, netto]]</f>
        <v>4018192.174040156</v>
      </c>
      <c r="S207" s="11"/>
      <c r="T207"/>
    </row>
    <row r="208" spans="1:20" ht="15">
      <c r="A208" s="32">
        <v>636</v>
      </c>
      <c r="B208" s="13" t="s">
        <v>214</v>
      </c>
      <c r="C208" s="15">
        <v>8130</v>
      </c>
      <c r="D208" s="15">
        <f>Ikärakenne[[#This Row],[Laskennalliset kustannukset, IKÄRAKENNE yhteensä, €]]</f>
        <v>13871721.300000001</v>
      </c>
      <c r="E208" s="15">
        <f>'Lask. kustannukset MUUT'!AD214</f>
        <v>2418108.1467762883</v>
      </c>
      <c r="F208" s="231">
        <f>Yhteenveto[[#This Row],[Ikärakenne, laskennallinen kustannus]]+Yhteenveto[[#This Row],[Muut laskennalliset kustannukset ]]</f>
        <v>16289829.446776289</v>
      </c>
      <c r="G208" s="498">
        <v>1422.47</v>
      </c>
      <c r="H208" s="17">
        <v>11564681.1</v>
      </c>
      <c r="I208" s="339">
        <f>Yhteenveto[[#This Row],[Laskennalliset kustannukset yhteensä]]-Yhteenveto[[#This Row],[Omarahoitusosuus, €]]</f>
        <v>4725148.3467762899</v>
      </c>
      <c r="J208" s="33">
        <v>237118.14924841301</v>
      </c>
      <c r="K208" s="34">
        <f>'Muut lis_väh'!O206</f>
        <v>112414.7440465316</v>
      </c>
      <c r="L208" s="231">
        <f>Yhteenveto[[#This Row],[Valtionosuus omarahoitusosuuden jälkeen (välisumma)]]+Yhteenveto[[#This Row],[Lisäosat yhteensä]]+Yhteenveto[[#This Row],[Valtionosuuteen tehtävät vähennykset ja lisäykset, netto]]</f>
        <v>5074681.2400712343</v>
      </c>
      <c r="M208" s="34">
        <f>'Verotuloihin perust tasaus'!N214</f>
        <v>3575897.6765855784</v>
      </c>
      <c r="N208" s="303">
        <f>SUM(Yhteenveto[[#This Row],[Valtionosuus ennen verotuloihin perustuvaa valtionosuuden tasausta]]+Yhteenveto[[#This Row],[Verotuloihin perustuva valtionosuuden tasaus]])</f>
        <v>8650578.9166568127</v>
      </c>
      <c r="O208" s="241">
        <v>1199514.161604349</v>
      </c>
      <c r="P208" s="372">
        <f>SUM(Yhteenveto[[#This Row],[Kunnan  peruspalvelujen valtionosuus ]:[Veroperustemuutoksista johtuvien veromenetysten korvaus]])</f>
        <v>9850093.0782611612</v>
      </c>
      <c r="Q208" s="34">
        <v>777820.1549999998</v>
      </c>
      <c r="R208" s="341">
        <f>+Yhteenveto[[#This Row],[Kunnan  peruspalvelujen valtionosuus ]]+Yhteenveto[[#This Row],[Veroperustemuutoksista johtuvien veromenetysten korvaus]]+Yhteenveto[[#This Row],[Kotikuntakorvaus, netto]]</f>
        <v>10627913.233261161</v>
      </c>
      <c r="S208" s="11"/>
      <c r="T208"/>
    </row>
    <row r="209" spans="1:20" ht="15">
      <c r="A209" s="32">
        <v>638</v>
      </c>
      <c r="B209" s="13" t="s">
        <v>215</v>
      </c>
      <c r="C209" s="15">
        <v>51289</v>
      </c>
      <c r="D209" s="15">
        <f>Ikärakenne[[#This Row],[Laskennalliset kustannukset, IKÄRAKENNE yhteensä, €]]</f>
        <v>82611966.210000008</v>
      </c>
      <c r="E209" s="15">
        <f>'Lask. kustannukset MUUT'!AD215</f>
        <v>20787332.161092497</v>
      </c>
      <c r="F209" s="231">
        <f>Yhteenveto[[#This Row],[Ikärakenne, laskennallinen kustannus]]+Yhteenveto[[#This Row],[Muut laskennalliset kustannukset ]]</f>
        <v>103399298.3710925</v>
      </c>
      <c r="G209" s="498">
        <v>1422.47</v>
      </c>
      <c r="H209" s="17">
        <v>72957063.829999998</v>
      </c>
      <c r="I209" s="339">
        <f>Yhteenveto[[#This Row],[Laskennalliset kustannukset yhteensä]]-Yhteenveto[[#This Row],[Omarahoitusosuus, €]]</f>
        <v>30442234.5410925</v>
      </c>
      <c r="J209" s="33">
        <v>1959939.4262617964</v>
      </c>
      <c r="K209" s="34">
        <f>'Muut lis_väh'!O207</f>
        <v>14130657.551789783</v>
      </c>
      <c r="L209" s="231">
        <f>Yhteenveto[[#This Row],[Valtionosuus omarahoitusosuuden jälkeen (välisumma)]]+Yhteenveto[[#This Row],[Lisäosat yhteensä]]+Yhteenveto[[#This Row],[Valtionosuuteen tehtävät vähennykset ja lisäykset, netto]]</f>
        <v>46532831.519144081</v>
      </c>
      <c r="M209" s="34">
        <f>'Verotuloihin perust tasaus'!N215</f>
        <v>-1348238.963000674</v>
      </c>
      <c r="N209" s="303">
        <f>SUM(Yhteenveto[[#This Row],[Valtionosuus ennen verotuloihin perustuvaa valtionosuuden tasausta]]+Yhteenveto[[#This Row],[Verotuloihin perustuva valtionosuuden tasaus]])</f>
        <v>45184592.556143403</v>
      </c>
      <c r="O209" s="241">
        <v>4765052.2260088604</v>
      </c>
      <c r="P209" s="372">
        <f>SUM(Yhteenveto[[#This Row],[Kunnan  peruspalvelujen valtionosuus ]:[Veroperustemuutoksista johtuvien veromenetysten korvaus]])</f>
        <v>49949644.782152265</v>
      </c>
      <c r="Q209" s="34">
        <v>-742932.51744999946</v>
      </c>
      <c r="R209" s="341">
        <f>+Yhteenveto[[#This Row],[Kunnan  peruspalvelujen valtionosuus ]]+Yhteenveto[[#This Row],[Veroperustemuutoksista johtuvien veromenetysten korvaus]]+Yhteenveto[[#This Row],[Kotikuntakorvaus, netto]]</f>
        <v>49206712.264702268</v>
      </c>
      <c r="S209" s="11"/>
      <c r="T209"/>
    </row>
    <row r="210" spans="1:20" ht="15">
      <c r="A210" s="32">
        <v>678</v>
      </c>
      <c r="B210" s="13" t="s">
        <v>216</v>
      </c>
      <c r="C210" s="15">
        <v>23797</v>
      </c>
      <c r="D210" s="15">
        <f>Ikärakenne[[#This Row],[Laskennalliset kustannukset, IKÄRAKENNE yhteensä, €]]</f>
        <v>40034755.420000002</v>
      </c>
      <c r="E210" s="15">
        <f>'Lask. kustannukset MUUT'!AD216</f>
        <v>6244443.8767108591</v>
      </c>
      <c r="F210" s="231">
        <f>Yhteenveto[[#This Row],[Ikärakenne, laskennallinen kustannus]]+Yhteenveto[[#This Row],[Muut laskennalliset kustannukset ]]</f>
        <v>46279199.296710864</v>
      </c>
      <c r="G210" s="498">
        <v>1422.47</v>
      </c>
      <c r="H210" s="17">
        <v>33850518.590000004</v>
      </c>
      <c r="I210" s="339">
        <f>Yhteenveto[[#This Row],[Laskennalliset kustannukset yhteensä]]-Yhteenveto[[#This Row],[Omarahoitusosuus, €]]</f>
        <v>12428680.70671086</v>
      </c>
      <c r="J210" s="33">
        <v>1452341.9002695708</v>
      </c>
      <c r="K210" s="34">
        <f>'Muut lis_väh'!O208</f>
        <v>112769.49975395552</v>
      </c>
      <c r="L210" s="231">
        <f>Yhteenveto[[#This Row],[Valtionosuus omarahoitusosuuden jälkeen (välisumma)]]+Yhteenveto[[#This Row],[Lisäosat yhteensä]]+Yhteenveto[[#This Row],[Valtionosuuteen tehtävät vähennykset ja lisäykset, netto]]</f>
        <v>13993792.106734388</v>
      </c>
      <c r="M210" s="34">
        <f>'Verotuloihin perust tasaus'!N216</f>
        <v>2208056.9381600153</v>
      </c>
      <c r="N210" s="303">
        <f>SUM(Yhteenveto[[#This Row],[Valtionosuus ennen verotuloihin perustuvaa valtionosuuden tasausta]]+Yhteenveto[[#This Row],[Verotuloihin perustuva valtionosuuden tasaus]])</f>
        <v>16201849.044894403</v>
      </c>
      <c r="O210" s="241">
        <v>1954998.3000127459</v>
      </c>
      <c r="P210" s="372">
        <f>SUM(Yhteenveto[[#This Row],[Kunnan  peruspalvelujen valtionosuus ]:[Veroperustemuutoksista johtuvien veromenetysten korvaus]])</f>
        <v>18156847.34490715</v>
      </c>
      <c r="Q210" s="34">
        <v>139071.40668000001</v>
      </c>
      <c r="R210" s="341">
        <f>+Yhteenveto[[#This Row],[Kunnan  peruspalvelujen valtionosuus ]]+Yhteenveto[[#This Row],[Veroperustemuutoksista johtuvien veromenetysten korvaus]]+Yhteenveto[[#This Row],[Kotikuntakorvaus, netto]]</f>
        <v>18295918.751587149</v>
      </c>
      <c r="S210" s="11"/>
      <c r="T210"/>
    </row>
    <row r="211" spans="1:20" ht="15">
      <c r="A211" s="32">
        <v>680</v>
      </c>
      <c r="B211" s="13" t="s">
        <v>217</v>
      </c>
      <c r="C211" s="15">
        <v>25331</v>
      </c>
      <c r="D211" s="15">
        <f>Ikärakenne[[#This Row],[Laskennalliset kustannukset, IKÄRAKENNE yhteensä, €]]</f>
        <v>38528522.049999997</v>
      </c>
      <c r="E211" s="15">
        <f>'Lask. kustannukset MUUT'!AD217</f>
        <v>8722044.4349361248</v>
      </c>
      <c r="F211" s="231">
        <f>Yhteenveto[[#This Row],[Ikärakenne, laskennallinen kustannus]]+Yhteenveto[[#This Row],[Muut laskennalliset kustannukset ]]</f>
        <v>47250566.484936118</v>
      </c>
      <c r="G211" s="498">
        <v>1422.47</v>
      </c>
      <c r="H211" s="17">
        <v>36032587.57</v>
      </c>
      <c r="I211" s="339">
        <f>Yhteenveto[[#This Row],[Laskennalliset kustannukset yhteensä]]-Yhteenveto[[#This Row],[Omarahoitusosuus, €]]</f>
        <v>11217978.914936118</v>
      </c>
      <c r="J211" s="33">
        <v>1143725.4521689238</v>
      </c>
      <c r="K211" s="34">
        <f>'Muut lis_väh'!O209</f>
        <v>-421240.04924690002</v>
      </c>
      <c r="L211" s="231">
        <f>Yhteenveto[[#This Row],[Valtionosuus omarahoitusosuuden jälkeen (välisumma)]]+Yhteenveto[[#This Row],[Lisäosat yhteensä]]+Yhteenveto[[#This Row],[Valtionosuuteen tehtävät vähennykset ja lisäykset, netto]]</f>
        <v>11940464.317858141</v>
      </c>
      <c r="M211" s="34">
        <f>'Verotuloihin perust tasaus'!N217</f>
        <v>1099273.6091457934</v>
      </c>
      <c r="N211" s="303">
        <f>SUM(Yhteenveto[[#This Row],[Valtionosuus ennen verotuloihin perustuvaa valtionosuuden tasausta]]+Yhteenveto[[#This Row],[Verotuloihin perustuva valtionosuuden tasaus]])</f>
        <v>13039737.927003935</v>
      </c>
      <c r="O211" s="241">
        <v>1918214.4468927071</v>
      </c>
      <c r="P211" s="372">
        <f>SUM(Yhteenveto[[#This Row],[Kunnan  peruspalvelujen valtionosuus ]:[Veroperustemuutoksista johtuvien veromenetysten korvaus]])</f>
        <v>14957952.373896642</v>
      </c>
      <c r="Q211" s="34">
        <v>-361838.46861999994</v>
      </c>
      <c r="R211" s="341">
        <f>+Yhteenveto[[#This Row],[Kunnan  peruspalvelujen valtionosuus ]]+Yhteenveto[[#This Row],[Veroperustemuutoksista johtuvien veromenetysten korvaus]]+Yhteenveto[[#This Row],[Kotikuntakorvaus, netto]]</f>
        <v>14596113.905276641</v>
      </c>
      <c r="S211" s="11"/>
      <c r="T211"/>
    </row>
    <row r="212" spans="1:20" ht="15">
      <c r="A212" s="32">
        <v>681</v>
      </c>
      <c r="B212" s="13" t="s">
        <v>218</v>
      </c>
      <c r="C212" s="15">
        <v>3297</v>
      </c>
      <c r="D212" s="15">
        <f>Ikärakenne[[#This Row],[Laskennalliset kustannukset, IKÄRAKENNE yhteensä, €]]</f>
        <v>3824045.4799999995</v>
      </c>
      <c r="E212" s="15">
        <f>'Lask. kustannukset MUUT'!AD218</f>
        <v>1205306.6462333389</v>
      </c>
      <c r="F212" s="231">
        <f>Yhteenveto[[#This Row],[Ikärakenne, laskennallinen kustannus]]+Yhteenveto[[#This Row],[Muut laskennalliset kustannukset ]]</f>
        <v>5029352.1262333384</v>
      </c>
      <c r="G212" s="498">
        <v>1422.47</v>
      </c>
      <c r="H212" s="17">
        <v>4689883.59</v>
      </c>
      <c r="I212" s="339">
        <f>Yhteenveto[[#This Row],[Laskennalliset kustannukset yhteensä]]-Yhteenveto[[#This Row],[Omarahoitusosuus, €]]</f>
        <v>339468.53623333853</v>
      </c>
      <c r="J212" s="33">
        <v>290384.94594465196</v>
      </c>
      <c r="K212" s="34">
        <f>'Muut lis_väh'!O210</f>
        <v>350596.80177279504</v>
      </c>
      <c r="L212" s="231">
        <f>Yhteenveto[[#This Row],[Valtionosuus omarahoitusosuuden jälkeen (välisumma)]]+Yhteenveto[[#This Row],[Lisäosat yhteensä]]+Yhteenveto[[#This Row],[Valtionosuuteen tehtävät vähennykset ja lisäykset, netto]]</f>
        <v>980450.28395078552</v>
      </c>
      <c r="M212" s="34">
        <f>'Verotuloihin perust tasaus'!N218</f>
        <v>1241614.2866371975</v>
      </c>
      <c r="N212" s="303">
        <f>SUM(Yhteenveto[[#This Row],[Valtionosuus ennen verotuloihin perustuvaa valtionosuuden tasausta]]+Yhteenveto[[#This Row],[Verotuloihin perustuva valtionosuuden tasaus]])</f>
        <v>2222064.5705879829</v>
      </c>
      <c r="O212" s="241">
        <v>596609.93901570677</v>
      </c>
      <c r="P212" s="372">
        <f>SUM(Yhteenveto[[#This Row],[Kunnan  peruspalvelujen valtionosuus ]:[Veroperustemuutoksista johtuvien veromenetysten korvaus]])</f>
        <v>2818674.5096036894</v>
      </c>
      <c r="Q212" s="34">
        <v>-19186.230490000002</v>
      </c>
      <c r="R212" s="341">
        <f>+Yhteenveto[[#This Row],[Kunnan  peruspalvelujen valtionosuus ]]+Yhteenveto[[#This Row],[Veroperustemuutoksista johtuvien veromenetysten korvaus]]+Yhteenveto[[#This Row],[Kotikuntakorvaus, netto]]</f>
        <v>2799488.2791136894</v>
      </c>
      <c r="S212" s="11"/>
      <c r="T212"/>
    </row>
    <row r="213" spans="1:20" ht="15">
      <c r="A213" s="32">
        <v>683</v>
      </c>
      <c r="B213" s="13" t="s">
        <v>219</v>
      </c>
      <c r="C213" s="15">
        <v>3599</v>
      </c>
      <c r="D213" s="15">
        <f>Ikärakenne[[#This Row],[Laskennalliset kustannukset, IKÄRAKENNE yhteensä, €]]</f>
        <v>6181375.04</v>
      </c>
      <c r="E213" s="15">
        <f>'Lask. kustannukset MUUT'!AD219</f>
        <v>3287471.1965371091</v>
      </c>
      <c r="F213" s="231">
        <f>Yhteenveto[[#This Row],[Ikärakenne, laskennallinen kustannus]]+Yhteenveto[[#This Row],[Muut laskennalliset kustannukset ]]</f>
        <v>9468846.2365371101</v>
      </c>
      <c r="G213" s="498">
        <v>1422.47</v>
      </c>
      <c r="H213" s="17">
        <v>5119469.53</v>
      </c>
      <c r="I213" s="339">
        <f>Yhteenveto[[#This Row],[Laskennalliset kustannukset yhteensä]]-Yhteenveto[[#This Row],[Omarahoitusosuus, €]]</f>
        <v>4349376.7065371098</v>
      </c>
      <c r="J213" s="33">
        <v>1328516.7411339148</v>
      </c>
      <c r="K213" s="34">
        <f>'Muut lis_väh'!O211</f>
        <v>-222149.34204293942</v>
      </c>
      <c r="L213" s="231">
        <f>Yhteenveto[[#This Row],[Valtionosuus omarahoitusosuuden jälkeen (välisumma)]]+Yhteenveto[[#This Row],[Lisäosat yhteensä]]+Yhteenveto[[#This Row],[Valtionosuuteen tehtävät vähennykset ja lisäykset, netto]]</f>
        <v>5455744.1056280844</v>
      </c>
      <c r="M213" s="34">
        <f>'Verotuloihin perust tasaus'!N219</f>
        <v>2506574.8074748339</v>
      </c>
      <c r="N213" s="303">
        <f>SUM(Yhteenveto[[#This Row],[Valtionosuus ennen verotuloihin perustuvaa valtionosuuden tasausta]]+Yhteenveto[[#This Row],[Verotuloihin perustuva valtionosuuden tasaus]])</f>
        <v>7962318.9131029183</v>
      </c>
      <c r="O213" s="241">
        <v>624124.52594263316</v>
      </c>
      <c r="P213" s="372">
        <f>SUM(Yhteenveto[[#This Row],[Kunnan  peruspalvelujen valtionosuus ]:[Veroperustemuutoksista johtuvien veromenetysten korvaus]])</f>
        <v>8586443.4390455522</v>
      </c>
      <c r="Q213" s="34">
        <v>29306.561220000032</v>
      </c>
      <c r="R213" s="341">
        <f>+Yhteenveto[[#This Row],[Kunnan  peruspalvelujen valtionosuus ]]+Yhteenveto[[#This Row],[Veroperustemuutoksista johtuvien veromenetysten korvaus]]+Yhteenveto[[#This Row],[Kotikuntakorvaus, netto]]</f>
        <v>8615750.0002655517</v>
      </c>
      <c r="S213" s="11"/>
      <c r="T213"/>
    </row>
    <row r="214" spans="1:20" ht="15">
      <c r="A214" s="32">
        <v>684</v>
      </c>
      <c r="B214" s="13" t="s">
        <v>220</v>
      </c>
      <c r="C214" s="15">
        <v>38832</v>
      </c>
      <c r="D214" s="15">
        <f>Ikärakenne[[#This Row],[Laskennalliset kustannukset, IKÄRAKENNE yhteensä, €]]</f>
        <v>53557806.229999997</v>
      </c>
      <c r="E214" s="15">
        <f>'Lask. kustannukset MUUT'!AD220</f>
        <v>11834180.667987252</v>
      </c>
      <c r="F214" s="231">
        <f>Yhteenveto[[#This Row],[Ikärakenne, laskennallinen kustannus]]+Yhteenveto[[#This Row],[Muut laskennalliset kustannukset ]]</f>
        <v>65391986.897987247</v>
      </c>
      <c r="G214" s="498">
        <v>1422.47</v>
      </c>
      <c r="H214" s="17">
        <v>55237355.039999999</v>
      </c>
      <c r="I214" s="339">
        <f>Yhteenveto[[#This Row],[Laskennalliset kustannukset yhteensä]]-Yhteenveto[[#This Row],[Omarahoitusosuus, €]]</f>
        <v>10154631.857987247</v>
      </c>
      <c r="J214" s="33">
        <v>1293293.6007055747</v>
      </c>
      <c r="K214" s="34">
        <f>'Muut lis_väh'!O212</f>
        <v>-2349328.2134303283</v>
      </c>
      <c r="L214" s="231">
        <f>Yhteenveto[[#This Row],[Valtionosuus omarahoitusosuuden jälkeen (välisumma)]]+Yhteenveto[[#This Row],[Lisäosat yhteensä]]+Yhteenveto[[#This Row],[Valtionosuuteen tehtävät vähennykset ja lisäykset, netto]]</f>
        <v>9098597.2452624943</v>
      </c>
      <c r="M214" s="34">
        <f>'Verotuloihin perust tasaus'!N220</f>
        <v>-158978.0745153809</v>
      </c>
      <c r="N214" s="303">
        <f>SUM(Yhteenveto[[#This Row],[Valtionosuus ennen verotuloihin perustuvaa valtionosuuden tasausta]]+Yhteenveto[[#This Row],[Verotuloihin perustuva valtionosuuden tasaus]])</f>
        <v>8939619.1707471125</v>
      </c>
      <c r="O214" s="241">
        <v>4722075.4808102157</v>
      </c>
      <c r="P214" s="372">
        <f>SUM(Yhteenveto[[#This Row],[Kunnan  peruspalvelujen valtionosuus ]:[Veroperustemuutoksista johtuvien veromenetysten korvaus]])</f>
        <v>13661694.651557328</v>
      </c>
      <c r="Q214" s="34">
        <v>-2923705.3887</v>
      </c>
      <c r="R214" s="341">
        <f>+Yhteenveto[[#This Row],[Kunnan  peruspalvelujen valtionosuus ]]+Yhteenveto[[#This Row],[Veroperustemuutoksista johtuvien veromenetysten korvaus]]+Yhteenveto[[#This Row],[Kotikuntakorvaus, netto]]</f>
        <v>10737989.262857329</v>
      </c>
      <c r="S214" s="11"/>
      <c r="T214"/>
    </row>
    <row r="215" spans="1:20" ht="15">
      <c r="A215" s="32">
        <v>686</v>
      </c>
      <c r="B215" s="13" t="s">
        <v>221</v>
      </c>
      <c r="C215" s="15">
        <v>2933</v>
      </c>
      <c r="D215" s="15">
        <f>Ikärakenne[[#This Row],[Laskennalliset kustannukset, IKÄRAKENNE yhteensä, €]]</f>
        <v>3448030.5000000005</v>
      </c>
      <c r="E215" s="15">
        <f>'Lask. kustannukset MUUT'!AD221</f>
        <v>983079.40563941223</v>
      </c>
      <c r="F215" s="231">
        <f>Yhteenveto[[#This Row],[Ikärakenne, laskennallinen kustannus]]+Yhteenveto[[#This Row],[Muut laskennalliset kustannukset ]]</f>
        <v>4431109.9056394128</v>
      </c>
      <c r="G215" s="498">
        <v>1422.47</v>
      </c>
      <c r="H215" s="17">
        <v>4172104.5100000002</v>
      </c>
      <c r="I215" s="339">
        <f>Yhteenveto[[#This Row],[Laskennalliset kustannukset yhteensä]]-Yhteenveto[[#This Row],[Omarahoitusosuus, €]]</f>
        <v>259005.39563941257</v>
      </c>
      <c r="J215" s="33">
        <v>437609.00498656119</v>
      </c>
      <c r="K215" s="34">
        <f>'Muut lis_väh'!O213</f>
        <v>-596850.92050451529</v>
      </c>
      <c r="L215" s="231">
        <f>Yhteenveto[[#This Row],[Valtionosuus omarahoitusosuuden jälkeen (välisumma)]]+Yhteenveto[[#This Row],[Lisäosat yhteensä]]+Yhteenveto[[#This Row],[Valtionosuuteen tehtävät vähennykset ja lisäykset, netto]]</f>
        <v>99763.480121458415</v>
      </c>
      <c r="M215" s="34">
        <f>'Verotuloihin perust tasaus'!N221</f>
        <v>1509610.6822219738</v>
      </c>
      <c r="N215" s="303">
        <f>SUM(Yhteenveto[[#This Row],[Valtionosuus ennen verotuloihin perustuvaa valtionosuuden tasausta]]+Yhteenveto[[#This Row],[Verotuloihin perustuva valtionosuuden tasaus]])</f>
        <v>1609374.1623434322</v>
      </c>
      <c r="O215" s="241">
        <v>468777.43244317366</v>
      </c>
      <c r="P215" s="372">
        <f>SUM(Yhteenveto[[#This Row],[Kunnan  peruspalvelujen valtionosuus ]:[Veroperustemuutoksista johtuvien veromenetysten korvaus]])</f>
        <v>2078151.5947866058</v>
      </c>
      <c r="Q215" s="34">
        <v>17778.746400000004</v>
      </c>
      <c r="R215" s="341">
        <f>+Yhteenveto[[#This Row],[Kunnan  peruspalvelujen valtionosuus ]]+Yhteenveto[[#This Row],[Veroperustemuutoksista johtuvien veromenetysten korvaus]]+Yhteenveto[[#This Row],[Kotikuntakorvaus, netto]]</f>
        <v>2095930.3411866059</v>
      </c>
      <c r="S215" s="11"/>
      <c r="T215"/>
    </row>
    <row r="216" spans="1:20" ht="15">
      <c r="A216" s="32">
        <v>687</v>
      </c>
      <c r="B216" s="13" t="s">
        <v>222</v>
      </c>
      <c r="C216" s="15">
        <v>1424</v>
      </c>
      <c r="D216" s="15">
        <f>Ikärakenne[[#This Row],[Laskennalliset kustannukset, IKÄRAKENNE yhteensä, €]]</f>
        <v>1447235.2400000002</v>
      </c>
      <c r="E216" s="15">
        <f>'Lask. kustannukset MUUT'!AD222</f>
        <v>1153251.1866915564</v>
      </c>
      <c r="F216" s="231">
        <f>Yhteenveto[[#This Row],[Ikärakenne, laskennallinen kustannus]]+Yhteenveto[[#This Row],[Muut laskennalliset kustannukset ]]</f>
        <v>2600486.4266915563</v>
      </c>
      <c r="G216" s="498">
        <v>1422.47</v>
      </c>
      <c r="H216" s="17">
        <v>2025597.28</v>
      </c>
      <c r="I216" s="339">
        <f>Yhteenveto[[#This Row],[Laskennalliset kustannukset yhteensä]]-Yhteenveto[[#This Row],[Omarahoitusosuus, €]]</f>
        <v>574889.14669155632</v>
      </c>
      <c r="J216" s="33">
        <v>521484.92822264449</v>
      </c>
      <c r="K216" s="34">
        <f>'Muut lis_väh'!O214</f>
        <v>-48412.862186537277</v>
      </c>
      <c r="L216" s="231">
        <f>Yhteenveto[[#This Row],[Valtionosuus omarahoitusosuuden jälkeen (välisumma)]]+Yhteenveto[[#This Row],[Lisäosat yhteensä]]+Yhteenveto[[#This Row],[Valtionosuuteen tehtävät vähennykset ja lisäykset, netto]]</f>
        <v>1047961.2127276635</v>
      </c>
      <c r="M216" s="34">
        <f>'Verotuloihin perust tasaus'!N222</f>
        <v>384224.18554489093</v>
      </c>
      <c r="N216" s="303">
        <f>SUM(Yhteenveto[[#This Row],[Valtionosuus ennen verotuloihin perustuvaa valtionosuuden tasausta]]+Yhteenveto[[#This Row],[Verotuloihin perustuva valtionosuuden tasaus]])</f>
        <v>1432185.3982725544</v>
      </c>
      <c r="O216" s="241">
        <v>298711.3748494992</v>
      </c>
      <c r="P216" s="372">
        <f>SUM(Yhteenveto[[#This Row],[Kunnan  peruspalvelujen valtionosuus ]:[Veroperustemuutoksista johtuvien veromenetysten korvaus]])</f>
        <v>1730896.7731220536</v>
      </c>
      <c r="Q216" s="34">
        <v>152526.82848999999</v>
      </c>
      <c r="R216" s="341">
        <f>+Yhteenveto[[#This Row],[Kunnan  peruspalvelujen valtionosuus ]]+Yhteenveto[[#This Row],[Veroperustemuutoksista johtuvien veromenetysten korvaus]]+Yhteenveto[[#This Row],[Kotikuntakorvaus, netto]]</f>
        <v>1883423.6016120536</v>
      </c>
      <c r="S216" s="11"/>
      <c r="T216"/>
    </row>
    <row r="217" spans="1:20" ht="15">
      <c r="A217" s="32">
        <v>689</v>
      </c>
      <c r="B217" s="13" t="s">
        <v>223</v>
      </c>
      <c r="C217" s="15">
        <v>3032</v>
      </c>
      <c r="D217" s="15">
        <f>Ikärakenne[[#This Row],[Laskennalliset kustannukset, IKÄRAKENNE yhteensä, €]]</f>
        <v>2866733.59</v>
      </c>
      <c r="E217" s="15">
        <f>'Lask. kustannukset MUUT'!AD223</f>
        <v>1103875.6319629676</v>
      </c>
      <c r="F217" s="231">
        <f>Yhteenveto[[#This Row],[Ikärakenne, laskennallinen kustannus]]+Yhteenveto[[#This Row],[Muut laskennalliset kustannukset ]]</f>
        <v>3970609.2219629674</v>
      </c>
      <c r="G217" s="498">
        <v>1422.47</v>
      </c>
      <c r="H217" s="17">
        <v>4312929.04</v>
      </c>
      <c r="I217" s="339">
        <f>Yhteenveto[[#This Row],[Laskennalliset kustannukset yhteensä]]-Yhteenveto[[#This Row],[Omarahoitusosuus, €]]</f>
        <v>-342319.81803703262</v>
      </c>
      <c r="J217" s="33">
        <v>407120.81921048509</v>
      </c>
      <c r="K217" s="34">
        <f>'Muut lis_väh'!O215</f>
        <v>2148162.4776603044</v>
      </c>
      <c r="L217" s="231">
        <f>Yhteenveto[[#This Row],[Valtionosuus omarahoitusosuuden jälkeen (välisumma)]]+Yhteenveto[[#This Row],[Lisäosat yhteensä]]+Yhteenveto[[#This Row],[Valtionosuuteen tehtävät vähennykset ja lisäykset, netto]]</f>
        <v>2212963.4788337569</v>
      </c>
      <c r="M217" s="34">
        <f>'Verotuloihin perust tasaus'!N223</f>
        <v>-17989.879185287562</v>
      </c>
      <c r="N217" s="303">
        <f>SUM(Yhteenveto[[#This Row],[Valtionosuus ennen verotuloihin perustuvaa valtionosuuden tasausta]]+Yhteenveto[[#This Row],[Verotuloihin perustuva valtionosuuden tasaus]])</f>
        <v>2194973.5996484691</v>
      </c>
      <c r="O217" s="241">
        <v>455544.29397199646</v>
      </c>
      <c r="P217" s="372">
        <f>SUM(Yhteenveto[[#This Row],[Kunnan  peruspalvelujen valtionosuus ]:[Veroperustemuutoksista johtuvien veromenetysten korvaus]])</f>
        <v>2650517.8936204654</v>
      </c>
      <c r="Q217" s="34">
        <v>-5201.2289999999994</v>
      </c>
      <c r="R217" s="341">
        <f>+Yhteenveto[[#This Row],[Kunnan  peruspalvelujen valtionosuus ]]+Yhteenveto[[#This Row],[Veroperustemuutoksista johtuvien veromenetysten korvaus]]+Yhteenveto[[#This Row],[Kotikuntakorvaus, netto]]</f>
        <v>2645316.6646204656</v>
      </c>
      <c r="S217" s="11"/>
      <c r="T217"/>
    </row>
    <row r="218" spans="1:20" ht="15">
      <c r="A218" s="32">
        <v>691</v>
      </c>
      <c r="B218" s="13" t="s">
        <v>224</v>
      </c>
      <c r="C218" s="15">
        <v>2598</v>
      </c>
      <c r="D218" s="15">
        <f>Ikärakenne[[#This Row],[Laskennalliset kustannukset, IKÄRAKENNE yhteensä, €]]</f>
        <v>4629234.8699999992</v>
      </c>
      <c r="E218" s="15">
        <f>'Lask. kustannukset MUUT'!AD224</f>
        <v>673440.89993288589</v>
      </c>
      <c r="F218" s="231">
        <f>Yhteenveto[[#This Row],[Ikärakenne, laskennallinen kustannus]]+Yhteenveto[[#This Row],[Muut laskennalliset kustannukset ]]</f>
        <v>5302675.7699328847</v>
      </c>
      <c r="G218" s="498">
        <v>1422.47</v>
      </c>
      <c r="H218" s="17">
        <v>3695577.06</v>
      </c>
      <c r="I218" s="339">
        <f>Yhteenveto[[#This Row],[Laskennalliset kustannukset yhteensä]]-Yhteenveto[[#This Row],[Omarahoitusosuus, €]]</f>
        <v>1607098.7099328847</v>
      </c>
      <c r="J218" s="33">
        <v>389935.07704075193</v>
      </c>
      <c r="K218" s="34">
        <f>'Muut lis_väh'!O216</f>
        <v>382116.27145371982</v>
      </c>
      <c r="L218" s="231">
        <f>Yhteenveto[[#This Row],[Valtionosuus omarahoitusosuuden jälkeen (välisumma)]]+Yhteenveto[[#This Row],[Lisäosat yhteensä]]+Yhteenveto[[#This Row],[Valtionosuuteen tehtävät vähennykset ja lisäykset, netto]]</f>
        <v>2379150.0584273562</v>
      </c>
      <c r="M218" s="34">
        <f>'Verotuloihin perust tasaus'!N224</f>
        <v>1715379.4132552119</v>
      </c>
      <c r="N218" s="303">
        <f>SUM(Yhteenveto[[#This Row],[Valtionosuus ennen verotuloihin perustuvaa valtionosuuden tasausta]]+Yhteenveto[[#This Row],[Verotuloihin perustuva valtionosuuden tasaus]])</f>
        <v>4094529.4716825681</v>
      </c>
      <c r="O218" s="241">
        <v>458255.79784068</v>
      </c>
      <c r="P218" s="372">
        <f>SUM(Yhteenveto[[#This Row],[Kunnan  peruspalvelujen valtionosuus ]:[Veroperustemuutoksista johtuvien veromenetysten korvaus]])</f>
        <v>4552785.2695232481</v>
      </c>
      <c r="Q218" s="34">
        <v>-28149.681799999998</v>
      </c>
      <c r="R218" s="341">
        <f>+Yhteenveto[[#This Row],[Kunnan  peruspalvelujen valtionosuus ]]+Yhteenveto[[#This Row],[Veroperustemuutoksista johtuvien veromenetysten korvaus]]+Yhteenveto[[#This Row],[Kotikuntakorvaus, netto]]</f>
        <v>4524635.5877232477</v>
      </c>
      <c r="S218" s="11"/>
      <c r="T218"/>
    </row>
    <row r="219" spans="1:20" ht="15">
      <c r="A219" s="32">
        <v>694</v>
      </c>
      <c r="B219" s="13" t="s">
        <v>225</v>
      </c>
      <c r="C219" s="15">
        <v>28483</v>
      </c>
      <c r="D219" s="15">
        <f>Ikärakenne[[#This Row],[Laskennalliset kustannukset, IKÄRAKENNE yhteensä, €]]</f>
        <v>42215384.409999996</v>
      </c>
      <c r="E219" s="15">
        <f>'Lask. kustannukset MUUT'!AD225</f>
        <v>7813613.0888260677</v>
      </c>
      <c r="F219" s="231">
        <f>Yhteenveto[[#This Row],[Ikärakenne, laskennallinen kustannus]]+Yhteenveto[[#This Row],[Muut laskennalliset kustannukset ]]</f>
        <v>50028997.498826064</v>
      </c>
      <c r="G219" s="498">
        <v>1422.47</v>
      </c>
      <c r="H219" s="17">
        <v>40516213.009999998</v>
      </c>
      <c r="I219" s="339">
        <f>Yhteenveto[[#This Row],[Laskennalliset kustannukset yhteensä]]-Yhteenveto[[#This Row],[Omarahoitusosuus, €]]</f>
        <v>9512784.4888260663</v>
      </c>
      <c r="J219" s="33">
        <v>999891.17180353403</v>
      </c>
      <c r="K219" s="34">
        <f>'Muut lis_väh'!O217</f>
        <v>-3795619.5476825889</v>
      </c>
      <c r="L219" s="231">
        <f>Yhteenveto[[#This Row],[Valtionosuus omarahoitusosuuden jälkeen (välisumma)]]+Yhteenveto[[#This Row],[Lisäosat yhteensä]]+Yhteenveto[[#This Row],[Valtionosuuteen tehtävät vähennykset ja lisäykset, netto]]</f>
        <v>6717056.1129470114</v>
      </c>
      <c r="M219" s="34">
        <f>'Verotuloihin perust tasaus'!N225</f>
        <v>-20808.387326860324</v>
      </c>
      <c r="N219" s="303">
        <f>SUM(Yhteenveto[[#This Row],[Valtionosuus ennen verotuloihin perustuvaa valtionosuuden tasausta]]+Yhteenveto[[#This Row],[Verotuloihin perustuva valtionosuuden tasaus]])</f>
        <v>6696247.7256201515</v>
      </c>
      <c r="O219" s="241">
        <v>2549507.2132888408</v>
      </c>
      <c r="P219" s="372">
        <f>SUM(Yhteenveto[[#This Row],[Kunnan  peruspalvelujen valtionosuus ]:[Veroperustemuutoksista johtuvien veromenetysten korvaus]])</f>
        <v>9245754.9389089923</v>
      </c>
      <c r="Q219" s="34">
        <v>305214.4222400001</v>
      </c>
      <c r="R219" s="341">
        <f>+Yhteenveto[[#This Row],[Kunnan  peruspalvelujen valtionosuus ]]+Yhteenveto[[#This Row],[Veroperustemuutoksista johtuvien veromenetysten korvaus]]+Yhteenveto[[#This Row],[Kotikuntakorvaus, netto]]</f>
        <v>9550969.3611489926</v>
      </c>
      <c r="S219" s="11"/>
      <c r="T219"/>
    </row>
    <row r="220" spans="1:20" ht="15">
      <c r="A220" s="32">
        <v>697</v>
      </c>
      <c r="B220" s="13" t="s">
        <v>226</v>
      </c>
      <c r="C220" s="15">
        <v>1164</v>
      </c>
      <c r="D220" s="15">
        <f>Ikärakenne[[#This Row],[Laskennalliset kustannukset, IKÄRAKENNE yhteensä, €]]</f>
        <v>1257825.7999999998</v>
      </c>
      <c r="E220" s="15">
        <f>'Lask. kustannukset MUUT'!AD226</f>
        <v>827905.384249244</v>
      </c>
      <c r="F220" s="231">
        <f>Yhteenveto[[#This Row],[Ikärakenne, laskennallinen kustannus]]+Yhteenveto[[#This Row],[Muut laskennalliset kustannukset ]]</f>
        <v>2085731.1842492437</v>
      </c>
      <c r="G220" s="498">
        <v>1422.47</v>
      </c>
      <c r="H220" s="17">
        <v>1655755.08</v>
      </c>
      <c r="I220" s="339">
        <f>Yhteenveto[[#This Row],[Laskennalliset kustannukset yhteensä]]-Yhteenveto[[#This Row],[Omarahoitusosuus, €]]</f>
        <v>429976.10424924362</v>
      </c>
      <c r="J220" s="33">
        <v>158986.90720322405</v>
      </c>
      <c r="K220" s="34">
        <f>'Muut lis_väh'!O218</f>
        <v>-209615.32295441258</v>
      </c>
      <c r="L220" s="231">
        <f>Yhteenveto[[#This Row],[Valtionosuus omarahoitusosuuden jälkeen (välisumma)]]+Yhteenveto[[#This Row],[Lisäosat yhteensä]]+Yhteenveto[[#This Row],[Valtionosuuteen tehtävät vähennykset ja lisäykset, netto]]</f>
        <v>379347.6884980551</v>
      </c>
      <c r="M220" s="34">
        <f>'Verotuloihin perust tasaus'!N226</f>
        <v>467559.72855659318</v>
      </c>
      <c r="N220" s="303">
        <f>SUM(Yhteenveto[[#This Row],[Valtionosuus ennen verotuloihin perustuvaa valtionosuuden tasausta]]+Yhteenveto[[#This Row],[Verotuloihin perustuva valtionosuuden tasaus]])</f>
        <v>846907.41705464828</v>
      </c>
      <c r="O220" s="241">
        <v>218239.05770937426</v>
      </c>
      <c r="P220" s="372">
        <f>SUM(Yhteenveto[[#This Row],[Kunnan  peruspalvelujen valtionosuus ]:[Veroperustemuutoksista johtuvien veromenetysten korvaus]])</f>
        <v>1065146.4747640225</v>
      </c>
      <c r="Q220" s="34">
        <v>14059.079599999997</v>
      </c>
      <c r="R220" s="341">
        <f>+Yhteenveto[[#This Row],[Kunnan  peruspalvelujen valtionosuus ]]+Yhteenveto[[#This Row],[Veroperustemuutoksista johtuvien veromenetysten korvaus]]+Yhteenveto[[#This Row],[Kotikuntakorvaus, netto]]</f>
        <v>1079205.5543640226</v>
      </c>
      <c r="S220" s="11"/>
      <c r="T220"/>
    </row>
    <row r="221" spans="1:20" ht="15">
      <c r="A221" s="32">
        <v>698</v>
      </c>
      <c r="B221" s="13" t="s">
        <v>227</v>
      </c>
      <c r="C221" s="15">
        <v>65286</v>
      </c>
      <c r="D221" s="15">
        <f>Ikärakenne[[#This Row],[Laskennalliset kustannukset, IKÄRAKENNE yhteensä, €]]</f>
        <v>102712860.82000001</v>
      </c>
      <c r="E221" s="15">
        <f>'Lask. kustannukset MUUT'!AD227</f>
        <v>20214762.280093219</v>
      </c>
      <c r="F221" s="231">
        <f>Yhteenveto[[#This Row],[Ikärakenne, laskennallinen kustannus]]+Yhteenveto[[#This Row],[Muut laskennalliset kustannukset ]]</f>
        <v>122927623.10009323</v>
      </c>
      <c r="G221" s="498">
        <v>1422.47</v>
      </c>
      <c r="H221" s="17">
        <v>92867376.420000002</v>
      </c>
      <c r="I221" s="339">
        <f>Yhteenveto[[#This Row],[Laskennalliset kustannukset yhteensä]]-Yhteenveto[[#This Row],[Omarahoitusosuus, €]]</f>
        <v>30060246.680093229</v>
      </c>
      <c r="J221" s="33">
        <v>2739897.7227619984</v>
      </c>
      <c r="K221" s="34">
        <f>'Muut lis_väh'!O219</f>
        <v>-33029541.278012484</v>
      </c>
      <c r="L221" s="231">
        <f>Yhteenveto[[#This Row],[Valtionosuus omarahoitusosuuden jälkeen (välisumma)]]+Yhteenveto[[#This Row],[Lisäosat yhteensä]]+Yhteenveto[[#This Row],[Valtionosuuteen tehtävät vähennykset ja lisäykset, netto]]</f>
        <v>-229396.87515725568</v>
      </c>
      <c r="M221" s="34">
        <f>'Verotuloihin perust tasaus'!N227</f>
        <v>16484266.203426464</v>
      </c>
      <c r="N221" s="303">
        <f>SUM(Yhteenveto[[#This Row],[Valtionosuus ennen verotuloihin perustuvaa valtionosuuden tasausta]]+Yhteenveto[[#This Row],[Verotuloihin perustuva valtionosuuden tasaus]])</f>
        <v>16254869.328269208</v>
      </c>
      <c r="O221" s="241">
        <v>4951806.3278596159</v>
      </c>
      <c r="P221" s="372">
        <f>SUM(Yhteenveto[[#This Row],[Kunnan  peruspalvelujen valtionosuus ]:[Veroperustemuutoksista johtuvien veromenetysten korvaus]])</f>
        <v>21206675.656128824</v>
      </c>
      <c r="Q221" s="34">
        <v>-5391738.9853599994</v>
      </c>
      <c r="R221" s="341">
        <f>+Yhteenveto[[#This Row],[Kunnan  peruspalvelujen valtionosuus ]]+Yhteenveto[[#This Row],[Veroperustemuutoksista johtuvien veromenetysten korvaus]]+Yhteenveto[[#This Row],[Kotikuntakorvaus, netto]]</f>
        <v>15814936.670768823</v>
      </c>
      <c r="S221" s="11"/>
      <c r="T221"/>
    </row>
    <row r="222" spans="1:20" ht="15">
      <c r="A222" s="32">
        <v>700</v>
      </c>
      <c r="B222" s="13" t="s">
        <v>228</v>
      </c>
      <c r="C222" s="15">
        <v>4758</v>
      </c>
      <c r="D222" s="15">
        <f>Ikärakenne[[#This Row],[Laskennalliset kustannukset, IKÄRAKENNE yhteensä, €]]</f>
        <v>5687791.7300000004</v>
      </c>
      <c r="E222" s="15">
        <f>'Lask. kustannukset MUUT'!AD228</f>
        <v>1775114.3267868632</v>
      </c>
      <c r="F222" s="231">
        <f>Yhteenveto[[#This Row],[Ikärakenne, laskennallinen kustannus]]+Yhteenveto[[#This Row],[Muut laskennalliset kustannukset ]]</f>
        <v>7462906.0567868631</v>
      </c>
      <c r="G222" s="498">
        <v>1422.47</v>
      </c>
      <c r="H222" s="17">
        <v>6768112.2599999998</v>
      </c>
      <c r="I222" s="339">
        <f>Yhteenveto[[#This Row],[Laskennalliset kustannukset yhteensä]]-Yhteenveto[[#This Row],[Omarahoitusosuus, €]]</f>
        <v>694793.79678686336</v>
      </c>
      <c r="J222" s="33">
        <v>158264.82472722404</v>
      </c>
      <c r="K222" s="34">
        <f>'Muut lis_väh'!O220</f>
        <v>426630.86565348518</v>
      </c>
      <c r="L222" s="231">
        <f>Yhteenveto[[#This Row],[Valtionosuus omarahoitusosuuden jälkeen (välisumma)]]+Yhteenveto[[#This Row],[Lisäosat yhteensä]]+Yhteenveto[[#This Row],[Valtionosuuteen tehtävät vähennykset ja lisäykset, netto]]</f>
        <v>1279689.4871675726</v>
      </c>
      <c r="M222" s="34">
        <f>'Verotuloihin perust tasaus'!N228</f>
        <v>765375.55090331205</v>
      </c>
      <c r="N222" s="303">
        <f>SUM(Yhteenveto[[#This Row],[Valtionosuus ennen verotuloihin perustuvaa valtionosuuden tasausta]]+Yhteenveto[[#This Row],[Verotuloihin perustuva valtionosuuden tasaus]])</f>
        <v>2045065.0380708845</v>
      </c>
      <c r="O222" s="241">
        <v>530506.41007408069</v>
      </c>
      <c r="P222" s="372">
        <f>SUM(Yhteenveto[[#This Row],[Kunnan  peruspalvelujen valtionosuus ]:[Veroperustemuutoksista johtuvien veromenetysten korvaus]])</f>
        <v>2575571.4481449653</v>
      </c>
      <c r="Q222" s="34">
        <v>-33308.355290000007</v>
      </c>
      <c r="R222" s="341">
        <f>+Yhteenveto[[#This Row],[Kunnan  peruspalvelujen valtionosuus ]]+Yhteenveto[[#This Row],[Veroperustemuutoksista johtuvien veromenetysten korvaus]]+Yhteenveto[[#This Row],[Kotikuntakorvaus, netto]]</f>
        <v>2542263.0928549655</v>
      </c>
      <c r="S222" s="11"/>
      <c r="T222"/>
    </row>
    <row r="223" spans="1:20" ht="15">
      <c r="A223" s="32">
        <v>702</v>
      </c>
      <c r="B223" s="13" t="s">
        <v>229</v>
      </c>
      <c r="C223" s="15">
        <v>4124</v>
      </c>
      <c r="D223" s="15">
        <f>Ikärakenne[[#This Row],[Laskennalliset kustannukset, IKÄRAKENNE yhteensä, €]]</f>
        <v>4581824.5900000008</v>
      </c>
      <c r="E223" s="15">
        <f>'Lask. kustannukset MUUT'!AD229</f>
        <v>1385091.5672499915</v>
      </c>
      <c r="F223" s="231">
        <f>Yhteenveto[[#This Row],[Ikärakenne, laskennallinen kustannus]]+Yhteenveto[[#This Row],[Muut laskennalliset kustannukset ]]</f>
        <v>5966916.1572499927</v>
      </c>
      <c r="G223" s="498">
        <v>1422.47</v>
      </c>
      <c r="H223" s="17">
        <v>5866266.2800000003</v>
      </c>
      <c r="I223" s="339">
        <f>Yhteenveto[[#This Row],[Laskennalliset kustannukset yhteensä]]-Yhteenveto[[#This Row],[Omarahoitusosuus, €]]</f>
        <v>100649.87724999245</v>
      </c>
      <c r="J223" s="33">
        <v>563957.75299943029</v>
      </c>
      <c r="K223" s="34">
        <f>'Muut lis_väh'!O221</f>
        <v>661501.06836808613</v>
      </c>
      <c r="L223" s="231">
        <f>Yhteenveto[[#This Row],[Valtionosuus omarahoitusosuuden jälkeen (välisumma)]]+Yhteenveto[[#This Row],[Lisäosat yhteensä]]+Yhteenveto[[#This Row],[Valtionosuuteen tehtävät vähennykset ja lisäykset, netto]]</f>
        <v>1326108.6986175089</v>
      </c>
      <c r="M223" s="34">
        <f>'Verotuloihin perust tasaus'!N229</f>
        <v>1255481.8285796014</v>
      </c>
      <c r="N223" s="303">
        <f>SUM(Yhteenveto[[#This Row],[Valtionosuus ennen verotuloihin perustuvaa valtionosuuden tasausta]]+Yhteenveto[[#This Row],[Verotuloihin perustuva valtionosuuden tasaus]])</f>
        <v>2581590.5271971105</v>
      </c>
      <c r="O223" s="241">
        <v>645314.040662696</v>
      </c>
      <c r="P223" s="372">
        <f>SUM(Yhteenveto[[#This Row],[Kunnan  peruspalvelujen valtionosuus ]:[Veroperustemuutoksista johtuvien veromenetysten korvaus]])</f>
        <v>3226904.5678598066</v>
      </c>
      <c r="Q223" s="34">
        <v>6536.2111100000184</v>
      </c>
      <c r="R223" s="341">
        <f>+Yhteenveto[[#This Row],[Kunnan  peruspalvelujen valtionosuus ]]+Yhteenveto[[#This Row],[Veroperustemuutoksista johtuvien veromenetysten korvaus]]+Yhteenveto[[#This Row],[Kotikuntakorvaus, netto]]</f>
        <v>3233440.7789698066</v>
      </c>
      <c r="S223" s="11"/>
      <c r="T223"/>
    </row>
    <row r="224" spans="1:20" ht="15">
      <c r="A224" s="32">
        <v>704</v>
      </c>
      <c r="B224" s="13" t="s">
        <v>230</v>
      </c>
      <c r="C224" s="15">
        <v>6436</v>
      </c>
      <c r="D224" s="15">
        <f>Ikärakenne[[#This Row],[Laskennalliset kustannukset, IKÄRAKENNE yhteensä, €]]</f>
        <v>12131706.559999999</v>
      </c>
      <c r="E224" s="15">
        <f>'Lask. kustannukset MUUT'!AD230</f>
        <v>920282.36866568658</v>
      </c>
      <c r="F224" s="231">
        <f>Yhteenveto[[#This Row],[Ikärakenne, laskennallinen kustannus]]+Yhteenveto[[#This Row],[Muut laskennalliset kustannukset ]]</f>
        <v>13051988.928665685</v>
      </c>
      <c r="G224" s="498">
        <v>1422.47</v>
      </c>
      <c r="H224" s="17">
        <v>9155016.9199999999</v>
      </c>
      <c r="I224" s="339">
        <f>Yhteenveto[[#This Row],[Laskennalliset kustannukset yhteensä]]-Yhteenveto[[#This Row],[Omarahoitusosuus, €]]</f>
        <v>3896972.0086656846</v>
      </c>
      <c r="J224" s="33">
        <v>238386.91791315051</v>
      </c>
      <c r="K224" s="34">
        <f>'Muut lis_väh'!O222</f>
        <v>574919.22077028255</v>
      </c>
      <c r="L224" s="231">
        <f>Yhteenveto[[#This Row],[Valtionosuus omarahoitusosuuden jälkeen (välisumma)]]+Yhteenveto[[#This Row],[Lisäosat yhteensä]]+Yhteenveto[[#This Row],[Valtionosuuteen tehtävät vähennykset ja lisäykset, netto]]</f>
        <v>4710278.1473491173</v>
      </c>
      <c r="M224" s="34">
        <f>'Verotuloihin perust tasaus'!N230</f>
        <v>1156208.1114608077</v>
      </c>
      <c r="N224" s="303">
        <f>SUM(Yhteenveto[[#This Row],[Valtionosuus ennen verotuloihin perustuvaa valtionosuuden tasausta]]+Yhteenveto[[#This Row],[Verotuloihin perustuva valtionosuuden tasaus]])</f>
        <v>5866486.2588099251</v>
      </c>
      <c r="O224" s="241">
        <v>491997.0527872137</v>
      </c>
      <c r="P224" s="372">
        <f>SUM(Yhteenveto[[#This Row],[Kunnan  peruspalvelujen valtionosuus ]:[Veroperustemuutoksista johtuvien veromenetysten korvaus]])</f>
        <v>6358483.3115971386</v>
      </c>
      <c r="Q224" s="34">
        <v>89470.595580000081</v>
      </c>
      <c r="R224" s="341">
        <f>+Yhteenveto[[#This Row],[Kunnan  peruspalvelujen valtionosuus ]]+Yhteenveto[[#This Row],[Veroperustemuutoksista johtuvien veromenetysten korvaus]]+Yhteenveto[[#This Row],[Kotikuntakorvaus, netto]]</f>
        <v>6447953.9071771391</v>
      </c>
      <c r="S224" s="11"/>
      <c r="T224"/>
    </row>
    <row r="225" spans="1:20" ht="15">
      <c r="A225" s="32">
        <v>707</v>
      </c>
      <c r="B225" s="13" t="s">
        <v>231</v>
      </c>
      <c r="C225" s="15">
        <v>1902</v>
      </c>
      <c r="D225" s="15">
        <f>Ikärakenne[[#This Row],[Laskennalliset kustannukset, IKÄRAKENNE yhteensä, €]]</f>
        <v>1484729.6099999999</v>
      </c>
      <c r="E225" s="15">
        <f>'Lask. kustannukset MUUT'!AD231</f>
        <v>963316.9327259938</v>
      </c>
      <c r="F225" s="231">
        <f>Yhteenveto[[#This Row],[Ikärakenne, laskennallinen kustannus]]+Yhteenveto[[#This Row],[Muut laskennalliset kustannukset ]]</f>
        <v>2448046.5427259938</v>
      </c>
      <c r="G225" s="498">
        <v>1422.47</v>
      </c>
      <c r="H225" s="17">
        <v>2705537.94</v>
      </c>
      <c r="I225" s="339">
        <f>Yhteenveto[[#This Row],[Laskennalliset kustannukset yhteensä]]-Yhteenveto[[#This Row],[Omarahoitusosuus, €]]</f>
        <v>-257491.39727400616</v>
      </c>
      <c r="J225" s="33">
        <v>325997.4121237573</v>
      </c>
      <c r="K225" s="34">
        <f>'Muut lis_väh'!O223</f>
        <v>-172015.71015284216</v>
      </c>
      <c r="L225" s="231">
        <f>Yhteenveto[[#This Row],[Valtionosuus omarahoitusosuuden jälkeen (välisumma)]]+Yhteenveto[[#This Row],[Lisäosat yhteensä]]+Yhteenveto[[#This Row],[Valtionosuuteen tehtävät vähennykset ja lisäykset, netto]]</f>
        <v>-103509.69530309102</v>
      </c>
      <c r="M225" s="34">
        <f>'Verotuloihin perust tasaus'!N231</f>
        <v>1315334.7368006231</v>
      </c>
      <c r="N225" s="303">
        <f>SUM(Yhteenveto[[#This Row],[Valtionosuus ennen verotuloihin perustuvaa valtionosuuden tasausta]]+Yhteenveto[[#This Row],[Verotuloihin perustuva valtionosuuden tasaus]])</f>
        <v>1211825.041497532</v>
      </c>
      <c r="O225" s="241">
        <v>429742.6798343726</v>
      </c>
      <c r="P225" s="372">
        <f>SUM(Yhteenveto[[#This Row],[Kunnan  peruspalvelujen valtionosuus ]:[Veroperustemuutoksista johtuvien veromenetysten korvaus]])</f>
        <v>1641567.7213319046</v>
      </c>
      <c r="Q225" s="34">
        <v>-31112.806199999999</v>
      </c>
      <c r="R225" s="341">
        <f>+Yhteenveto[[#This Row],[Kunnan  peruspalvelujen valtionosuus ]]+Yhteenveto[[#This Row],[Veroperustemuutoksista johtuvien veromenetysten korvaus]]+Yhteenveto[[#This Row],[Kotikuntakorvaus, netto]]</f>
        <v>1610454.9151319047</v>
      </c>
      <c r="S225" s="11"/>
      <c r="T225"/>
    </row>
    <row r="226" spans="1:20" ht="15">
      <c r="A226" s="32">
        <v>710</v>
      </c>
      <c r="B226" s="13" t="s">
        <v>232</v>
      </c>
      <c r="C226" s="15">
        <v>27209</v>
      </c>
      <c r="D226" s="15">
        <f>Ikärakenne[[#This Row],[Laskennalliset kustannukset, IKÄRAKENNE yhteensä, €]]</f>
        <v>38649148.219999999</v>
      </c>
      <c r="E226" s="15">
        <f>'Lask. kustannukset MUUT'!AD232</f>
        <v>13184961.481714049</v>
      </c>
      <c r="F226" s="231">
        <f>Yhteenveto[[#This Row],[Ikärakenne, laskennallinen kustannus]]+Yhteenveto[[#This Row],[Muut laskennalliset kustannukset ]]</f>
        <v>51834109.701714046</v>
      </c>
      <c r="G226" s="498">
        <v>1422.47</v>
      </c>
      <c r="H226" s="17">
        <v>38703986.230000004</v>
      </c>
      <c r="I226" s="339">
        <f>Yhteenveto[[#This Row],[Laskennalliset kustannukset yhteensä]]-Yhteenveto[[#This Row],[Omarahoitusosuus, €]]</f>
        <v>13130123.471714042</v>
      </c>
      <c r="J226" s="33">
        <v>698665.61789008602</v>
      </c>
      <c r="K226" s="34">
        <f>'Muut lis_väh'!O224</f>
        <v>-4828243.43380039</v>
      </c>
      <c r="L226" s="231">
        <f>Yhteenveto[[#This Row],[Valtionosuus omarahoitusosuuden jälkeen (välisumma)]]+Yhteenveto[[#This Row],[Lisäosat yhteensä]]+Yhteenveto[[#This Row],[Valtionosuuteen tehtävät vähennykset ja lisäykset, netto]]</f>
        <v>9000545.6558037382</v>
      </c>
      <c r="M226" s="34">
        <f>'Verotuloihin perust tasaus'!N232</f>
        <v>7358979.8684084369</v>
      </c>
      <c r="N226" s="303">
        <f>SUM(Yhteenveto[[#This Row],[Valtionosuus ennen verotuloihin perustuvaa valtionosuuden tasausta]]+Yhteenveto[[#This Row],[Verotuloihin perustuva valtionosuuden tasaus]])</f>
        <v>16359525.524212174</v>
      </c>
      <c r="O226" s="241">
        <v>2882367.0891176602</v>
      </c>
      <c r="P226" s="372">
        <f>SUM(Yhteenveto[[#This Row],[Kunnan  peruspalvelujen valtionosuus ]:[Veroperustemuutoksista johtuvien veromenetysten korvaus]])</f>
        <v>19241892.613329835</v>
      </c>
      <c r="Q226" s="34">
        <v>-1180330.6582699998</v>
      </c>
      <c r="R226" s="341">
        <f>+Yhteenveto[[#This Row],[Kunnan  peruspalvelujen valtionosuus ]]+Yhteenveto[[#This Row],[Veroperustemuutoksista johtuvien veromenetysten korvaus]]+Yhteenveto[[#This Row],[Kotikuntakorvaus, netto]]</f>
        <v>18061561.955059834</v>
      </c>
      <c r="S226" s="11"/>
      <c r="T226"/>
    </row>
    <row r="227" spans="1:20" ht="15">
      <c r="A227" s="32">
        <v>729</v>
      </c>
      <c r="B227" s="13" t="s">
        <v>233</v>
      </c>
      <c r="C227" s="15">
        <v>8847</v>
      </c>
      <c r="D227" s="15">
        <f>Ikärakenne[[#This Row],[Laskennalliset kustannukset, IKÄRAKENNE yhteensä, €]]</f>
        <v>11376197.610000001</v>
      </c>
      <c r="E227" s="15">
        <f>'Lask. kustannukset MUUT'!AD233</f>
        <v>2851230.5382021894</v>
      </c>
      <c r="F227" s="231">
        <f>Yhteenveto[[#This Row],[Ikärakenne, laskennallinen kustannus]]+Yhteenveto[[#This Row],[Muut laskennalliset kustannukset ]]</f>
        <v>14227428.14820219</v>
      </c>
      <c r="G227" s="498">
        <v>1422.47</v>
      </c>
      <c r="H227" s="17">
        <v>12584592.09</v>
      </c>
      <c r="I227" s="339">
        <f>Yhteenveto[[#This Row],[Laskennalliset kustannukset yhteensä]]-Yhteenveto[[#This Row],[Omarahoitusosuus, €]]</f>
        <v>1642836.0582021903</v>
      </c>
      <c r="J227" s="33">
        <v>720001.59587251651</v>
      </c>
      <c r="K227" s="34">
        <f>'Muut lis_väh'!O225</f>
        <v>-761146.94186457922</v>
      </c>
      <c r="L227" s="231">
        <f>Yhteenveto[[#This Row],[Valtionosuus omarahoitusosuuden jälkeen (välisumma)]]+Yhteenveto[[#This Row],[Lisäosat yhteensä]]+Yhteenveto[[#This Row],[Valtionosuuteen tehtävät vähennykset ja lisäykset, netto]]</f>
        <v>1601690.7122101279</v>
      </c>
      <c r="M227" s="34">
        <f>'Verotuloihin perust tasaus'!N233</f>
        <v>4830720.9348836802</v>
      </c>
      <c r="N227" s="303">
        <f>SUM(Yhteenveto[[#This Row],[Valtionosuus ennen verotuloihin perustuvaa valtionosuuden tasausta]]+Yhteenveto[[#This Row],[Verotuloihin perustuva valtionosuuden tasaus]])</f>
        <v>6432411.6470938083</v>
      </c>
      <c r="O227" s="241">
        <v>1329415.8612721805</v>
      </c>
      <c r="P227" s="372">
        <f>SUM(Yhteenveto[[#This Row],[Kunnan  peruspalvelujen valtionosuus ]:[Veroperustemuutoksista johtuvien veromenetysten korvaus]])</f>
        <v>7761827.5083659887</v>
      </c>
      <c r="Q227" s="34">
        <v>68151.861199999985</v>
      </c>
      <c r="R227" s="341">
        <f>+Yhteenveto[[#This Row],[Kunnan  peruspalvelujen valtionosuus ]]+Yhteenveto[[#This Row],[Veroperustemuutoksista johtuvien veromenetysten korvaus]]+Yhteenveto[[#This Row],[Kotikuntakorvaus, netto]]</f>
        <v>7829979.3695659889</v>
      </c>
      <c r="S227" s="11"/>
      <c r="T227"/>
    </row>
    <row r="228" spans="1:20" ht="15">
      <c r="A228" s="32">
        <v>732</v>
      </c>
      <c r="B228" s="13" t="s">
        <v>234</v>
      </c>
      <c r="C228" s="15">
        <v>3344</v>
      </c>
      <c r="D228" s="15">
        <f>Ikärakenne[[#This Row],[Laskennalliset kustannukset, IKÄRAKENNE yhteensä, €]]</f>
        <v>2897532.4099999997</v>
      </c>
      <c r="E228" s="15">
        <f>'Lask. kustannukset MUUT'!AD234</f>
        <v>3572251.2514545023</v>
      </c>
      <c r="F228" s="231">
        <f>Yhteenveto[[#This Row],[Ikärakenne, laskennallinen kustannus]]+Yhteenveto[[#This Row],[Muut laskennalliset kustannukset ]]</f>
        <v>6469783.6614545025</v>
      </c>
      <c r="G228" s="498">
        <v>1422.47</v>
      </c>
      <c r="H228" s="17">
        <v>4756739.68</v>
      </c>
      <c r="I228" s="339">
        <f>Yhteenveto[[#This Row],[Laskennalliset kustannukset yhteensä]]-Yhteenveto[[#This Row],[Omarahoitusosuus, €]]</f>
        <v>1713043.9814545028</v>
      </c>
      <c r="J228" s="33">
        <v>1274773.3872989402</v>
      </c>
      <c r="K228" s="34">
        <f>'Muut lis_väh'!O226</f>
        <v>-416168.22690189665</v>
      </c>
      <c r="L228" s="231">
        <f>Yhteenveto[[#This Row],[Valtionosuus omarahoitusosuuden jälkeen (välisumma)]]+Yhteenveto[[#This Row],[Lisäosat yhteensä]]+Yhteenveto[[#This Row],[Valtionosuuteen tehtävät vähennykset ja lisäykset, netto]]</f>
        <v>2571649.1418515462</v>
      </c>
      <c r="M228" s="34">
        <f>'Verotuloihin perust tasaus'!N234</f>
        <v>1423189.2377616102</v>
      </c>
      <c r="N228" s="303">
        <f>SUM(Yhteenveto[[#This Row],[Valtionosuus ennen verotuloihin perustuvaa valtionosuuden tasausta]]+Yhteenveto[[#This Row],[Verotuloihin perustuva valtionosuuden tasaus]])</f>
        <v>3994838.3796131564</v>
      </c>
      <c r="O228" s="241">
        <v>574909.70712834504</v>
      </c>
      <c r="P228" s="372">
        <f>SUM(Yhteenveto[[#This Row],[Kunnan  peruspalvelujen valtionosuus ]:[Veroperustemuutoksista johtuvien veromenetysten korvaus]])</f>
        <v>4569748.0867415015</v>
      </c>
      <c r="Q228" s="34">
        <v>-78596.874710000004</v>
      </c>
      <c r="R228" s="341">
        <f>+Yhteenveto[[#This Row],[Kunnan  peruspalvelujen valtionosuus ]]+Yhteenveto[[#This Row],[Veroperustemuutoksista johtuvien veromenetysten korvaus]]+Yhteenveto[[#This Row],[Kotikuntakorvaus, netto]]</f>
        <v>4491151.2120315013</v>
      </c>
      <c r="S228" s="11"/>
      <c r="T228"/>
    </row>
    <row r="229" spans="1:20" ht="15">
      <c r="A229" s="32">
        <v>734</v>
      </c>
      <c r="B229" s="13" t="s">
        <v>235</v>
      </c>
      <c r="C229" s="15">
        <v>51100</v>
      </c>
      <c r="D229" s="15">
        <f>Ikärakenne[[#This Row],[Laskennalliset kustannukset, IKÄRAKENNE yhteensä, €]]</f>
        <v>69180675.400000006</v>
      </c>
      <c r="E229" s="15">
        <f>'Lask. kustannukset MUUT'!AD235</f>
        <v>16840011.433809027</v>
      </c>
      <c r="F229" s="231">
        <f>Yhteenveto[[#This Row],[Ikärakenne, laskennallinen kustannus]]+Yhteenveto[[#This Row],[Muut laskennalliset kustannukset ]]</f>
        <v>86020686.833809033</v>
      </c>
      <c r="G229" s="498">
        <v>1422.47</v>
      </c>
      <c r="H229" s="17">
        <v>72688217</v>
      </c>
      <c r="I229" s="339">
        <f>Yhteenveto[[#This Row],[Laskennalliset kustannukset yhteensä]]-Yhteenveto[[#This Row],[Omarahoitusosuus, €]]</f>
        <v>13332469.833809033</v>
      </c>
      <c r="J229" s="33">
        <v>1555484.8608014977</v>
      </c>
      <c r="K229" s="34">
        <f>'Muut lis_väh'!O227</f>
        <v>-4019453.6571072107</v>
      </c>
      <c r="L229" s="231">
        <f>Yhteenveto[[#This Row],[Valtionosuus omarahoitusosuuden jälkeen (välisumma)]]+Yhteenveto[[#This Row],[Lisäosat yhteensä]]+Yhteenveto[[#This Row],[Valtionosuuteen tehtävät vähennykset ja lisäykset, netto]]</f>
        <v>10868501.037503321</v>
      </c>
      <c r="M229" s="34">
        <f>'Verotuloihin perust tasaus'!N235</f>
        <v>13906122.752370413</v>
      </c>
      <c r="N229" s="303">
        <f>SUM(Yhteenveto[[#This Row],[Valtionosuus ennen verotuloihin perustuvaa valtionosuuden tasausta]]+Yhteenveto[[#This Row],[Verotuloihin perustuva valtionosuuden tasaus]])</f>
        <v>24774623.789873734</v>
      </c>
      <c r="O229" s="241">
        <v>6064033.5312326737</v>
      </c>
      <c r="P229" s="372">
        <f>SUM(Yhteenveto[[#This Row],[Kunnan  peruspalvelujen valtionosuus ]:[Veroperustemuutoksista johtuvien veromenetysten korvaus]])</f>
        <v>30838657.321106408</v>
      </c>
      <c r="Q229" s="34">
        <v>-566935.5371299996</v>
      </c>
      <c r="R229" s="341">
        <f>+Yhteenveto[[#This Row],[Kunnan  peruspalvelujen valtionosuus ]]+Yhteenveto[[#This Row],[Veroperustemuutoksista johtuvien veromenetysten korvaus]]+Yhteenveto[[#This Row],[Kotikuntakorvaus, netto]]</f>
        <v>30271721.78397641</v>
      </c>
      <c r="S229" s="11"/>
      <c r="T229"/>
    </row>
    <row r="230" spans="1:20" ht="15">
      <c r="A230" s="32">
        <v>738</v>
      </c>
      <c r="B230" s="13" t="s">
        <v>236</v>
      </c>
      <c r="C230" s="15">
        <v>2974</v>
      </c>
      <c r="D230" s="15">
        <f>Ikärakenne[[#This Row],[Laskennalliset kustannukset, IKÄRAKENNE yhteensä, €]]</f>
        <v>4613428.5999999996</v>
      </c>
      <c r="E230" s="15">
        <f>'Lask. kustannukset MUUT'!AD236</f>
        <v>840534.92175054795</v>
      </c>
      <c r="F230" s="231">
        <f>Yhteenveto[[#This Row],[Ikärakenne, laskennallinen kustannus]]+Yhteenveto[[#This Row],[Muut laskennalliset kustannukset ]]</f>
        <v>5453963.5217505479</v>
      </c>
      <c r="G230" s="498">
        <v>1422.47</v>
      </c>
      <c r="H230" s="17">
        <v>4230425.78</v>
      </c>
      <c r="I230" s="339">
        <f>Yhteenveto[[#This Row],[Laskennalliset kustannukset yhteensä]]-Yhteenveto[[#This Row],[Omarahoitusosuus, €]]</f>
        <v>1223537.7417505477</v>
      </c>
      <c r="J230" s="33">
        <v>66425.544306387063</v>
      </c>
      <c r="K230" s="34">
        <f>'Muut lis_väh'!O228</f>
        <v>-50290.28951617291</v>
      </c>
      <c r="L230" s="231">
        <f>Yhteenveto[[#This Row],[Valtionosuus omarahoitusosuuden jälkeen (välisumma)]]+Yhteenveto[[#This Row],[Lisäosat yhteensä]]+Yhteenveto[[#This Row],[Valtionosuuteen tehtävät vähennykset ja lisäykset, netto]]</f>
        <v>1239672.9965407618</v>
      </c>
      <c r="M230" s="34">
        <f>'Verotuloihin perust tasaus'!N236</f>
        <v>720702.82502848248</v>
      </c>
      <c r="N230" s="303">
        <f>SUM(Yhteenveto[[#This Row],[Valtionosuus ennen verotuloihin perustuvaa valtionosuuden tasausta]]+Yhteenveto[[#This Row],[Verotuloihin perustuva valtionosuuden tasaus]])</f>
        <v>1960375.8215692444</v>
      </c>
      <c r="O230" s="241">
        <v>372753.54972586839</v>
      </c>
      <c r="P230" s="372">
        <f>SUM(Yhteenveto[[#This Row],[Kunnan  peruspalvelujen valtionosuus ]:[Veroperustemuutoksista johtuvien veromenetysten korvaus]])</f>
        <v>2333129.3712951127</v>
      </c>
      <c r="Q230" s="34">
        <v>131280.59609000004</v>
      </c>
      <c r="R230" s="341">
        <f>+Yhteenveto[[#This Row],[Kunnan  peruspalvelujen valtionosuus ]]+Yhteenveto[[#This Row],[Veroperustemuutoksista johtuvien veromenetysten korvaus]]+Yhteenveto[[#This Row],[Kotikuntakorvaus, netto]]</f>
        <v>2464409.9673851128</v>
      </c>
      <c r="S230" s="11"/>
      <c r="T230"/>
    </row>
    <row r="231" spans="1:20" ht="15">
      <c r="A231" s="32">
        <v>739</v>
      </c>
      <c r="B231" s="13" t="s">
        <v>237</v>
      </c>
      <c r="C231" s="15">
        <v>3216</v>
      </c>
      <c r="D231" s="15">
        <f>Ikärakenne[[#This Row],[Laskennalliset kustannukset, IKÄRAKENNE yhteensä, €]]</f>
        <v>3726737.5</v>
      </c>
      <c r="E231" s="15">
        <f>'Lask. kustannukset MUUT'!AD237</f>
        <v>1007506.3317872171</v>
      </c>
      <c r="F231" s="231">
        <f>Yhteenveto[[#This Row],[Ikärakenne, laskennallinen kustannus]]+Yhteenveto[[#This Row],[Muut laskennalliset kustannukset ]]</f>
        <v>4734243.8317872174</v>
      </c>
      <c r="G231" s="498">
        <v>1422.47</v>
      </c>
      <c r="H231" s="17">
        <v>4574663.5200000005</v>
      </c>
      <c r="I231" s="339">
        <f>Yhteenveto[[#This Row],[Laskennalliset kustannukset yhteensä]]-Yhteenveto[[#This Row],[Omarahoitusosuus, €]]</f>
        <v>159580.31178721692</v>
      </c>
      <c r="J231" s="33">
        <v>232746.43809105194</v>
      </c>
      <c r="K231" s="34">
        <f>'Muut lis_väh'!O229</f>
        <v>1887186.7859472532</v>
      </c>
      <c r="L231" s="231">
        <f>Yhteenveto[[#This Row],[Valtionosuus omarahoitusosuuden jälkeen (välisumma)]]+Yhteenveto[[#This Row],[Lisäosat yhteensä]]+Yhteenveto[[#This Row],[Valtionosuuteen tehtävät vähennykset ja lisäykset, netto]]</f>
        <v>2279513.5358255222</v>
      </c>
      <c r="M231" s="34">
        <f>'Verotuloihin perust tasaus'!N237</f>
        <v>1210899.5914330925</v>
      </c>
      <c r="N231" s="303">
        <f>SUM(Yhteenveto[[#This Row],[Valtionosuus ennen verotuloihin perustuvaa valtionosuuden tasausta]]+Yhteenveto[[#This Row],[Verotuloihin perustuva valtionosuuden tasaus]])</f>
        <v>3490413.1272586146</v>
      </c>
      <c r="O231" s="241">
        <v>525232.59579713224</v>
      </c>
      <c r="P231" s="372">
        <f>SUM(Yhteenveto[[#This Row],[Kunnan  peruspalvelujen valtionosuus ]:[Veroperustemuutoksista johtuvien veromenetysten korvaus]])</f>
        <v>4015645.7230557469</v>
      </c>
      <c r="Q231" s="34">
        <v>74552.525129999995</v>
      </c>
      <c r="R231" s="341">
        <f>+Yhteenveto[[#This Row],[Kunnan  peruspalvelujen valtionosuus ]]+Yhteenveto[[#This Row],[Veroperustemuutoksista johtuvien veromenetysten korvaus]]+Yhteenveto[[#This Row],[Kotikuntakorvaus, netto]]</f>
        <v>4090198.2481857468</v>
      </c>
      <c r="S231" s="11"/>
      <c r="T231"/>
    </row>
    <row r="232" spans="1:20" ht="15">
      <c r="A232" s="32">
        <v>740</v>
      </c>
      <c r="B232" s="13" t="s">
        <v>238</v>
      </c>
      <c r="C232" s="15">
        <v>31843</v>
      </c>
      <c r="D232" s="15">
        <f>Ikärakenne[[#This Row],[Laskennalliset kustannukset, IKÄRAKENNE yhteensä, €]]</f>
        <v>36152165.640000001</v>
      </c>
      <c r="E232" s="15">
        <f>'Lask. kustannukset MUUT'!AD238</f>
        <v>10918548.316568788</v>
      </c>
      <c r="F232" s="231">
        <f>Yhteenveto[[#This Row],[Ikärakenne, laskennallinen kustannus]]+Yhteenveto[[#This Row],[Muut laskennalliset kustannukset ]]</f>
        <v>47070713.956568792</v>
      </c>
      <c r="G232" s="498">
        <v>1422.47</v>
      </c>
      <c r="H232" s="17">
        <v>45295712.210000001</v>
      </c>
      <c r="I232" s="339">
        <f>Yhteenveto[[#This Row],[Laskennalliset kustannukset yhteensä]]-Yhteenveto[[#This Row],[Omarahoitusosuus, €]]</f>
        <v>1775001.7465687916</v>
      </c>
      <c r="J232" s="33">
        <v>1750459.0968300379</v>
      </c>
      <c r="K232" s="34">
        <f>'Muut lis_väh'!O230</f>
        <v>-8656499.0625440236</v>
      </c>
      <c r="L232" s="231">
        <f>Yhteenveto[[#This Row],[Valtionosuus omarahoitusosuuden jälkeen (välisumma)]]+Yhteenveto[[#This Row],[Lisäosat yhteensä]]+Yhteenveto[[#This Row],[Valtionosuuteen tehtävät vähennykset ja lisäykset, netto]]</f>
        <v>-5131038.2191451937</v>
      </c>
      <c r="M232" s="34">
        <f>'Verotuloihin perust tasaus'!N238</f>
        <v>9061542.1390389912</v>
      </c>
      <c r="N232" s="303">
        <f>SUM(Yhteenveto[[#This Row],[Valtionosuus ennen verotuloihin perustuvaa valtionosuuden tasausta]]+Yhteenveto[[#This Row],[Verotuloihin perustuva valtionosuuden tasaus]])</f>
        <v>3930503.9198937975</v>
      </c>
      <c r="O232" s="241">
        <v>3986399.7455965029</v>
      </c>
      <c r="P232" s="372">
        <f>SUM(Yhteenveto[[#This Row],[Kunnan  peruspalvelujen valtionosuus ]:[Veroperustemuutoksista johtuvien veromenetysten korvaus]])</f>
        <v>7916903.6654903004</v>
      </c>
      <c r="Q232" s="34">
        <v>-322758.32526999991</v>
      </c>
      <c r="R232" s="341">
        <f>+Yhteenveto[[#This Row],[Kunnan  peruspalvelujen valtionosuus ]]+Yhteenveto[[#This Row],[Veroperustemuutoksista johtuvien veromenetysten korvaus]]+Yhteenveto[[#This Row],[Kotikuntakorvaus, netto]]</f>
        <v>7594145.3402203005</v>
      </c>
      <c r="S232" s="11"/>
      <c r="T232"/>
    </row>
    <row r="233" spans="1:20" ht="15">
      <c r="A233" s="32">
        <v>742</v>
      </c>
      <c r="B233" s="13" t="s">
        <v>239</v>
      </c>
      <c r="C233" s="15">
        <v>978</v>
      </c>
      <c r="D233" s="15">
        <f>Ikärakenne[[#This Row],[Laskennalliset kustannukset, IKÄRAKENNE yhteensä, €]]</f>
        <v>1042667.9199999999</v>
      </c>
      <c r="E233" s="15">
        <f>'Lask. kustannukset MUUT'!AD239</f>
        <v>1027709.3760494955</v>
      </c>
      <c r="F233" s="231">
        <f>Yhteenveto[[#This Row],[Ikärakenne, laskennallinen kustannus]]+Yhteenveto[[#This Row],[Muut laskennalliset kustannukset ]]</f>
        <v>2070377.2960494955</v>
      </c>
      <c r="G233" s="498">
        <v>1422.47</v>
      </c>
      <c r="H233" s="17">
        <v>1391175.66</v>
      </c>
      <c r="I233" s="339">
        <f>Yhteenveto[[#This Row],[Laskennalliset kustannukset yhteensä]]-Yhteenveto[[#This Row],[Omarahoitusosuus, €]]</f>
        <v>679201.63604949554</v>
      </c>
      <c r="J233" s="33">
        <v>394000.71543224162</v>
      </c>
      <c r="K233" s="34">
        <f>'Muut lis_väh'!O231</f>
        <v>191546.94199282129</v>
      </c>
      <c r="L233" s="231">
        <f>Yhteenveto[[#This Row],[Valtionosuus omarahoitusosuuden jälkeen (välisumma)]]+Yhteenveto[[#This Row],[Lisäosat yhteensä]]+Yhteenveto[[#This Row],[Valtionosuuteen tehtävät vähennykset ja lisäykset, netto]]</f>
        <v>1264749.2934745583</v>
      </c>
      <c r="M233" s="34">
        <f>'Verotuloihin perust tasaus'!N239</f>
        <v>33597.072867208597</v>
      </c>
      <c r="N233" s="303">
        <f>SUM(Yhteenveto[[#This Row],[Valtionosuus ennen verotuloihin perustuvaa valtionosuuden tasausta]]+Yhteenveto[[#This Row],[Verotuloihin perustuva valtionosuuden tasaus]])</f>
        <v>1298346.3663417669</v>
      </c>
      <c r="O233" s="241">
        <v>168298.41816568087</v>
      </c>
      <c r="P233" s="372">
        <f>SUM(Yhteenveto[[#This Row],[Kunnan  peruspalvelujen valtionosuus ]:[Veroperustemuutoksista johtuvien veromenetysten korvaus]])</f>
        <v>1466644.7845074479</v>
      </c>
      <c r="Q233" s="34">
        <v>29557.16589</v>
      </c>
      <c r="R233" s="341">
        <f>+Yhteenveto[[#This Row],[Kunnan  peruspalvelujen valtionosuus ]]+Yhteenveto[[#This Row],[Veroperustemuutoksista johtuvien veromenetysten korvaus]]+Yhteenveto[[#This Row],[Kotikuntakorvaus, netto]]</f>
        <v>1496201.9503974479</v>
      </c>
      <c r="S233" s="11"/>
      <c r="T233"/>
    </row>
    <row r="234" spans="1:20" ht="15">
      <c r="A234" s="32">
        <v>743</v>
      </c>
      <c r="B234" s="13" t="s">
        <v>240</v>
      </c>
      <c r="C234" s="15">
        <v>66160</v>
      </c>
      <c r="D234" s="15">
        <f>Ikärakenne[[#This Row],[Laskennalliset kustannukset, IKÄRAKENNE yhteensä, €]]</f>
        <v>108648811.20000002</v>
      </c>
      <c r="E234" s="15">
        <f>'Lask. kustannukset MUUT'!AD240</f>
        <v>13604925.439056529</v>
      </c>
      <c r="F234" s="231">
        <f>Yhteenveto[[#This Row],[Ikärakenne, laskennallinen kustannus]]+Yhteenveto[[#This Row],[Muut laskennalliset kustannukset ]]</f>
        <v>122253736.63905655</v>
      </c>
      <c r="G234" s="498">
        <v>1422.47</v>
      </c>
      <c r="H234" s="17">
        <v>94110615.200000003</v>
      </c>
      <c r="I234" s="339">
        <f>Yhteenveto[[#This Row],[Laskennalliset kustannukset yhteensä]]-Yhteenveto[[#This Row],[Omarahoitusosuus, €]]</f>
        <v>28143121.439056545</v>
      </c>
      <c r="J234" s="33">
        <v>3071102.3594080829</v>
      </c>
      <c r="K234" s="34">
        <f>'Muut lis_väh'!O232</f>
        <v>-16796857.74375847</v>
      </c>
      <c r="L234" s="231">
        <f>Yhteenveto[[#This Row],[Valtionosuus omarahoitusosuuden jälkeen (välisumma)]]+Yhteenveto[[#This Row],[Lisäosat yhteensä]]+Yhteenveto[[#This Row],[Valtionosuuteen tehtävät vähennykset ja lisäykset, netto]]</f>
        <v>14417366.05470616</v>
      </c>
      <c r="M234" s="34">
        <f>'Verotuloihin perust tasaus'!N240</f>
        <v>11819093.214802328</v>
      </c>
      <c r="N234" s="303">
        <f>SUM(Yhteenveto[[#This Row],[Valtionosuus ennen verotuloihin perustuvaa valtionosuuden tasausta]]+Yhteenveto[[#This Row],[Verotuloihin perustuva valtionosuuden tasaus]])</f>
        <v>26236459.269508488</v>
      </c>
      <c r="O234" s="241">
        <v>5303946.0687742215</v>
      </c>
      <c r="P234" s="372">
        <f>SUM(Yhteenveto[[#This Row],[Kunnan  peruspalvelujen valtionosuus ]:[Veroperustemuutoksista johtuvien veromenetysten korvaus]])</f>
        <v>31540405.338282712</v>
      </c>
      <c r="Q234" s="34">
        <v>-40522.302299999632</v>
      </c>
      <c r="R234" s="341">
        <f>+Yhteenveto[[#This Row],[Kunnan  peruspalvelujen valtionosuus ]]+Yhteenveto[[#This Row],[Veroperustemuutoksista johtuvien veromenetysten korvaus]]+Yhteenveto[[#This Row],[Kotikuntakorvaus, netto]]</f>
        <v>31499883.035982713</v>
      </c>
      <c r="S234" s="11"/>
      <c r="T234"/>
    </row>
    <row r="235" spans="1:20" ht="15">
      <c r="A235" s="32">
        <v>746</v>
      </c>
      <c r="B235" s="13" t="s">
        <v>241</v>
      </c>
      <c r="C235" s="15">
        <v>4713</v>
      </c>
      <c r="D235" s="15">
        <f>Ikärakenne[[#This Row],[Laskennalliset kustannukset, IKÄRAKENNE yhteensä, €]]</f>
        <v>10955080.380000001</v>
      </c>
      <c r="E235" s="15">
        <f>'Lask. kustannukset MUUT'!AD241</f>
        <v>1502504.7629332929</v>
      </c>
      <c r="F235" s="231">
        <f>Yhteenveto[[#This Row],[Ikärakenne, laskennallinen kustannus]]+Yhteenveto[[#This Row],[Muut laskennalliset kustannukset ]]</f>
        <v>12457585.142933294</v>
      </c>
      <c r="G235" s="498">
        <v>1422.47</v>
      </c>
      <c r="H235" s="17">
        <v>6704101.1100000003</v>
      </c>
      <c r="I235" s="339">
        <f>Yhteenveto[[#This Row],[Laskennalliset kustannukset yhteensä]]-Yhteenveto[[#This Row],[Omarahoitusosuus, €]]</f>
        <v>5753484.0329332938</v>
      </c>
      <c r="J235" s="33">
        <v>219016.95542060037</v>
      </c>
      <c r="K235" s="34">
        <f>'Muut lis_väh'!O233</f>
        <v>-1082430.7928925066</v>
      </c>
      <c r="L235" s="231">
        <f>Yhteenveto[[#This Row],[Valtionosuus omarahoitusosuuden jälkeen (välisumma)]]+Yhteenveto[[#This Row],[Lisäosat yhteensä]]+Yhteenveto[[#This Row],[Valtionosuuteen tehtävät vähennykset ja lisäykset, netto]]</f>
        <v>4890070.1954613877</v>
      </c>
      <c r="M235" s="34">
        <f>'Verotuloihin perust tasaus'!N241</f>
        <v>1856231.8422539919</v>
      </c>
      <c r="N235" s="303">
        <f>SUM(Yhteenveto[[#This Row],[Valtionosuus ennen verotuloihin perustuvaa valtionosuuden tasausta]]+Yhteenveto[[#This Row],[Verotuloihin perustuva valtionosuuden tasaus]])</f>
        <v>6746302.0377153791</v>
      </c>
      <c r="O235" s="241">
        <v>585740.33810837299</v>
      </c>
      <c r="P235" s="372">
        <f>SUM(Yhteenveto[[#This Row],[Kunnan  peruspalvelujen valtionosuus ]:[Veroperustemuutoksista johtuvien veromenetysten korvaus]])</f>
        <v>7332042.375823752</v>
      </c>
      <c r="Q235" s="34">
        <v>10370.935399999988</v>
      </c>
      <c r="R235" s="341">
        <f>+Yhteenveto[[#This Row],[Kunnan  peruspalvelujen valtionosuus ]]+Yhteenveto[[#This Row],[Veroperustemuutoksista johtuvien veromenetysten korvaus]]+Yhteenveto[[#This Row],[Kotikuntakorvaus, netto]]</f>
        <v>7342413.3112237519</v>
      </c>
      <c r="S235" s="11"/>
      <c r="T235"/>
    </row>
    <row r="236" spans="1:20" ht="15">
      <c r="A236" s="32">
        <v>747</v>
      </c>
      <c r="B236" s="13" t="s">
        <v>242</v>
      </c>
      <c r="C236" s="15">
        <v>1283</v>
      </c>
      <c r="D236" s="15">
        <f>Ikärakenne[[#This Row],[Laskennalliset kustannukset, IKÄRAKENNE yhteensä, €]]</f>
        <v>1396805.5299999998</v>
      </c>
      <c r="E236" s="15">
        <f>'Lask. kustannukset MUUT'!AD242</f>
        <v>583084.75823172333</v>
      </c>
      <c r="F236" s="231">
        <f>Yhteenveto[[#This Row],[Ikärakenne, laskennallinen kustannus]]+Yhteenveto[[#This Row],[Muut laskennalliset kustannukset ]]</f>
        <v>1979890.288231723</v>
      </c>
      <c r="G236" s="498">
        <v>1422.47</v>
      </c>
      <c r="H236" s="17">
        <v>1825029.01</v>
      </c>
      <c r="I236" s="339">
        <f>Yhteenveto[[#This Row],[Laskennalliset kustannukset yhteensä]]-Yhteenveto[[#This Row],[Omarahoitusosuus, €]]</f>
        <v>154861.278231723</v>
      </c>
      <c r="J236" s="33">
        <v>179974.86242181994</v>
      </c>
      <c r="K236" s="34">
        <f>'Muut lis_väh'!O234</f>
        <v>631496.77216587227</v>
      </c>
      <c r="L236" s="231">
        <f>Yhteenveto[[#This Row],[Valtionosuus omarahoitusosuuden jälkeen (välisumma)]]+Yhteenveto[[#This Row],[Lisäosat yhteensä]]+Yhteenveto[[#This Row],[Valtionosuuteen tehtävät vähennykset ja lisäykset, netto]]</f>
        <v>966332.91281941521</v>
      </c>
      <c r="M236" s="34">
        <f>'Verotuloihin perust tasaus'!N242</f>
        <v>594936.7452838975</v>
      </c>
      <c r="N236" s="303">
        <f>SUM(Yhteenveto[[#This Row],[Valtionosuus ennen verotuloihin perustuvaa valtionosuuden tasausta]]+Yhteenveto[[#This Row],[Verotuloihin perustuva valtionosuuden tasaus]])</f>
        <v>1561269.6581033128</v>
      </c>
      <c r="O236" s="241">
        <v>263160.0820911185</v>
      </c>
      <c r="P236" s="372">
        <f>SUM(Yhteenveto[[#This Row],[Kunnan  peruspalvelujen valtionosuus ]:[Veroperustemuutoksista johtuvien veromenetysten korvaus]])</f>
        <v>1824429.7401944313</v>
      </c>
      <c r="Q236" s="34">
        <v>51854.676999999981</v>
      </c>
      <c r="R236" s="341">
        <f>+Yhteenveto[[#This Row],[Kunnan  peruspalvelujen valtionosuus ]]+Yhteenveto[[#This Row],[Veroperustemuutoksista johtuvien veromenetysten korvaus]]+Yhteenveto[[#This Row],[Kotikuntakorvaus, netto]]</f>
        <v>1876284.4171944312</v>
      </c>
      <c r="S236" s="11"/>
      <c r="T236"/>
    </row>
    <row r="237" spans="1:20" ht="15">
      <c r="A237" s="32">
        <v>748</v>
      </c>
      <c r="B237" s="13" t="s">
        <v>243</v>
      </c>
      <c r="C237" s="15">
        <v>4837</v>
      </c>
      <c r="D237" s="15">
        <f>Ikärakenne[[#This Row],[Laskennalliset kustannukset, IKÄRAKENNE yhteensä, €]]</f>
        <v>9726036.9900000002</v>
      </c>
      <c r="E237" s="15">
        <f>'Lask. kustannukset MUUT'!AD243</f>
        <v>1592945.0608632057</v>
      </c>
      <c r="F237" s="231">
        <f>Yhteenveto[[#This Row],[Ikärakenne, laskennallinen kustannus]]+Yhteenveto[[#This Row],[Muut laskennalliset kustannukset ]]</f>
        <v>11318982.050863206</v>
      </c>
      <c r="G237" s="498">
        <v>1422.47</v>
      </c>
      <c r="H237" s="17">
        <v>6880487.3900000006</v>
      </c>
      <c r="I237" s="339">
        <f>Yhteenveto[[#This Row],[Laskennalliset kustannukset yhteensä]]-Yhteenveto[[#This Row],[Omarahoitusosuus, €]]</f>
        <v>4438494.6608632058</v>
      </c>
      <c r="J237" s="33">
        <v>315549.48144531174</v>
      </c>
      <c r="K237" s="34">
        <f>'Muut lis_väh'!O235</f>
        <v>-1901404.0844557825</v>
      </c>
      <c r="L237" s="231">
        <f>Yhteenveto[[#This Row],[Valtionosuus omarahoitusosuuden jälkeen (välisumma)]]+Yhteenveto[[#This Row],[Lisäosat yhteensä]]+Yhteenveto[[#This Row],[Valtionosuuteen tehtävät vähennykset ja lisäykset, netto]]</f>
        <v>2852640.0578527348</v>
      </c>
      <c r="M237" s="34">
        <f>'Verotuloihin perust tasaus'!N243</f>
        <v>2460771.4944246211</v>
      </c>
      <c r="N237" s="303">
        <f>SUM(Yhteenveto[[#This Row],[Valtionosuus ennen verotuloihin perustuvaa valtionosuuden tasausta]]+Yhteenveto[[#This Row],[Verotuloihin perustuva valtionosuuden tasaus]])</f>
        <v>5313411.5522773564</v>
      </c>
      <c r="O237" s="241">
        <v>686244.46734877187</v>
      </c>
      <c r="P237" s="372">
        <f>SUM(Yhteenveto[[#This Row],[Kunnan  peruspalvelujen valtionosuus ]:[Veroperustemuutoksista johtuvien veromenetysten korvaus]])</f>
        <v>5999656.0196261285</v>
      </c>
      <c r="Q237" s="34">
        <v>155415.87478000001</v>
      </c>
      <c r="R237" s="341">
        <f>+Yhteenveto[[#This Row],[Kunnan  peruspalvelujen valtionosuus ]]+Yhteenveto[[#This Row],[Veroperustemuutoksista johtuvien veromenetysten korvaus]]+Yhteenveto[[#This Row],[Kotikuntakorvaus, netto]]</f>
        <v>6155071.8944061287</v>
      </c>
      <c r="S237" s="11"/>
      <c r="T237"/>
    </row>
    <row r="238" spans="1:20" ht="15">
      <c r="A238" s="32">
        <v>749</v>
      </c>
      <c r="B238" s="13" t="s">
        <v>244</v>
      </c>
      <c r="C238" s="15">
        <v>21290</v>
      </c>
      <c r="D238" s="15">
        <f>Ikärakenne[[#This Row],[Laskennalliset kustannukset, IKÄRAKENNE yhteensä, €]]</f>
        <v>39119542.360000007</v>
      </c>
      <c r="E238" s="15">
        <f>'Lask. kustannukset MUUT'!AD244</f>
        <v>3330428.8556683497</v>
      </c>
      <c r="F238" s="231">
        <f>Yhteenveto[[#This Row],[Ikärakenne, laskennallinen kustannus]]+Yhteenveto[[#This Row],[Muut laskennalliset kustannukset ]]</f>
        <v>42449971.215668358</v>
      </c>
      <c r="G238" s="498">
        <v>1422.47</v>
      </c>
      <c r="H238" s="17">
        <v>30284386.300000001</v>
      </c>
      <c r="I238" s="339">
        <f>Yhteenveto[[#This Row],[Laskennalliset kustannukset yhteensä]]-Yhteenveto[[#This Row],[Omarahoitusosuus, €]]</f>
        <v>12165584.915668357</v>
      </c>
      <c r="J238" s="33">
        <v>678828.06670348207</v>
      </c>
      <c r="K238" s="34">
        <f>'Muut lis_väh'!O236</f>
        <v>-5845854.503983519</v>
      </c>
      <c r="L238" s="231">
        <f>Yhteenveto[[#This Row],[Valtionosuus omarahoitusosuuden jälkeen (välisumma)]]+Yhteenveto[[#This Row],[Lisäosat yhteensä]]+Yhteenveto[[#This Row],[Valtionosuuteen tehtävät vähennykset ja lisäykset, netto]]</f>
        <v>6998558.4783883197</v>
      </c>
      <c r="M238" s="34">
        <f>'Verotuloihin perust tasaus'!N244</f>
        <v>3507815.4277914893</v>
      </c>
      <c r="N238" s="303">
        <f>SUM(Yhteenveto[[#This Row],[Valtionosuus ennen verotuloihin perustuvaa valtionosuuden tasausta]]+Yhteenveto[[#This Row],[Verotuloihin perustuva valtionosuuden tasaus]])</f>
        <v>10506373.906179808</v>
      </c>
      <c r="O238" s="241">
        <v>1394369.3195096496</v>
      </c>
      <c r="P238" s="372">
        <f>SUM(Yhteenveto[[#This Row],[Kunnan  peruspalvelujen valtionosuus ]:[Veroperustemuutoksista johtuvien veromenetysten korvaus]])</f>
        <v>11900743.225689458</v>
      </c>
      <c r="Q238" s="34">
        <v>300520.70709999977</v>
      </c>
      <c r="R238" s="341">
        <f>+Yhteenveto[[#This Row],[Kunnan  peruspalvelujen valtionosuus ]]+Yhteenveto[[#This Row],[Veroperustemuutoksista johtuvien veromenetysten korvaus]]+Yhteenveto[[#This Row],[Kotikuntakorvaus, netto]]</f>
        <v>12201263.932789458</v>
      </c>
      <c r="S238" s="11"/>
      <c r="T238"/>
    </row>
    <row r="239" spans="1:20" ht="15">
      <c r="A239" s="32">
        <v>751</v>
      </c>
      <c r="B239" s="13" t="s">
        <v>245</v>
      </c>
      <c r="C239" s="15">
        <v>2828</v>
      </c>
      <c r="D239" s="15">
        <f>Ikärakenne[[#This Row],[Laskennalliset kustannukset, IKÄRAKENNE yhteensä, €]]</f>
        <v>3679309.6999999997</v>
      </c>
      <c r="E239" s="15">
        <f>'Lask. kustannukset MUUT'!AD245</f>
        <v>1561953.9751206667</v>
      </c>
      <c r="F239" s="231">
        <f>Yhteenveto[[#This Row],[Ikärakenne, laskennallinen kustannus]]+Yhteenveto[[#This Row],[Muut laskennalliset kustannukset ]]</f>
        <v>5241263.6751206666</v>
      </c>
      <c r="G239" s="498">
        <v>1422.47</v>
      </c>
      <c r="H239" s="17">
        <v>4022745.16</v>
      </c>
      <c r="I239" s="339">
        <f>Yhteenveto[[#This Row],[Laskennalliset kustannukset yhteensä]]-Yhteenveto[[#This Row],[Omarahoitusosuus, €]]</f>
        <v>1218518.5151206665</v>
      </c>
      <c r="J239" s="33">
        <v>217514.44486891374</v>
      </c>
      <c r="K239" s="34">
        <f>'Muut lis_väh'!O237</f>
        <v>188168.95071342101</v>
      </c>
      <c r="L239" s="231">
        <f>Yhteenveto[[#This Row],[Valtionosuus omarahoitusosuuden jälkeen (välisumma)]]+Yhteenveto[[#This Row],[Lisäosat yhteensä]]+Yhteenveto[[#This Row],[Valtionosuuteen tehtävät vähennykset ja lisäykset, netto]]</f>
        <v>1624201.9107030013</v>
      </c>
      <c r="M239" s="34">
        <f>'Verotuloihin perust tasaus'!N245</f>
        <v>1225190.6245753835</v>
      </c>
      <c r="N239" s="303">
        <f>SUM(Yhteenveto[[#This Row],[Valtionosuus ennen verotuloihin perustuvaa valtionosuuden tasausta]]+Yhteenveto[[#This Row],[Verotuloihin perustuva valtionosuuden tasaus]])</f>
        <v>2849392.5352783846</v>
      </c>
      <c r="O239" s="241">
        <v>325918.93425764452</v>
      </c>
      <c r="P239" s="372">
        <f>SUM(Yhteenveto[[#This Row],[Kunnan  peruspalvelujen valtionosuus ]:[Veroperustemuutoksista johtuvien veromenetysten korvaus]])</f>
        <v>3175311.4695360293</v>
      </c>
      <c r="Q239" s="34">
        <v>68077.783089999983</v>
      </c>
      <c r="R239" s="341">
        <f>+Yhteenveto[[#This Row],[Kunnan  peruspalvelujen valtionosuus ]]+Yhteenveto[[#This Row],[Veroperustemuutoksista johtuvien veromenetysten korvaus]]+Yhteenveto[[#This Row],[Kotikuntakorvaus, netto]]</f>
        <v>3243389.2526260293</v>
      </c>
      <c r="S239" s="11"/>
      <c r="T239"/>
    </row>
    <row r="240" spans="1:20" ht="15">
      <c r="A240" s="32">
        <v>753</v>
      </c>
      <c r="B240" s="13" t="s">
        <v>246</v>
      </c>
      <c r="C240" s="15">
        <v>22595</v>
      </c>
      <c r="D240" s="15">
        <f>Ikärakenne[[#This Row],[Laskennalliset kustannukset, IKÄRAKENNE yhteensä, €]]</f>
        <v>39113767</v>
      </c>
      <c r="E240" s="15">
        <f>'Lask. kustannukset MUUT'!AD246</f>
        <v>7681522.0583011964</v>
      </c>
      <c r="F240" s="231">
        <f>Yhteenveto[[#This Row],[Ikärakenne, laskennallinen kustannus]]+Yhteenveto[[#This Row],[Muut laskennalliset kustannukset ]]</f>
        <v>46795289.058301196</v>
      </c>
      <c r="G240" s="498">
        <v>1422.47</v>
      </c>
      <c r="H240" s="17">
        <v>32140709.650000002</v>
      </c>
      <c r="I240" s="339">
        <f>Yhteenveto[[#This Row],[Laskennalliset kustannukset yhteensä]]-Yhteenveto[[#This Row],[Omarahoitusosuus, €]]</f>
        <v>14654579.408301193</v>
      </c>
      <c r="J240" s="33">
        <v>911545.97827539849</v>
      </c>
      <c r="K240" s="34">
        <f>'Muut lis_väh'!O238</f>
        <v>7801427.9125642115</v>
      </c>
      <c r="L240" s="231">
        <f>Yhteenveto[[#This Row],[Valtionosuus omarahoitusosuuden jälkeen (välisumma)]]+Yhteenveto[[#This Row],[Lisäosat yhteensä]]+Yhteenveto[[#This Row],[Valtionosuuteen tehtävät vähennykset ja lisäykset, netto]]</f>
        <v>23367553.299140804</v>
      </c>
      <c r="M240" s="34">
        <f>'Verotuloihin perust tasaus'!N246</f>
        <v>-806792.89037436084</v>
      </c>
      <c r="N240" s="303">
        <f>SUM(Yhteenveto[[#This Row],[Valtionosuus ennen verotuloihin perustuvaa valtionosuuden tasausta]]+Yhteenveto[[#This Row],[Verotuloihin perustuva valtionosuuden tasaus]])</f>
        <v>22560760.408766441</v>
      </c>
      <c r="O240" s="241">
        <v>1445385.4097406764</v>
      </c>
      <c r="P240" s="372">
        <f>SUM(Yhteenveto[[#This Row],[Kunnan  peruspalvelujen valtionosuus ]:[Veroperustemuutoksista johtuvien veromenetysten korvaus]])</f>
        <v>24006145.818507116</v>
      </c>
      <c r="Q240" s="34">
        <v>-242731.9006500002</v>
      </c>
      <c r="R240" s="341">
        <f>+Yhteenveto[[#This Row],[Kunnan  peruspalvelujen valtionosuus ]]+Yhteenveto[[#This Row],[Veroperustemuutoksista johtuvien veromenetysten korvaus]]+Yhteenveto[[#This Row],[Kotikuntakorvaus, netto]]</f>
        <v>23763413.917857118</v>
      </c>
      <c r="S240" s="11"/>
      <c r="T240"/>
    </row>
    <row r="241" spans="1:20" ht="15">
      <c r="A241" s="32">
        <v>755</v>
      </c>
      <c r="B241" s="13" t="s">
        <v>247</v>
      </c>
      <c r="C241" s="15">
        <v>6158</v>
      </c>
      <c r="D241" s="15">
        <f>Ikärakenne[[#This Row],[Laskennalliset kustannukset, IKÄRAKENNE yhteensä, €]]</f>
        <v>10161988.689999999</v>
      </c>
      <c r="E241" s="15">
        <f>'Lask. kustannukset MUUT'!AD247</f>
        <v>2258152.0188518083</v>
      </c>
      <c r="F241" s="231">
        <f>Yhteenveto[[#This Row],[Ikärakenne, laskennallinen kustannus]]+Yhteenveto[[#This Row],[Muut laskennalliset kustannukset ]]</f>
        <v>12420140.708851807</v>
      </c>
      <c r="G241" s="498">
        <v>1422.47</v>
      </c>
      <c r="H241" s="17">
        <v>8759570.2599999998</v>
      </c>
      <c r="I241" s="339">
        <f>Yhteenveto[[#This Row],[Laskennalliset kustannukset yhteensä]]-Yhteenveto[[#This Row],[Omarahoitusosuus, €]]</f>
        <v>3660570.448851807</v>
      </c>
      <c r="J241" s="33">
        <v>171106.86688087834</v>
      </c>
      <c r="K241" s="34">
        <f>'Muut lis_väh'!O239</f>
        <v>1315954.0316456808</v>
      </c>
      <c r="L241" s="231">
        <f>Yhteenveto[[#This Row],[Valtionosuus omarahoitusosuuden jälkeen (välisumma)]]+Yhteenveto[[#This Row],[Lisäosat yhteensä]]+Yhteenveto[[#This Row],[Valtionosuuteen tehtävät vähennykset ja lisäykset, netto]]</f>
        <v>5147631.3473783657</v>
      </c>
      <c r="M241" s="34">
        <f>'Verotuloihin perust tasaus'!N247</f>
        <v>-23421.491338249485</v>
      </c>
      <c r="N241" s="303">
        <f>SUM(Yhteenveto[[#This Row],[Valtionosuus ennen verotuloihin perustuvaa valtionosuuden tasausta]]+Yhteenveto[[#This Row],[Verotuloihin perustuva valtionosuuden tasaus]])</f>
        <v>5124209.8560401164</v>
      </c>
      <c r="O241" s="241">
        <v>474127.84887633007</v>
      </c>
      <c r="P241" s="372">
        <f>SUM(Yhteenveto[[#This Row],[Kunnan  peruspalvelujen valtionosuus ]:[Veroperustemuutoksista johtuvien veromenetysten korvaus]])</f>
        <v>5598337.7049164465</v>
      </c>
      <c r="Q241" s="34">
        <v>-1119336.0033999998</v>
      </c>
      <c r="R241" s="341">
        <f>+Yhteenveto[[#This Row],[Kunnan  peruspalvelujen valtionosuus ]]+Yhteenveto[[#This Row],[Veroperustemuutoksista johtuvien veromenetysten korvaus]]+Yhteenveto[[#This Row],[Kotikuntakorvaus, netto]]</f>
        <v>4479001.7015164467</v>
      </c>
      <c r="S241" s="11"/>
      <c r="T241"/>
    </row>
    <row r="242" spans="1:20" ht="15">
      <c r="A242" s="32">
        <v>758</v>
      </c>
      <c r="B242" s="13" t="s">
        <v>248</v>
      </c>
      <c r="C242" s="15">
        <v>8126</v>
      </c>
      <c r="D242" s="15">
        <f>Ikärakenne[[#This Row],[Laskennalliset kustannukset, IKÄRAKENNE yhteensä, €]]</f>
        <v>10764617.630000001</v>
      </c>
      <c r="E242" s="15">
        <f>'Lask. kustannukset MUUT'!AD248</f>
        <v>7898419.8345091641</v>
      </c>
      <c r="F242" s="231">
        <f>Yhteenveto[[#This Row],[Ikärakenne, laskennallinen kustannus]]+Yhteenveto[[#This Row],[Muut laskennalliset kustannukset ]]</f>
        <v>18663037.464509167</v>
      </c>
      <c r="G242" s="498">
        <v>1422.47</v>
      </c>
      <c r="H242" s="17">
        <v>11558991.220000001</v>
      </c>
      <c r="I242" s="339">
        <f>Yhteenveto[[#This Row],[Laskennalliset kustannukset yhteensä]]-Yhteenveto[[#This Row],[Omarahoitusosuus, €]]</f>
        <v>7104046.2445091661</v>
      </c>
      <c r="J242" s="33">
        <v>1534212.8792374465</v>
      </c>
      <c r="K242" s="34">
        <f>'Muut lis_väh'!O240</f>
        <v>-3473209.3528935551</v>
      </c>
      <c r="L242" s="231">
        <f>Yhteenveto[[#This Row],[Valtionosuus omarahoitusosuuden jälkeen (välisumma)]]+Yhteenveto[[#This Row],[Lisäosat yhteensä]]+Yhteenveto[[#This Row],[Valtionosuuteen tehtävät vähennykset ja lisäykset, netto]]</f>
        <v>5165049.7708530575</v>
      </c>
      <c r="M242" s="34">
        <f>'Verotuloihin perust tasaus'!N248</f>
        <v>-193908.4909420365</v>
      </c>
      <c r="N242" s="303">
        <f>SUM(Yhteenveto[[#This Row],[Valtionosuus ennen verotuloihin perustuvaa valtionosuuden tasausta]]+Yhteenveto[[#This Row],[Verotuloihin perustuva valtionosuuden tasaus]])</f>
        <v>4971141.2799110208</v>
      </c>
      <c r="O242" s="241">
        <v>1002961.134088001</v>
      </c>
      <c r="P242" s="372">
        <f>SUM(Yhteenveto[[#This Row],[Kunnan  peruspalvelujen valtionosuus ]:[Veroperustemuutoksista johtuvien veromenetysten korvaus]])</f>
        <v>5974102.413999022</v>
      </c>
      <c r="Q242" s="34">
        <v>-103635.27589000002</v>
      </c>
      <c r="R242" s="341">
        <f>+Yhteenveto[[#This Row],[Kunnan  peruspalvelujen valtionosuus ]]+Yhteenveto[[#This Row],[Veroperustemuutoksista johtuvien veromenetysten korvaus]]+Yhteenveto[[#This Row],[Kotikuntakorvaus, netto]]</f>
        <v>5870467.1381090218</v>
      </c>
      <c r="S242" s="11"/>
      <c r="T242"/>
    </row>
    <row r="243" spans="1:20" ht="15">
      <c r="A243" s="32">
        <v>759</v>
      </c>
      <c r="B243" s="13" t="s">
        <v>249</v>
      </c>
      <c r="C243" s="15">
        <v>1873</v>
      </c>
      <c r="D243" s="15">
        <f>Ikärakenne[[#This Row],[Laskennalliset kustannukset, IKÄRAKENNE yhteensä, €]]</f>
        <v>2751401.3299999996</v>
      </c>
      <c r="E243" s="15">
        <f>'Lask. kustannukset MUUT'!AD249</f>
        <v>669531.40547443635</v>
      </c>
      <c r="F243" s="231">
        <f>Yhteenveto[[#This Row],[Ikärakenne, laskennallinen kustannus]]+Yhteenveto[[#This Row],[Muut laskennalliset kustannukset ]]</f>
        <v>3420932.7354744361</v>
      </c>
      <c r="G243" s="498">
        <v>1422.47</v>
      </c>
      <c r="H243" s="17">
        <v>2664286.31</v>
      </c>
      <c r="I243" s="339">
        <f>Yhteenveto[[#This Row],[Laskennalliset kustannukset yhteensä]]-Yhteenveto[[#This Row],[Omarahoitusosuus, €]]</f>
        <v>756646.42547443602</v>
      </c>
      <c r="J243" s="33">
        <v>270702.22654914198</v>
      </c>
      <c r="K243" s="34">
        <f>'Muut lis_väh'!O241</f>
        <v>-102392.76094526728</v>
      </c>
      <c r="L243" s="231">
        <f>Yhteenveto[[#This Row],[Valtionosuus omarahoitusosuuden jälkeen (välisumma)]]+Yhteenveto[[#This Row],[Lisäosat yhteensä]]+Yhteenveto[[#This Row],[Valtionosuuteen tehtävät vähennykset ja lisäykset, netto]]</f>
        <v>924955.89107831079</v>
      </c>
      <c r="M243" s="34">
        <f>'Verotuloihin perust tasaus'!N249</f>
        <v>848261.14252790937</v>
      </c>
      <c r="N243" s="303">
        <f>SUM(Yhteenveto[[#This Row],[Valtionosuus ennen verotuloihin perustuvaa valtionosuuden tasausta]]+Yhteenveto[[#This Row],[Verotuloihin perustuva valtionosuuden tasaus]])</f>
        <v>1773217.03360622</v>
      </c>
      <c r="O243" s="241">
        <v>369413.09635383205</v>
      </c>
      <c r="P243" s="372">
        <f>SUM(Yhteenveto[[#This Row],[Kunnan  peruspalvelujen valtionosuus ]:[Veroperustemuutoksista johtuvien veromenetysten korvaus]])</f>
        <v>2142630.1299600522</v>
      </c>
      <c r="Q243" s="34">
        <v>441505.5356</v>
      </c>
      <c r="R243" s="341">
        <f>+Yhteenveto[[#This Row],[Kunnan  peruspalvelujen valtionosuus ]]+Yhteenveto[[#This Row],[Veroperustemuutoksista johtuvien veromenetysten korvaus]]+Yhteenveto[[#This Row],[Kotikuntakorvaus, netto]]</f>
        <v>2584135.6655600523</v>
      </c>
      <c r="S243" s="11"/>
      <c r="T243"/>
    </row>
    <row r="244" spans="1:20" ht="15">
      <c r="A244" s="32">
        <v>761</v>
      </c>
      <c r="B244" s="13" t="s">
        <v>250</v>
      </c>
      <c r="C244" s="15">
        <v>8410</v>
      </c>
      <c r="D244" s="15">
        <f>Ikärakenne[[#This Row],[Laskennalliset kustannukset, IKÄRAKENNE yhteensä, €]]</f>
        <v>10859415.279999999</v>
      </c>
      <c r="E244" s="15">
        <f>'Lask. kustannukset MUUT'!AD250</f>
        <v>2444656.5656059585</v>
      </c>
      <c r="F244" s="231">
        <f>Yhteenveto[[#This Row],[Ikärakenne, laskennallinen kustannus]]+Yhteenveto[[#This Row],[Muut laskennalliset kustannukset ]]</f>
        <v>13304071.845605958</v>
      </c>
      <c r="G244" s="498">
        <v>1422.47</v>
      </c>
      <c r="H244" s="17">
        <v>11962972.700000001</v>
      </c>
      <c r="I244" s="339">
        <f>Yhteenveto[[#This Row],[Laskennalliset kustannukset yhteensä]]-Yhteenveto[[#This Row],[Omarahoitusosuus, €]]</f>
        <v>1341099.1456059571</v>
      </c>
      <c r="J244" s="33">
        <v>241029.32453567005</v>
      </c>
      <c r="K244" s="34">
        <f>'Muut lis_väh'!O242</f>
        <v>1276767.4859358622</v>
      </c>
      <c r="L244" s="231">
        <f>Yhteenveto[[#This Row],[Valtionosuus omarahoitusosuuden jälkeen (välisumma)]]+Yhteenveto[[#This Row],[Lisäosat yhteensä]]+Yhteenveto[[#This Row],[Valtionosuuteen tehtävät vähennykset ja lisäykset, netto]]</f>
        <v>2858895.9560774891</v>
      </c>
      <c r="M244" s="34">
        <f>'Verotuloihin perust tasaus'!N250</f>
        <v>4022297.5563365691</v>
      </c>
      <c r="N244" s="303">
        <f>SUM(Yhteenveto[[#This Row],[Valtionosuus ennen verotuloihin perustuvaa valtionosuuden tasausta]]+Yhteenveto[[#This Row],[Verotuloihin perustuva valtionosuuden tasaus]])</f>
        <v>6881193.5124140587</v>
      </c>
      <c r="O244" s="241">
        <v>1344624.1002093798</v>
      </c>
      <c r="P244" s="372">
        <f>SUM(Yhteenveto[[#This Row],[Kunnan  peruspalvelujen valtionosuus ]:[Veroperustemuutoksista johtuvien veromenetysten korvaus]])</f>
        <v>8225817.6126234382</v>
      </c>
      <c r="Q244" s="34">
        <v>560549.05836999998</v>
      </c>
      <c r="R244" s="341">
        <f>+Yhteenveto[[#This Row],[Kunnan  peruspalvelujen valtionosuus ]]+Yhteenveto[[#This Row],[Veroperustemuutoksista johtuvien veromenetysten korvaus]]+Yhteenveto[[#This Row],[Kotikuntakorvaus, netto]]</f>
        <v>8786366.670993438</v>
      </c>
      <c r="S244" s="11"/>
      <c r="T244"/>
    </row>
    <row r="245" spans="1:20" ht="15">
      <c r="A245" s="32">
        <v>762</v>
      </c>
      <c r="B245" s="13" t="s">
        <v>251</v>
      </c>
      <c r="C245" s="15">
        <v>3637</v>
      </c>
      <c r="D245" s="15">
        <f>Ikärakenne[[#This Row],[Laskennalliset kustannukset, IKÄRAKENNE yhteensä, €]]</f>
        <v>4372456.4400000004</v>
      </c>
      <c r="E245" s="15">
        <f>'Lask. kustannukset MUUT'!AD251</f>
        <v>1737536.3641629918</v>
      </c>
      <c r="F245" s="231">
        <f>Yhteenveto[[#This Row],[Ikärakenne, laskennallinen kustannus]]+Yhteenveto[[#This Row],[Muut laskennalliset kustannukset ]]</f>
        <v>6109992.8041629922</v>
      </c>
      <c r="G245" s="498">
        <v>1422.47</v>
      </c>
      <c r="H245" s="17">
        <v>5173523.3899999997</v>
      </c>
      <c r="I245" s="339">
        <f>Yhteenveto[[#This Row],[Laskennalliset kustannukset yhteensä]]-Yhteenveto[[#This Row],[Omarahoitusosuus, €]]</f>
        <v>936469.4141629925</v>
      </c>
      <c r="J245" s="33">
        <v>486701.81702185865</v>
      </c>
      <c r="K245" s="34">
        <f>'Muut lis_väh'!O243</f>
        <v>1518632.3933977098</v>
      </c>
      <c r="L245" s="231">
        <f>Yhteenveto[[#This Row],[Valtionosuus omarahoitusosuuden jälkeen (välisumma)]]+Yhteenveto[[#This Row],[Lisäosat yhteensä]]+Yhteenveto[[#This Row],[Valtionosuuteen tehtävät vähennykset ja lisäykset, netto]]</f>
        <v>2941803.6245825607</v>
      </c>
      <c r="M245" s="34">
        <f>'Verotuloihin perust tasaus'!N251</f>
        <v>1459160.2521329345</v>
      </c>
      <c r="N245" s="303">
        <f>SUM(Yhteenveto[[#This Row],[Valtionosuus ennen verotuloihin perustuvaa valtionosuuden tasausta]]+Yhteenveto[[#This Row],[Verotuloihin perustuva valtionosuuden tasaus]])</f>
        <v>4400963.8767154953</v>
      </c>
      <c r="O245" s="241">
        <v>681387.75014688412</v>
      </c>
      <c r="P245" s="372">
        <f>SUM(Yhteenveto[[#This Row],[Kunnan  peruspalvelujen valtionosuus ]:[Veroperustemuutoksista johtuvien veromenetysten korvaus]])</f>
        <v>5082351.6268623797</v>
      </c>
      <c r="Q245" s="34">
        <v>19334.386710000021</v>
      </c>
      <c r="R245" s="341">
        <f>+Yhteenveto[[#This Row],[Kunnan  peruspalvelujen valtionosuus ]]+Yhteenveto[[#This Row],[Veroperustemuutoksista johtuvien veromenetysten korvaus]]+Yhteenveto[[#This Row],[Kotikuntakorvaus, netto]]</f>
        <v>5101686.0135723799</v>
      </c>
      <c r="S245" s="11"/>
      <c r="T245"/>
    </row>
    <row r="246" spans="1:20" ht="15">
      <c r="A246" s="32">
        <v>765</v>
      </c>
      <c r="B246" s="13" t="s">
        <v>252</v>
      </c>
      <c r="C246" s="15">
        <v>10274</v>
      </c>
      <c r="D246" s="15">
        <f>Ikärakenne[[#This Row],[Laskennalliset kustannukset, IKÄRAKENNE yhteensä, €]]</f>
        <v>15157524.620000001</v>
      </c>
      <c r="E246" s="15">
        <f>'Lask. kustannukset MUUT'!AD252</f>
        <v>3891554.6127407188</v>
      </c>
      <c r="F246" s="231">
        <f>Yhteenveto[[#This Row],[Ikärakenne, laskennallinen kustannus]]+Yhteenveto[[#This Row],[Muut laskennalliset kustannukset ]]</f>
        <v>19049079.232740719</v>
      </c>
      <c r="G246" s="498">
        <v>1422.47</v>
      </c>
      <c r="H246" s="17">
        <v>14614456.780000001</v>
      </c>
      <c r="I246" s="339">
        <f>Yhteenveto[[#This Row],[Laskennalliset kustannukset yhteensä]]-Yhteenveto[[#This Row],[Omarahoitusosuus, €]]</f>
        <v>4434622.4527407177</v>
      </c>
      <c r="J246" s="33">
        <v>744280.80434970604</v>
      </c>
      <c r="K246" s="34">
        <f>'Muut lis_väh'!O244</f>
        <v>-1449000.3356901091</v>
      </c>
      <c r="L246" s="231">
        <f>Yhteenveto[[#This Row],[Valtionosuus omarahoitusosuuden jälkeen (välisumma)]]+Yhteenveto[[#This Row],[Lisäosat yhteensä]]+Yhteenveto[[#This Row],[Valtionosuuteen tehtävät vähennykset ja lisäykset, netto]]</f>
        <v>3729902.9214003142</v>
      </c>
      <c r="M246" s="34">
        <f>'Verotuloihin perust tasaus'!N252</f>
        <v>1853746.4092009512</v>
      </c>
      <c r="N246" s="303">
        <f>SUM(Yhteenveto[[#This Row],[Valtionosuus ennen verotuloihin perustuvaa valtionosuuden tasausta]]+Yhteenveto[[#This Row],[Verotuloihin perustuva valtionosuuden tasaus]])</f>
        <v>5583649.3306012657</v>
      </c>
      <c r="O246" s="241">
        <v>1273114.7472498945</v>
      </c>
      <c r="P246" s="372">
        <f>SUM(Yhteenveto[[#This Row],[Kunnan  peruspalvelujen valtionosuus ]:[Veroperustemuutoksista johtuvien veromenetysten korvaus]])</f>
        <v>6856764.0778511604</v>
      </c>
      <c r="Q246" s="34">
        <v>-32668.44650999998</v>
      </c>
      <c r="R246" s="341">
        <f>+Yhteenveto[[#This Row],[Kunnan  peruspalvelujen valtionosuus ]]+Yhteenveto[[#This Row],[Veroperustemuutoksista johtuvien veromenetysten korvaus]]+Yhteenveto[[#This Row],[Kotikuntakorvaus, netto]]</f>
        <v>6824095.6313411603</v>
      </c>
      <c r="S246" s="11"/>
      <c r="T246"/>
    </row>
    <row r="247" spans="1:20" ht="15">
      <c r="A247" s="32">
        <v>768</v>
      </c>
      <c r="B247" s="13" t="s">
        <v>253</v>
      </c>
      <c r="C247" s="15">
        <v>2368</v>
      </c>
      <c r="D247" s="15">
        <f>Ikärakenne[[#This Row],[Laskennalliset kustannukset, IKÄRAKENNE yhteensä, €]]</f>
        <v>2206315.86</v>
      </c>
      <c r="E247" s="15">
        <f>'Lask. kustannukset MUUT'!AD253</f>
        <v>1860400.6752185693</v>
      </c>
      <c r="F247" s="231">
        <f>Yhteenveto[[#This Row],[Ikärakenne, laskennallinen kustannus]]+Yhteenveto[[#This Row],[Muut laskennalliset kustannukset ]]</f>
        <v>4066716.5352185695</v>
      </c>
      <c r="G247" s="498">
        <v>1422.47</v>
      </c>
      <c r="H247" s="17">
        <v>3368408.96</v>
      </c>
      <c r="I247" s="339">
        <f>Yhteenveto[[#This Row],[Laskennalliset kustannukset yhteensä]]-Yhteenveto[[#This Row],[Omarahoitusosuus, €]]</f>
        <v>698307.57521856949</v>
      </c>
      <c r="J247" s="33">
        <v>346742.03870593314</v>
      </c>
      <c r="K247" s="34">
        <f>'Muut lis_väh'!O245</f>
        <v>751284.01392924867</v>
      </c>
      <c r="L247" s="231">
        <f>Yhteenveto[[#This Row],[Valtionosuus omarahoitusosuuden jälkeen (välisumma)]]+Yhteenveto[[#This Row],[Lisäosat yhteensä]]+Yhteenveto[[#This Row],[Valtionosuuteen tehtävät vähennykset ja lisäykset, netto]]</f>
        <v>1796333.6278537512</v>
      </c>
      <c r="M247" s="34">
        <f>'Verotuloihin perust tasaus'!N253</f>
        <v>903566.56802253926</v>
      </c>
      <c r="N247" s="303">
        <f>SUM(Yhteenveto[[#This Row],[Valtionosuus ennen verotuloihin perustuvaa valtionosuuden tasausta]]+Yhteenveto[[#This Row],[Verotuloihin perustuva valtionosuuden tasaus]])</f>
        <v>2699900.1958762906</v>
      </c>
      <c r="O247" s="241">
        <v>457899.60906416154</v>
      </c>
      <c r="P247" s="372">
        <f>SUM(Yhteenveto[[#This Row],[Kunnan  peruspalvelujen valtionosuus ]:[Veroperustemuutoksista johtuvien veromenetysten korvaus]])</f>
        <v>3157799.8049404519</v>
      </c>
      <c r="Q247" s="34">
        <v>35557.492799999993</v>
      </c>
      <c r="R247" s="341">
        <f>+Yhteenveto[[#This Row],[Kunnan  peruspalvelujen valtionosuus ]]+Yhteenveto[[#This Row],[Veroperustemuutoksista johtuvien veromenetysten korvaus]]+Yhteenveto[[#This Row],[Kotikuntakorvaus, netto]]</f>
        <v>3193357.297740452</v>
      </c>
      <c r="S247" s="11"/>
      <c r="T247"/>
    </row>
    <row r="248" spans="1:20" ht="15">
      <c r="A248" s="32">
        <v>777</v>
      </c>
      <c r="B248" s="13" t="s">
        <v>254</v>
      </c>
      <c r="C248" s="15">
        <v>7172</v>
      </c>
      <c r="D248" s="15">
        <f>Ikärakenne[[#This Row],[Laskennalliset kustannukset, IKÄRAKENNE yhteensä, €]]</f>
        <v>7099593.0199999996</v>
      </c>
      <c r="E248" s="15">
        <f>'Lask. kustannukset MUUT'!AD254</f>
        <v>5513933.8559558326</v>
      </c>
      <c r="F248" s="231">
        <f>Yhteenveto[[#This Row],[Ikärakenne, laskennallinen kustannus]]+Yhteenveto[[#This Row],[Muut laskennalliset kustannukset ]]</f>
        <v>12613526.875955831</v>
      </c>
      <c r="G248" s="498">
        <v>1422.47</v>
      </c>
      <c r="H248" s="17">
        <v>10201954.84</v>
      </c>
      <c r="I248" s="339">
        <f>Yhteenveto[[#This Row],[Laskennalliset kustannukset yhteensä]]-Yhteenveto[[#This Row],[Omarahoitusosuus, €]]</f>
        <v>2411572.0359558314</v>
      </c>
      <c r="J248" s="33">
        <v>1246648.3515255125</v>
      </c>
      <c r="K248" s="34">
        <f>'Muut lis_väh'!O246</f>
        <v>475945.06640840002</v>
      </c>
      <c r="L248" s="231">
        <f>Yhteenveto[[#This Row],[Valtionosuus omarahoitusosuuden jälkeen (välisumma)]]+Yhteenveto[[#This Row],[Lisäosat yhteensä]]+Yhteenveto[[#This Row],[Valtionosuuteen tehtävät vähennykset ja lisäykset, netto]]</f>
        <v>4134165.4538897439</v>
      </c>
      <c r="M248" s="34">
        <f>'Verotuloihin perust tasaus'!N254</f>
        <v>3585093.5548532368</v>
      </c>
      <c r="N248" s="303">
        <f>SUM(Yhteenveto[[#This Row],[Valtionosuus ennen verotuloihin perustuvaa valtionosuuden tasausta]]+Yhteenveto[[#This Row],[Verotuloihin perustuva valtionosuuden tasaus]])</f>
        <v>7719259.0087429807</v>
      </c>
      <c r="O248" s="241">
        <v>1125476.7746239454</v>
      </c>
      <c r="P248" s="372">
        <f>SUM(Yhteenveto[[#This Row],[Kunnan  peruspalvelujen valtionosuus ]:[Veroperustemuutoksista johtuvien veromenetysten korvaus]])</f>
        <v>8844735.783366926</v>
      </c>
      <c r="Q248" s="34">
        <v>-12683.118109999996</v>
      </c>
      <c r="R248" s="341">
        <f>+Yhteenveto[[#This Row],[Kunnan  peruspalvelujen valtionosuus ]]+Yhteenveto[[#This Row],[Veroperustemuutoksista johtuvien veromenetysten korvaus]]+Yhteenveto[[#This Row],[Kotikuntakorvaus, netto]]</f>
        <v>8832052.6652569268</v>
      </c>
      <c r="S248" s="11"/>
      <c r="T248"/>
    </row>
    <row r="249" spans="1:20" ht="15">
      <c r="A249" s="32">
        <v>778</v>
      </c>
      <c r="B249" s="13" t="s">
        <v>255</v>
      </c>
      <c r="C249" s="15">
        <v>6708</v>
      </c>
      <c r="D249" s="15">
        <f>Ikärakenne[[#This Row],[Laskennalliset kustannukset, IKÄRAKENNE yhteensä, €]]</f>
        <v>8893351.7300000004</v>
      </c>
      <c r="E249" s="15">
        <f>'Lask. kustannukset MUUT'!AD255</f>
        <v>1851013.8218158979</v>
      </c>
      <c r="F249" s="231">
        <f>Yhteenveto[[#This Row],[Ikärakenne, laskennallinen kustannus]]+Yhteenveto[[#This Row],[Muut laskennalliset kustannukset ]]</f>
        <v>10744365.551815899</v>
      </c>
      <c r="G249" s="498">
        <v>1422.47</v>
      </c>
      <c r="H249" s="17">
        <v>9541928.7599999998</v>
      </c>
      <c r="I249" s="339">
        <f>Yhteenveto[[#This Row],[Laskennalliset kustannukset yhteensä]]-Yhteenveto[[#This Row],[Omarahoitusosuus, €]]</f>
        <v>1202436.7918158993</v>
      </c>
      <c r="J249" s="33">
        <v>373041.55797662976</v>
      </c>
      <c r="K249" s="34">
        <f>'Muut lis_väh'!O247</f>
        <v>373014.92605173611</v>
      </c>
      <c r="L249" s="231">
        <f>Yhteenveto[[#This Row],[Valtionosuus omarahoitusosuuden jälkeen (välisumma)]]+Yhteenveto[[#This Row],[Lisäosat yhteensä]]+Yhteenveto[[#This Row],[Valtionosuuteen tehtävät vähennykset ja lisäykset, netto]]</f>
        <v>1948493.2758442652</v>
      </c>
      <c r="M249" s="34">
        <f>'Verotuloihin perust tasaus'!N255</f>
        <v>2315372.8052803697</v>
      </c>
      <c r="N249" s="303">
        <f>SUM(Yhteenveto[[#This Row],[Valtionosuus ennen verotuloihin perustuvaa valtionosuuden tasausta]]+Yhteenveto[[#This Row],[Verotuloihin perustuva valtionosuuden tasaus]])</f>
        <v>4263866.0811246354</v>
      </c>
      <c r="O249" s="241">
        <v>920972.68511190405</v>
      </c>
      <c r="P249" s="372">
        <f>SUM(Yhteenveto[[#This Row],[Kunnan  peruspalvelujen valtionosuus ]:[Veroperustemuutoksista johtuvien veromenetysten korvaus]])</f>
        <v>5184838.7662365399</v>
      </c>
      <c r="Q249" s="34">
        <v>177861.54210999998</v>
      </c>
      <c r="R249" s="341">
        <f>+Yhteenveto[[#This Row],[Kunnan  peruspalvelujen valtionosuus ]]+Yhteenveto[[#This Row],[Veroperustemuutoksista johtuvien veromenetysten korvaus]]+Yhteenveto[[#This Row],[Kotikuntakorvaus, netto]]</f>
        <v>5362700.3083465397</v>
      </c>
      <c r="S249" s="11"/>
      <c r="T249"/>
    </row>
    <row r="250" spans="1:20" ht="15">
      <c r="A250" s="32">
        <v>781</v>
      </c>
      <c r="B250" s="13" t="s">
        <v>256</v>
      </c>
      <c r="C250" s="15">
        <v>3496</v>
      </c>
      <c r="D250" s="15">
        <f>Ikärakenne[[#This Row],[Laskennalliset kustannukset, IKÄRAKENNE yhteensä, €]]</f>
        <v>2975728.91</v>
      </c>
      <c r="E250" s="15">
        <f>'Lask. kustannukset MUUT'!AD256</f>
        <v>1192562.4548567447</v>
      </c>
      <c r="F250" s="231">
        <f>Yhteenveto[[#This Row],[Ikärakenne, laskennallinen kustannus]]+Yhteenveto[[#This Row],[Muut laskennalliset kustannukset ]]</f>
        <v>4168291.3648567451</v>
      </c>
      <c r="G250" s="498">
        <v>1422.47</v>
      </c>
      <c r="H250" s="17">
        <v>4972955.12</v>
      </c>
      <c r="I250" s="339">
        <f>Yhteenveto[[#This Row],[Laskennalliset kustannukset yhteensä]]-Yhteenveto[[#This Row],[Omarahoitusosuus, €]]</f>
        <v>-804663.755143255</v>
      </c>
      <c r="J250" s="33">
        <v>475042.48744713556</v>
      </c>
      <c r="K250" s="34">
        <f>'Muut lis_väh'!O248</f>
        <v>3169452.9344382738</v>
      </c>
      <c r="L250" s="231">
        <f>Yhteenveto[[#This Row],[Valtionosuus omarahoitusosuuden jälkeen (välisumma)]]+Yhteenveto[[#This Row],[Lisäosat yhteensä]]+Yhteenveto[[#This Row],[Valtionosuuteen tehtävät vähennykset ja lisäykset, netto]]</f>
        <v>2839831.6667421544</v>
      </c>
      <c r="M250" s="34">
        <f>'Verotuloihin perust tasaus'!N256</f>
        <v>865274.40273741481</v>
      </c>
      <c r="N250" s="303">
        <f>SUM(Yhteenveto[[#This Row],[Valtionosuus ennen verotuloihin perustuvaa valtionosuuden tasausta]]+Yhteenveto[[#This Row],[Verotuloihin perustuva valtionosuuden tasaus]])</f>
        <v>3705106.0694795693</v>
      </c>
      <c r="O250" s="241">
        <v>700606.699038108</v>
      </c>
      <c r="P250" s="372">
        <f>SUM(Yhteenveto[[#This Row],[Kunnan  peruspalvelujen valtionosuus ]:[Veroperustemuutoksista johtuvien veromenetysten korvaus]])</f>
        <v>4405712.7685176777</v>
      </c>
      <c r="Q250" s="34">
        <v>19985.328400000013</v>
      </c>
      <c r="R250" s="341">
        <f>+Yhteenveto[[#This Row],[Kunnan  peruspalvelujen valtionosuus ]]+Yhteenveto[[#This Row],[Veroperustemuutoksista johtuvien veromenetysten korvaus]]+Yhteenveto[[#This Row],[Kotikuntakorvaus, netto]]</f>
        <v>4425698.0969176777</v>
      </c>
      <c r="S250" s="11"/>
      <c r="T250"/>
    </row>
    <row r="251" spans="1:20" ht="15">
      <c r="A251" s="32">
        <v>783</v>
      </c>
      <c r="B251" s="13" t="s">
        <v>257</v>
      </c>
      <c r="C251" s="15">
        <v>6377</v>
      </c>
      <c r="D251" s="15">
        <f>Ikärakenne[[#This Row],[Laskennalliset kustannukset, IKÄRAKENNE yhteensä, €]]</f>
        <v>8357661.5600000005</v>
      </c>
      <c r="E251" s="15">
        <f>'Lask. kustannukset MUUT'!AD257</f>
        <v>1507141.8061016693</v>
      </c>
      <c r="F251" s="231">
        <f>Yhteenveto[[#This Row],[Ikärakenne, laskennallinen kustannus]]+Yhteenveto[[#This Row],[Muut laskennalliset kustannukset ]]</f>
        <v>9864803.3661016691</v>
      </c>
      <c r="G251" s="498">
        <v>1422.47</v>
      </c>
      <c r="H251" s="17">
        <v>9071091.1899999995</v>
      </c>
      <c r="I251" s="339">
        <f>Yhteenveto[[#This Row],[Laskennalliset kustannukset yhteensä]]-Yhteenveto[[#This Row],[Omarahoitusosuus, €]]</f>
        <v>793712.17610166967</v>
      </c>
      <c r="J251" s="33">
        <v>213428.11567293823</v>
      </c>
      <c r="K251" s="34">
        <f>'Muut lis_väh'!O249</f>
        <v>-519106.80178293539</v>
      </c>
      <c r="L251" s="231">
        <f>Yhteenveto[[#This Row],[Valtionosuus omarahoitusosuuden jälkeen (välisumma)]]+Yhteenveto[[#This Row],[Lisäosat yhteensä]]+Yhteenveto[[#This Row],[Valtionosuuteen tehtävät vähennykset ja lisäykset, netto]]</f>
        <v>488033.48999167257</v>
      </c>
      <c r="M251" s="34">
        <f>'Verotuloihin perust tasaus'!N257</f>
        <v>1412534.2543806531</v>
      </c>
      <c r="N251" s="303">
        <f>SUM(Yhteenveto[[#This Row],[Valtionosuus ennen verotuloihin perustuvaa valtionosuuden tasausta]]+Yhteenveto[[#This Row],[Verotuloihin perustuva valtionosuuden tasaus]])</f>
        <v>1900567.7443723257</v>
      </c>
      <c r="O251" s="241">
        <v>791138.22858617455</v>
      </c>
      <c r="P251" s="372">
        <f>SUM(Yhteenveto[[#This Row],[Kunnan  peruspalvelujen valtionosuus ]:[Veroperustemuutoksista johtuvien veromenetysten korvaus]])</f>
        <v>2691705.9729585005</v>
      </c>
      <c r="Q251" s="34">
        <v>-139340.92491000003</v>
      </c>
      <c r="R251" s="341">
        <f>+Yhteenveto[[#This Row],[Kunnan  peruspalvelujen valtionosuus ]]+Yhteenveto[[#This Row],[Veroperustemuutoksista johtuvien veromenetysten korvaus]]+Yhteenveto[[#This Row],[Kotikuntakorvaus, netto]]</f>
        <v>2552365.0480485004</v>
      </c>
      <c r="S251" s="11"/>
      <c r="T251"/>
    </row>
    <row r="252" spans="1:20" ht="15">
      <c r="A252" s="32">
        <v>785</v>
      </c>
      <c r="B252" s="13" t="s">
        <v>258</v>
      </c>
      <c r="C252" s="15">
        <v>2589</v>
      </c>
      <c r="D252" s="15">
        <f>Ikärakenne[[#This Row],[Laskennalliset kustannukset, IKÄRAKENNE yhteensä, €]]</f>
        <v>2880894.7500000005</v>
      </c>
      <c r="E252" s="15">
        <f>'Lask. kustannukset MUUT'!AD258</f>
        <v>1604230.7364195443</v>
      </c>
      <c r="F252" s="231">
        <f>Yhteenveto[[#This Row],[Ikärakenne, laskennallinen kustannus]]+Yhteenveto[[#This Row],[Muut laskennalliset kustannukset ]]</f>
        <v>4485125.4864195446</v>
      </c>
      <c r="G252" s="498">
        <v>1422.47</v>
      </c>
      <c r="H252" s="17">
        <v>3682774.83</v>
      </c>
      <c r="I252" s="339">
        <f>Yhteenveto[[#This Row],[Laskennalliset kustannukset yhteensä]]-Yhteenveto[[#This Row],[Omarahoitusosuus, €]]</f>
        <v>802350.65641954448</v>
      </c>
      <c r="J252" s="33">
        <v>929340.90594259964</v>
      </c>
      <c r="K252" s="34">
        <f>'Muut lis_väh'!O250</f>
        <v>2311812.5141363484</v>
      </c>
      <c r="L252" s="231">
        <f>Yhteenveto[[#This Row],[Valtionosuus omarahoitusosuuden jälkeen (välisumma)]]+Yhteenveto[[#This Row],[Lisäosat yhteensä]]+Yhteenveto[[#This Row],[Valtionosuuteen tehtävät vähennykset ja lisäykset, netto]]</f>
        <v>4043504.0764984926</v>
      </c>
      <c r="M252" s="34">
        <f>'Verotuloihin perust tasaus'!N258</f>
        <v>1290052.0568390749</v>
      </c>
      <c r="N252" s="303">
        <f>SUM(Yhteenveto[[#This Row],[Valtionosuus ennen verotuloihin perustuvaa valtionosuuden tasausta]]+Yhteenveto[[#This Row],[Verotuloihin perustuva valtionosuuden tasaus]])</f>
        <v>5333556.1333375676</v>
      </c>
      <c r="O252" s="241">
        <v>508510.59756841377</v>
      </c>
      <c r="P252" s="372">
        <f>SUM(Yhteenveto[[#This Row],[Kunnan  peruspalvelujen valtionosuus ]:[Veroperustemuutoksista johtuvien veromenetysten korvaus]])</f>
        <v>5842066.7309059817</v>
      </c>
      <c r="Q252" s="34">
        <v>-47704.726709999995</v>
      </c>
      <c r="R252" s="341">
        <f>+Yhteenveto[[#This Row],[Kunnan  peruspalvelujen valtionosuus ]]+Yhteenveto[[#This Row],[Veroperustemuutoksista johtuvien veromenetysten korvaus]]+Yhteenveto[[#This Row],[Kotikuntakorvaus, netto]]</f>
        <v>5794362.0041959817</v>
      </c>
      <c r="S252" s="11"/>
      <c r="T252"/>
    </row>
    <row r="253" spans="1:20" ht="15">
      <c r="A253" s="32">
        <v>790</v>
      </c>
      <c r="B253" s="13" t="s">
        <v>259</v>
      </c>
      <c r="C253" s="15">
        <v>23515</v>
      </c>
      <c r="D253" s="15">
        <f>Ikärakenne[[#This Row],[Laskennalliset kustannukset, IKÄRAKENNE yhteensä, €]]</f>
        <v>31756143.099999998</v>
      </c>
      <c r="E253" s="15">
        <f>'Lask. kustannukset MUUT'!AD259</f>
        <v>5148303.4210318774</v>
      </c>
      <c r="F253" s="231">
        <f>Yhteenveto[[#This Row],[Ikärakenne, laskennallinen kustannus]]+Yhteenveto[[#This Row],[Muut laskennalliset kustannukset ]]</f>
        <v>36904446.521031871</v>
      </c>
      <c r="G253" s="498">
        <v>1422.47</v>
      </c>
      <c r="H253" s="17">
        <v>33449382.050000001</v>
      </c>
      <c r="I253" s="339">
        <f>Yhteenveto[[#This Row],[Laskennalliset kustannukset yhteensä]]-Yhteenveto[[#This Row],[Omarahoitusosuus, €]]</f>
        <v>3455064.4710318707</v>
      </c>
      <c r="J253" s="33">
        <v>754129.21873837034</v>
      </c>
      <c r="K253" s="34">
        <f>'Muut lis_väh'!O251</f>
        <v>1250815.8203917784</v>
      </c>
      <c r="L253" s="231">
        <f>Yhteenveto[[#This Row],[Valtionosuus omarahoitusosuuden jälkeen (välisumma)]]+Yhteenveto[[#This Row],[Lisäosat yhteensä]]+Yhteenveto[[#This Row],[Valtionosuuteen tehtävät vähennykset ja lisäykset, netto]]</f>
        <v>5460009.5101620201</v>
      </c>
      <c r="M253" s="34">
        <f>'Verotuloihin perust tasaus'!N259</f>
        <v>9964143.4501144979</v>
      </c>
      <c r="N253" s="303">
        <f>SUM(Yhteenveto[[#This Row],[Valtionosuus ennen verotuloihin perustuvaa valtionosuuden tasausta]]+Yhteenveto[[#This Row],[Verotuloihin perustuva valtionosuuden tasaus]])</f>
        <v>15424152.960276518</v>
      </c>
      <c r="O253" s="241">
        <v>2868796.1714314325</v>
      </c>
      <c r="P253" s="372">
        <f>SUM(Yhteenveto[[#This Row],[Kunnan  peruspalvelujen valtionosuus ]:[Veroperustemuutoksista johtuvien veromenetysten korvaus]])</f>
        <v>18292949.131707951</v>
      </c>
      <c r="Q253" s="34">
        <v>515251.08216999989</v>
      </c>
      <c r="R253" s="341">
        <f>+Yhteenveto[[#This Row],[Kunnan  peruspalvelujen valtionosuus ]]+Yhteenveto[[#This Row],[Veroperustemuutoksista johtuvien veromenetysten korvaus]]+Yhteenveto[[#This Row],[Kotikuntakorvaus, netto]]</f>
        <v>18808200.21387795</v>
      </c>
      <c r="S253" s="11"/>
      <c r="T253"/>
    </row>
    <row r="254" spans="1:20" ht="15">
      <c r="A254" s="32">
        <v>791</v>
      </c>
      <c r="B254" s="13" t="s">
        <v>260</v>
      </c>
      <c r="C254" s="15">
        <v>4931</v>
      </c>
      <c r="D254" s="15">
        <f>Ikärakenne[[#This Row],[Laskennalliset kustannukset, IKÄRAKENNE yhteensä, €]]</f>
        <v>7223948.7599999998</v>
      </c>
      <c r="E254" s="15">
        <f>'Lask. kustannukset MUUT'!AD260</f>
        <v>2492369.2025308721</v>
      </c>
      <c r="F254" s="231">
        <f>Yhteenveto[[#This Row],[Ikärakenne, laskennallinen kustannus]]+Yhteenveto[[#This Row],[Muut laskennalliset kustannukset ]]</f>
        <v>9716317.9625308719</v>
      </c>
      <c r="G254" s="498">
        <v>1422.47</v>
      </c>
      <c r="H254" s="17">
        <v>7014199.5700000003</v>
      </c>
      <c r="I254" s="339">
        <f>Yhteenveto[[#This Row],[Laskennalliset kustannukset yhteensä]]-Yhteenveto[[#This Row],[Omarahoitusosuus, €]]</f>
        <v>2702118.3925308716</v>
      </c>
      <c r="J254" s="33">
        <v>832841.3441193318</v>
      </c>
      <c r="K254" s="34">
        <f>'Muut lis_väh'!O252</f>
        <v>330867.28406995547</v>
      </c>
      <c r="L254" s="231">
        <f>Yhteenveto[[#This Row],[Valtionosuus omarahoitusosuuden jälkeen (välisumma)]]+Yhteenveto[[#This Row],[Lisäosat yhteensä]]+Yhteenveto[[#This Row],[Valtionosuuteen tehtävät vähennykset ja lisäykset, netto]]</f>
        <v>3865827.0207201587</v>
      </c>
      <c r="M254" s="34">
        <f>'Verotuloihin perust tasaus'!N260</f>
        <v>2913714.1241980414</v>
      </c>
      <c r="N254" s="303">
        <f>SUM(Yhteenveto[[#This Row],[Valtionosuus ennen verotuloihin perustuvaa valtionosuuden tasausta]]+Yhteenveto[[#This Row],[Verotuloihin perustuva valtionosuuden tasaus]])</f>
        <v>6779541.1449181996</v>
      </c>
      <c r="O254" s="241">
        <v>946890.18635046924</v>
      </c>
      <c r="P254" s="372">
        <f>SUM(Yhteenveto[[#This Row],[Kunnan  peruspalvelujen valtionosuus ]:[Veroperustemuutoksista johtuvien veromenetysten korvaus]])</f>
        <v>7726431.3312686691</v>
      </c>
      <c r="Q254" s="34">
        <v>-89514.727220000001</v>
      </c>
      <c r="R254" s="341">
        <f>+Yhteenveto[[#This Row],[Kunnan  peruspalvelujen valtionosuus ]]+Yhteenveto[[#This Row],[Veroperustemuutoksista johtuvien veromenetysten korvaus]]+Yhteenveto[[#This Row],[Kotikuntakorvaus, netto]]</f>
        <v>7636916.6040486693</v>
      </c>
      <c r="S254" s="11"/>
      <c r="T254"/>
    </row>
    <row r="255" spans="1:20" ht="15">
      <c r="A255" s="32">
        <v>831</v>
      </c>
      <c r="B255" s="13" t="s">
        <v>261</v>
      </c>
      <c r="C255" s="15">
        <v>4625</v>
      </c>
      <c r="D255" s="15">
        <f>Ikärakenne[[#This Row],[Laskennalliset kustannukset, IKÄRAKENNE yhteensä, €]]</f>
        <v>6814353.4400000004</v>
      </c>
      <c r="E255" s="15">
        <f>'Lask. kustannukset MUUT'!AD261</f>
        <v>1972028.2369094878</v>
      </c>
      <c r="F255" s="231">
        <f>Yhteenveto[[#This Row],[Ikärakenne, laskennallinen kustannus]]+Yhteenveto[[#This Row],[Muut laskennalliset kustannukset ]]</f>
        <v>8786381.6769094877</v>
      </c>
      <c r="G255" s="498">
        <v>1422.47</v>
      </c>
      <c r="H255" s="17">
        <v>6578923.75</v>
      </c>
      <c r="I255" s="339">
        <f>Yhteenveto[[#This Row],[Laskennalliset kustannukset yhteensä]]-Yhteenveto[[#This Row],[Omarahoitusosuus, €]]</f>
        <v>2207457.9269094877</v>
      </c>
      <c r="J255" s="33">
        <v>107715.36714621499</v>
      </c>
      <c r="K255" s="34">
        <f>'Muut lis_väh'!O253</f>
        <v>12852.612204856094</v>
      </c>
      <c r="L255" s="231">
        <f>Yhteenveto[[#This Row],[Valtionosuus omarahoitusosuuden jälkeen (välisumma)]]+Yhteenveto[[#This Row],[Lisäosat yhteensä]]+Yhteenveto[[#This Row],[Valtionosuuteen tehtävät vähennykset ja lisäykset, netto]]</f>
        <v>2328025.9062605589</v>
      </c>
      <c r="M255" s="34">
        <f>'Verotuloihin perust tasaus'!N261</f>
        <v>879018.04743825702</v>
      </c>
      <c r="N255" s="303">
        <f>SUM(Yhteenveto[[#This Row],[Valtionosuus ennen verotuloihin perustuvaa valtionosuuden tasausta]]+Yhteenveto[[#This Row],[Verotuloihin perustuva valtionosuuden tasaus]])</f>
        <v>3207043.9536988158</v>
      </c>
      <c r="O255" s="241">
        <v>405523.6679822969</v>
      </c>
      <c r="P255" s="372">
        <f>SUM(Yhteenveto[[#This Row],[Kunnan  peruspalvelujen valtionosuus ]:[Veroperustemuutoksista johtuvien veromenetysten korvaus]])</f>
        <v>3612567.6216811128</v>
      </c>
      <c r="Q255" s="34">
        <v>-125002.87030000001</v>
      </c>
      <c r="R255" s="341">
        <f>+Yhteenveto[[#This Row],[Kunnan  peruspalvelujen valtionosuus ]]+Yhteenveto[[#This Row],[Veroperustemuutoksista johtuvien veromenetysten korvaus]]+Yhteenveto[[#This Row],[Kotikuntakorvaus, netto]]</f>
        <v>3487564.7513811127</v>
      </c>
      <c r="S255" s="11"/>
      <c r="T255"/>
    </row>
    <row r="256" spans="1:20" ht="15">
      <c r="A256" s="32">
        <v>832</v>
      </c>
      <c r="B256" s="13" t="s">
        <v>262</v>
      </c>
      <c r="C256" s="15">
        <v>3731</v>
      </c>
      <c r="D256" s="15">
        <f>Ikärakenne[[#This Row],[Laskennalliset kustannukset, IKÄRAKENNE yhteensä, €]]</f>
        <v>5527751.0599999996</v>
      </c>
      <c r="E256" s="15">
        <f>'Lask. kustannukset MUUT'!AD262</f>
        <v>2642427.0594667746</v>
      </c>
      <c r="F256" s="231">
        <f>Yhteenveto[[#This Row],[Ikärakenne, laskennallinen kustannus]]+Yhteenveto[[#This Row],[Muut laskennalliset kustannukset ]]</f>
        <v>8170178.1194667742</v>
      </c>
      <c r="G256" s="498">
        <v>1422.47</v>
      </c>
      <c r="H256" s="17">
        <v>5307235.57</v>
      </c>
      <c r="I256" s="339">
        <f>Yhteenveto[[#This Row],[Laskennalliset kustannukset yhteensä]]-Yhteenveto[[#This Row],[Omarahoitusosuus, €]]</f>
        <v>2862942.5494667739</v>
      </c>
      <c r="J256" s="33">
        <v>1353128.4206420537</v>
      </c>
      <c r="K256" s="34">
        <f>'Muut lis_väh'!O254</f>
        <v>2505025.4152298858</v>
      </c>
      <c r="L256" s="231">
        <f>Yhteenveto[[#This Row],[Valtionosuus omarahoitusosuuden jälkeen (välisumma)]]+Yhteenveto[[#This Row],[Lisäosat yhteensä]]+Yhteenveto[[#This Row],[Valtionosuuteen tehtävät vähennykset ja lisäykset, netto]]</f>
        <v>6721096.3853387134</v>
      </c>
      <c r="M256" s="34">
        <f>'Verotuloihin perust tasaus'!N262</f>
        <v>1992847.4093654619</v>
      </c>
      <c r="N256" s="303">
        <f>SUM(Yhteenveto[[#This Row],[Valtionosuus ennen verotuloihin perustuvaa valtionosuuden tasausta]]+Yhteenveto[[#This Row],[Verotuloihin perustuva valtionosuuden tasaus]])</f>
        <v>8713943.7947041746</v>
      </c>
      <c r="O256" s="241">
        <v>563642.85299140541</v>
      </c>
      <c r="P256" s="372">
        <f>SUM(Yhteenveto[[#This Row],[Kunnan  peruspalvelujen valtionosuus ]:[Veroperustemuutoksista johtuvien veromenetysten korvaus]])</f>
        <v>9277586.6476955805</v>
      </c>
      <c r="Q256" s="34">
        <v>22149.354890000002</v>
      </c>
      <c r="R256" s="341">
        <f>+Yhteenveto[[#This Row],[Kunnan  peruspalvelujen valtionosuus ]]+Yhteenveto[[#This Row],[Veroperustemuutoksista johtuvien veromenetysten korvaus]]+Yhteenveto[[#This Row],[Kotikuntakorvaus, netto]]</f>
        <v>9299736.0025855806</v>
      </c>
      <c r="S256" s="11"/>
      <c r="T256"/>
    </row>
    <row r="257" spans="1:20" ht="15">
      <c r="A257" s="32">
        <v>833</v>
      </c>
      <c r="B257" s="13" t="s">
        <v>263</v>
      </c>
      <c r="C257" s="15">
        <v>1705</v>
      </c>
      <c r="D257" s="15">
        <f>Ikärakenne[[#This Row],[Laskennalliset kustannukset, IKÄRAKENNE yhteensä, €]]</f>
        <v>2243057.8899999997</v>
      </c>
      <c r="E257" s="15">
        <f>'Lask. kustannukset MUUT'!AD263</f>
        <v>604412.15738822508</v>
      </c>
      <c r="F257" s="231">
        <f>Yhteenveto[[#This Row],[Ikärakenne, laskennallinen kustannus]]+Yhteenveto[[#This Row],[Muut laskennalliset kustannukset ]]</f>
        <v>2847470.0473882249</v>
      </c>
      <c r="G257" s="498">
        <v>1422.47</v>
      </c>
      <c r="H257" s="17">
        <v>2425311.35</v>
      </c>
      <c r="I257" s="339">
        <f>Yhteenveto[[#This Row],[Laskennalliset kustannukset yhteensä]]-Yhteenveto[[#This Row],[Omarahoitusosuus, €]]</f>
        <v>422158.69738822477</v>
      </c>
      <c r="J257" s="33">
        <v>108051.21623601812</v>
      </c>
      <c r="K257" s="34">
        <f>'Muut lis_väh'!O255</f>
        <v>876985.13187336852</v>
      </c>
      <c r="L257" s="231">
        <f>Yhteenveto[[#This Row],[Valtionosuus omarahoitusosuuden jälkeen (välisumma)]]+Yhteenveto[[#This Row],[Lisäosat yhteensä]]+Yhteenveto[[#This Row],[Valtionosuuteen tehtävät vähennykset ja lisäykset, netto]]</f>
        <v>1407195.0454976114</v>
      </c>
      <c r="M257" s="34">
        <f>'Verotuloihin perust tasaus'!N263</f>
        <v>425003.96339143044</v>
      </c>
      <c r="N257" s="303">
        <f>SUM(Yhteenveto[[#This Row],[Valtionosuus ennen verotuloihin perustuvaa valtionosuuden tasausta]]+Yhteenveto[[#This Row],[Verotuloihin perustuva valtionosuuden tasaus]])</f>
        <v>1832199.0088890418</v>
      </c>
      <c r="O257" s="241">
        <v>260050.89212186571</v>
      </c>
      <c r="P257" s="372">
        <f>SUM(Yhteenveto[[#This Row],[Kunnan  peruspalvelujen valtionosuus ]:[Veroperustemuutoksista johtuvien veromenetysten korvaus]])</f>
        <v>2092249.9010109075</v>
      </c>
      <c r="Q257" s="34">
        <v>259347.46310999998</v>
      </c>
      <c r="R257" s="341">
        <f>+Yhteenveto[[#This Row],[Kunnan  peruspalvelujen valtionosuus ]]+Yhteenveto[[#This Row],[Veroperustemuutoksista johtuvien veromenetysten korvaus]]+Yhteenveto[[#This Row],[Kotikuntakorvaus, netto]]</f>
        <v>2351597.3641209076</v>
      </c>
      <c r="S257" s="11"/>
      <c r="T257"/>
    </row>
    <row r="258" spans="1:20" ht="15">
      <c r="A258" s="32">
        <v>834</v>
      </c>
      <c r="B258" s="13" t="s">
        <v>264</v>
      </c>
      <c r="C258" s="15">
        <v>5844</v>
      </c>
      <c r="D258" s="15">
        <f>Ikärakenne[[#This Row],[Laskennalliset kustannukset, IKÄRAKENNE yhteensä, €]]</f>
        <v>8175414.6300000008</v>
      </c>
      <c r="E258" s="15">
        <f>'Lask. kustannukset MUUT'!AD264</f>
        <v>1400690.783692301</v>
      </c>
      <c r="F258" s="231">
        <f>Yhteenveto[[#This Row],[Ikärakenne, laskennallinen kustannus]]+Yhteenveto[[#This Row],[Muut laskennalliset kustannukset ]]</f>
        <v>9576105.4136923011</v>
      </c>
      <c r="G258" s="498">
        <v>1422.47</v>
      </c>
      <c r="H258" s="17">
        <v>8312914.6799999997</v>
      </c>
      <c r="I258" s="339">
        <f>Yhteenveto[[#This Row],[Laskennalliset kustannukset yhteensä]]-Yhteenveto[[#This Row],[Omarahoitusosuus, €]]</f>
        <v>1263190.7336923014</v>
      </c>
      <c r="J258" s="33">
        <v>152500.60553404732</v>
      </c>
      <c r="K258" s="34">
        <f>'Muut lis_väh'!O256</f>
        <v>2096482.5573665502</v>
      </c>
      <c r="L258" s="231">
        <f>Yhteenveto[[#This Row],[Valtionosuus omarahoitusosuuden jälkeen (välisumma)]]+Yhteenveto[[#This Row],[Lisäosat yhteensä]]+Yhteenveto[[#This Row],[Valtionosuuteen tehtävät vähennykset ja lisäykset, netto]]</f>
        <v>3512173.8965928992</v>
      </c>
      <c r="M258" s="34">
        <f>'Verotuloihin perust tasaus'!N264</f>
        <v>1738302.4233232175</v>
      </c>
      <c r="N258" s="303">
        <f>SUM(Yhteenveto[[#This Row],[Valtionosuus ennen verotuloihin perustuvaa valtionosuuden tasausta]]+Yhteenveto[[#This Row],[Verotuloihin perustuva valtionosuuden tasaus]])</f>
        <v>5250476.319916117</v>
      </c>
      <c r="O258" s="241">
        <v>696564.82803784637</v>
      </c>
      <c r="P258" s="372">
        <f>SUM(Yhteenveto[[#This Row],[Kunnan  peruspalvelujen valtionosuus ]:[Veroperustemuutoksista johtuvien veromenetysten korvaus]])</f>
        <v>5947041.1479539629</v>
      </c>
      <c r="Q258" s="34">
        <v>-250992.39797999995</v>
      </c>
      <c r="R258" s="341">
        <f>+Yhteenveto[[#This Row],[Kunnan  peruspalvelujen valtionosuus ]]+Yhteenveto[[#This Row],[Veroperustemuutoksista johtuvien veromenetysten korvaus]]+Yhteenveto[[#This Row],[Kotikuntakorvaus, netto]]</f>
        <v>5696048.749973963</v>
      </c>
      <c r="S258" s="11"/>
      <c r="T258"/>
    </row>
    <row r="259" spans="1:20" ht="15">
      <c r="A259" s="32">
        <v>837</v>
      </c>
      <c r="B259" s="13" t="s">
        <v>265</v>
      </c>
      <c r="C259" s="15">
        <v>255050</v>
      </c>
      <c r="D259" s="15">
        <f>Ikärakenne[[#This Row],[Laskennalliset kustannukset, IKÄRAKENNE yhteensä, €]]</f>
        <v>325306734.44000006</v>
      </c>
      <c r="E259" s="15">
        <f>'Lask. kustannukset MUUT'!AD265</f>
        <v>89808704.950554609</v>
      </c>
      <c r="F259" s="231">
        <f>Yhteenveto[[#This Row],[Ikärakenne, laskennallinen kustannus]]+Yhteenveto[[#This Row],[Muut laskennalliset kustannukset ]]</f>
        <v>415115439.39055467</v>
      </c>
      <c r="G259" s="498">
        <v>1422.47</v>
      </c>
      <c r="H259" s="17">
        <v>362800973.5</v>
      </c>
      <c r="I259" s="339">
        <f>Yhteenveto[[#This Row],[Laskennalliset kustannukset yhteensä]]-Yhteenveto[[#This Row],[Omarahoitusosuus, €]]</f>
        <v>52314465.890554667</v>
      </c>
      <c r="J259" s="33">
        <v>14921710.182901906</v>
      </c>
      <c r="K259" s="34">
        <f>'Muut lis_väh'!O257</f>
        <v>-58933962.086683527</v>
      </c>
      <c r="L259" s="231">
        <f>Yhteenveto[[#This Row],[Valtionosuus omarahoitusosuuden jälkeen (välisumma)]]+Yhteenveto[[#This Row],[Lisäosat yhteensä]]+Yhteenveto[[#This Row],[Valtionosuuteen tehtävät vähennykset ja lisäykset, netto]]</f>
        <v>8302213.9867730439</v>
      </c>
      <c r="M259" s="34">
        <f>'Verotuloihin perust tasaus'!N265</f>
        <v>-200554.70567708509</v>
      </c>
      <c r="N259" s="303">
        <f>SUM(Yhteenveto[[#This Row],[Valtionosuus ennen verotuloihin perustuvaa valtionosuuden tasausta]]+Yhteenveto[[#This Row],[Verotuloihin perustuva valtionosuuden tasaus]])</f>
        <v>8101659.2810959592</v>
      </c>
      <c r="O259" s="241">
        <v>22714436.225739539</v>
      </c>
      <c r="P259" s="372">
        <f>SUM(Yhteenveto[[#This Row],[Kunnan  peruspalvelujen valtionosuus ]:[Veroperustemuutoksista johtuvien veromenetysten korvaus]])</f>
        <v>30816095.506835498</v>
      </c>
      <c r="Q259" s="34">
        <v>-13087502.631840006</v>
      </c>
      <c r="R259" s="341">
        <f>+Yhteenveto[[#This Row],[Kunnan  peruspalvelujen valtionosuus ]]+Yhteenveto[[#This Row],[Veroperustemuutoksista johtuvien veromenetysten korvaus]]+Yhteenveto[[#This Row],[Kotikuntakorvaus, netto]]</f>
        <v>17728592.874995492</v>
      </c>
      <c r="S259" s="11"/>
      <c r="T259"/>
    </row>
    <row r="260" spans="1:20" ht="15">
      <c r="A260" s="32">
        <v>844</v>
      </c>
      <c r="B260" s="13" t="s">
        <v>266</v>
      </c>
      <c r="C260" s="15">
        <v>1412</v>
      </c>
      <c r="D260" s="15">
        <f>Ikärakenne[[#This Row],[Laskennalliset kustannukset, IKÄRAKENNE yhteensä, €]]</f>
        <v>1240669.98</v>
      </c>
      <c r="E260" s="15">
        <f>'Lask. kustannukset MUUT'!AD266</f>
        <v>568548.88161806122</v>
      </c>
      <c r="F260" s="231">
        <f>Yhteenveto[[#This Row],[Ikärakenne, laskennallinen kustannus]]+Yhteenveto[[#This Row],[Muut laskennalliset kustannukset ]]</f>
        <v>1809218.8616180611</v>
      </c>
      <c r="G260" s="498">
        <v>1422.47</v>
      </c>
      <c r="H260" s="17">
        <v>2008527.6400000001</v>
      </c>
      <c r="I260" s="339">
        <f>Yhteenveto[[#This Row],[Laskennalliset kustannukset yhteensä]]-Yhteenveto[[#This Row],[Omarahoitusosuus, €]]</f>
        <v>-199308.77838193905</v>
      </c>
      <c r="J260" s="33">
        <v>237429.72058804499</v>
      </c>
      <c r="K260" s="34">
        <f>'Muut lis_väh'!O258</f>
        <v>88869.14256738624</v>
      </c>
      <c r="L260" s="231">
        <f>Yhteenveto[[#This Row],[Valtionosuus omarahoitusosuuden jälkeen (välisumma)]]+Yhteenveto[[#This Row],[Lisäosat yhteensä]]+Yhteenveto[[#This Row],[Valtionosuuteen tehtävät vähennykset ja lisäykset, netto]]</f>
        <v>126990.08477349218</v>
      </c>
      <c r="M260" s="34">
        <f>'Verotuloihin perust tasaus'!N266</f>
        <v>814254.62159493833</v>
      </c>
      <c r="N260" s="303">
        <f>SUM(Yhteenveto[[#This Row],[Valtionosuus ennen verotuloihin perustuvaa valtionosuuden tasausta]]+Yhteenveto[[#This Row],[Verotuloihin perustuva valtionosuuden tasaus]])</f>
        <v>941244.70636843052</v>
      </c>
      <c r="O260" s="241">
        <v>267378.59735661588</v>
      </c>
      <c r="P260" s="372">
        <f>SUM(Yhteenveto[[#This Row],[Kunnan  peruspalvelujen valtionosuus ]:[Veroperustemuutoksista johtuvien veromenetysten korvaus]])</f>
        <v>1208623.3037250463</v>
      </c>
      <c r="Q260" s="34">
        <v>-48817.474490000008</v>
      </c>
      <c r="R260" s="341">
        <f>+Yhteenveto[[#This Row],[Kunnan  peruspalvelujen valtionosuus ]]+Yhteenveto[[#This Row],[Veroperustemuutoksista johtuvien veromenetysten korvaus]]+Yhteenveto[[#This Row],[Kotikuntakorvaus, netto]]</f>
        <v>1159805.8292350464</v>
      </c>
      <c r="S260" s="11"/>
      <c r="T260"/>
    </row>
    <row r="261" spans="1:20" ht="15">
      <c r="A261" s="32">
        <v>845</v>
      </c>
      <c r="B261" s="13" t="s">
        <v>267</v>
      </c>
      <c r="C261" s="15">
        <v>2831</v>
      </c>
      <c r="D261" s="15">
        <f>Ikärakenne[[#This Row],[Laskennalliset kustannukset, IKÄRAKENNE yhteensä, €]]</f>
        <v>4317009.9800000004</v>
      </c>
      <c r="E261" s="15">
        <f>'Lask. kustannukset MUUT'!AD267</f>
        <v>1725905.693114948</v>
      </c>
      <c r="F261" s="231">
        <f>Yhteenveto[[#This Row],[Ikärakenne, laskennallinen kustannus]]+Yhteenveto[[#This Row],[Muut laskennalliset kustannukset ]]</f>
        <v>6042915.673114948</v>
      </c>
      <c r="G261" s="498">
        <v>1422.47</v>
      </c>
      <c r="H261" s="17">
        <v>4027012.5700000003</v>
      </c>
      <c r="I261" s="339">
        <f>Yhteenveto[[#This Row],[Laskennalliset kustannukset yhteensä]]-Yhteenveto[[#This Row],[Omarahoitusosuus, €]]</f>
        <v>2015903.1031149477</v>
      </c>
      <c r="J261" s="33">
        <v>452910.65585257963</v>
      </c>
      <c r="K261" s="34">
        <f>'Muut lis_väh'!O259</f>
        <v>95591.676188711965</v>
      </c>
      <c r="L261" s="231">
        <f>Yhteenveto[[#This Row],[Valtionosuus omarahoitusosuuden jälkeen (välisumma)]]+Yhteenveto[[#This Row],[Lisäosat yhteensä]]+Yhteenveto[[#This Row],[Valtionosuuteen tehtävät vähennykset ja lisäykset, netto]]</f>
        <v>2564405.4351562392</v>
      </c>
      <c r="M261" s="34">
        <f>'Verotuloihin perust tasaus'!N267</f>
        <v>1152766.754406516</v>
      </c>
      <c r="N261" s="303">
        <f>SUM(Yhteenveto[[#This Row],[Valtionosuus ennen verotuloihin perustuvaa valtionosuuden tasausta]]+Yhteenveto[[#This Row],[Verotuloihin perustuva valtionosuuden tasaus]])</f>
        <v>3717172.1895627552</v>
      </c>
      <c r="O261" s="241">
        <v>465507.37883790198</v>
      </c>
      <c r="P261" s="372">
        <f>SUM(Yhteenveto[[#This Row],[Kunnan  peruspalvelujen valtionosuus ]:[Veroperustemuutoksista johtuvien veromenetysten korvaus]])</f>
        <v>4182679.5684006573</v>
      </c>
      <c r="Q261" s="34">
        <v>-20815.948910000006</v>
      </c>
      <c r="R261" s="341">
        <f>+Yhteenveto[[#This Row],[Kunnan  peruspalvelujen valtionosuus ]]+Yhteenveto[[#This Row],[Veroperustemuutoksista johtuvien veromenetysten korvaus]]+Yhteenveto[[#This Row],[Kotikuntakorvaus, netto]]</f>
        <v>4161863.6194906575</v>
      </c>
      <c r="S261" s="11"/>
      <c r="T261"/>
    </row>
    <row r="262" spans="1:20" ht="15">
      <c r="A262" s="32">
        <v>846</v>
      </c>
      <c r="B262" s="13" t="s">
        <v>268</v>
      </c>
      <c r="C262" s="15">
        <v>4758</v>
      </c>
      <c r="D262" s="15">
        <f>Ikärakenne[[#This Row],[Laskennalliset kustannukset, IKÄRAKENNE yhteensä, €]]</f>
        <v>6658275.6100000003</v>
      </c>
      <c r="E262" s="15">
        <f>'Lask. kustannukset MUUT'!AD268</f>
        <v>1240847.3270212477</v>
      </c>
      <c r="F262" s="231">
        <f>Yhteenveto[[#This Row],[Ikärakenne, laskennallinen kustannus]]+Yhteenveto[[#This Row],[Muut laskennalliset kustannukset ]]</f>
        <v>7899122.937021248</v>
      </c>
      <c r="G262" s="498">
        <v>1422.47</v>
      </c>
      <c r="H262" s="17">
        <v>6768112.2599999998</v>
      </c>
      <c r="I262" s="339">
        <f>Yhteenveto[[#This Row],[Laskennalliset kustannukset yhteensä]]-Yhteenveto[[#This Row],[Omarahoitusosuus, €]]</f>
        <v>1131010.6770212483</v>
      </c>
      <c r="J262" s="33">
        <v>206418.71598485589</v>
      </c>
      <c r="K262" s="34">
        <f>'Muut lis_väh'!O260</f>
        <v>1421601.2989869234</v>
      </c>
      <c r="L262" s="231">
        <f>Yhteenveto[[#This Row],[Valtionosuus omarahoitusosuuden jälkeen (välisumma)]]+Yhteenveto[[#This Row],[Lisäosat yhteensä]]+Yhteenveto[[#This Row],[Valtionosuuteen tehtävät vähennykset ja lisäykset, netto]]</f>
        <v>2759030.6919930275</v>
      </c>
      <c r="M262" s="34">
        <f>'Verotuloihin perust tasaus'!N268</f>
        <v>2887091.7742743273</v>
      </c>
      <c r="N262" s="303">
        <f>SUM(Yhteenveto[[#This Row],[Valtionosuus ennen verotuloihin perustuvaa valtionosuuden tasausta]]+Yhteenveto[[#This Row],[Verotuloihin perustuva valtionosuuden tasaus]])</f>
        <v>5646122.4662673548</v>
      </c>
      <c r="O262" s="241">
        <v>799210.69637645991</v>
      </c>
      <c r="P262" s="372">
        <f>SUM(Yhteenveto[[#This Row],[Kunnan  peruspalvelujen valtionosuus ]:[Veroperustemuutoksista johtuvien veromenetysten korvaus]])</f>
        <v>6445333.1626438145</v>
      </c>
      <c r="Q262" s="34">
        <v>-103857.51022000003</v>
      </c>
      <c r="R262" s="341">
        <f>+Yhteenveto[[#This Row],[Kunnan  peruspalvelujen valtionosuus ]]+Yhteenveto[[#This Row],[Veroperustemuutoksista johtuvien veromenetysten korvaus]]+Yhteenveto[[#This Row],[Kotikuntakorvaus, netto]]</f>
        <v>6341475.6524238149</v>
      </c>
      <c r="S262" s="11"/>
      <c r="T262"/>
    </row>
    <row r="263" spans="1:20" ht="15">
      <c r="A263" s="32">
        <v>848</v>
      </c>
      <c r="B263" s="13" t="s">
        <v>269</v>
      </c>
      <c r="C263" s="15">
        <v>4066</v>
      </c>
      <c r="D263" s="15">
        <f>Ikärakenne[[#This Row],[Laskennalliset kustannukset, IKÄRAKENNE yhteensä, €]]</f>
        <v>5335490.28</v>
      </c>
      <c r="E263" s="15">
        <f>'Lask. kustannukset MUUT'!AD269</f>
        <v>1878756.4799620127</v>
      </c>
      <c r="F263" s="231">
        <f>Yhteenveto[[#This Row],[Ikärakenne, laskennallinen kustannus]]+Yhteenveto[[#This Row],[Muut laskennalliset kustannukset ]]</f>
        <v>7214246.759962013</v>
      </c>
      <c r="G263" s="498">
        <v>1422.47</v>
      </c>
      <c r="H263" s="17">
        <v>5783763.0200000005</v>
      </c>
      <c r="I263" s="339">
        <f>Yhteenveto[[#This Row],[Laskennalliset kustannukset yhteensä]]-Yhteenveto[[#This Row],[Omarahoitusosuus, €]]</f>
        <v>1430483.7399620125</v>
      </c>
      <c r="J263" s="33">
        <v>350769.08554489404</v>
      </c>
      <c r="K263" s="34">
        <f>'Muut lis_väh'!O261</f>
        <v>285531.54598685668</v>
      </c>
      <c r="L263" s="231">
        <f>Yhteenveto[[#This Row],[Valtionosuus omarahoitusosuuden jälkeen (välisumma)]]+Yhteenveto[[#This Row],[Lisäosat yhteensä]]+Yhteenveto[[#This Row],[Valtionosuuteen tehtävät vähennykset ja lisäykset, netto]]</f>
        <v>2066784.3714937633</v>
      </c>
      <c r="M263" s="34">
        <f>'Verotuloihin perust tasaus'!N269</f>
        <v>2636042.6593731781</v>
      </c>
      <c r="N263" s="303">
        <f>SUM(Yhteenveto[[#This Row],[Valtionosuus ennen verotuloihin perustuvaa valtionosuuden tasausta]]+Yhteenveto[[#This Row],[Verotuloihin perustuva valtionosuuden tasaus]])</f>
        <v>4702827.0308669414</v>
      </c>
      <c r="O263" s="241">
        <v>730657.32417312812</v>
      </c>
      <c r="P263" s="372">
        <f>SUM(Yhteenveto[[#This Row],[Kunnan  peruspalvelujen valtionosuus ]:[Veroperustemuutoksista johtuvien veromenetysten korvaus]])</f>
        <v>5433484.3550400697</v>
      </c>
      <c r="Q263" s="34">
        <v>-4444.6865999999864</v>
      </c>
      <c r="R263" s="341">
        <f>+Yhteenveto[[#This Row],[Kunnan  peruspalvelujen valtionosuus ]]+Yhteenveto[[#This Row],[Veroperustemuutoksista johtuvien veromenetysten korvaus]]+Yhteenveto[[#This Row],[Kotikuntakorvaus, netto]]</f>
        <v>5429039.66844007</v>
      </c>
      <c r="S263" s="11"/>
      <c r="T263"/>
    </row>
    <row r="264" spans="1:20" ht="15">
      <c r="A264" s="32">
        <v>849</v>
      </c>
      <c r="B264" s="13" t="s">
        <v>270</v>
      </c>
      <c r="C264" s="15">
        <v>2849</v>
      </c>
      <c r="D264" s="15">
        <f>Ikärakenne[[#This Row],[Laskennalliset kustannukset, IKÄRAKENNE yhteensä, €]]</f>
        <v>4949674.67</v>
      </c>
      <c r="E264" s="15">
        <f>'Lask. kustannukset MUUT'!AD270</f>
        <v>879572.36022506549</v>
      </c>
      <c r="F264" s="231">
        <f>Yhteenveto[[#This Row],[Ikärakenne, laskennallinen kustannus]]+Yhteenveto[[#This Row],[Muut laskennalliset kustannukset ]]</f>
        <v>5829247.0302250655</v>
      </c>
      <c r="G264" s="498">
        <v>1422.47</v>
      </c>
      <c r="H264" s="17">
        <v>4052617.0300000003</v>
      </c>
      <c r="I264" s="339">
        <f>Yhteenveto[[#This Row],[Laskennalliset kustannukset yhteensä]]-Yhteenveto[[#This Row],[Omarahoitusosuus, €]]</f>
        <v>1776630.0002250653</v>
      </c>
      <c r="J264" s="33">
        <v>240907.03361360819</v>
      </c>
      <c r="K264" s="34">
        <f>'Muut lis_väh'!O262</f>
        <v>629149.3927915052</v>
      </c>
      <c r="L264" s="231">
        <f>Yhteenveto[[#This Row],[Valtionosuus omarahoitusosuuden jälkeen (välisumma)]]+Yhteenveto[[#This Row],[Lisäosat yhteensä]]+Yhteenveto[[#This Row],[Valtionosuuteen tehtävät vähennykset ja lisäykset, netto]]</f>
        <v>2646686.4266301785</v>
      </c>
      <c r="M264" s="34">
        <f>'Verotuloihin perust tasaus'!N270</f>
        <v>1823477.2022036326</v>
      </c>
      <c r="N264" s="303">
        <f>SUM(Yhteenveto[[#This Row],[Valtionosuus ennen verotuloihin perustuvaa valtionosuuden tasausta]]+Yhteenveto[[#This Row],[Verotuloihin perustuva valtionosuuden tasaus]])</f>
        <v>4470163.6288338108</v>
      </c>
      <c r="O264" s="241">
        <v>505363.43283849611</v>
      </c>
      <c r="P264" s="372">
        <f>SUM(Yhteenveto[[#This Row],[Kunnan  peruspalvelujen valtionosuus ]:[Veroperustemuutoksista johtuvien veromenetysten korvaus]])</f>
        <v>4975527.0616723066</v>
      </c>
      <c r="Q264" s="34">
        <v>232531.18729</v>
      </c>
      <c r="R264" s="341">
        <f>+Yhteenveto[[#This Row],[Kunnan  peruspalvelujen valtionosuus ]]+Yhteenveto[[#This Row],[Veroperustemuutoksista johtuvien veromenetysten korvaus]]+Yhteenveto[[#This Row],[Kotikuntakorvaus, netto]]</f>
        <v>5208058.2489623064</v>
      </c>
      <c r="S264" s="11"/>
      <c r="T264"/>
    </row>
    <row r="265" spans="1:20" ht="15">
      <c r="A265" s="32">
        <v>850</v>
      </c>
      <c r="B265" s="13" t="s">
        <v>271</v>
      </c>
      <c r="C265" s="15">
        <v>2368</v>
      </c>
      <c r="D265" s="15">
        <f>Ikärakenne[[#This Row],[Laskennalliset kustannukset, IKÄRAKENNE yhteensä, €]]</f>
        <v>4105745.1399999992</v>
      </c>
      <c r="E265" s="15">
        <f>'Lask. kustannukset MUUT'!AD271</f>
        <v>610430.38693477737</v>
      </c>
      <c r="F265" s="231">
        <f>Yhteenveto[[#This Row],[Ikärakenne, laskennallinen kustannus]]+Yhteenveto[[#This Row],[Muut laskennalliset kustannukset ]]</f>
        <v>4716175.5269347765</v>
      </c>
      <c r="G265" s="498">
        <v>1422.47</v>
      </c>
      <c r="H265" s="17">
        <v>3368408.96</v>
      </c>
      <c r="I265" s="339">
        <f>Yhteenveto[[#This Row],[Laskennalliset kustannukset yhteensä]]-Yhteenveto[[#This Row],[Omarahoitusosuus, €]]</f>
        <v>1347766.5669347765</v>
      </c>
      <c r="J265" s="33">
        <v>81684.80823759234</v>
      </c>
      <c r="K265" s="34">
        <f>'Muut lis_väh'!O263</f>
        <v>310220.90480944538</v>
      </c>
      <c r="L265" s="231">
        <f>Yhteenveto[[#This Row],[Valtionosuus omarahoitusosuuden jälkeen (välisumma)]]+Yhteenveto[[#This Row],[Lisäosat yhteensä]]+Yhteenveto[[#This Row],[Valtionosuuteen tehtävät vähennykset ja lisäykset, netto]]</f>
        <v>1739672.2799818141</v>
      </c>
      <c r="M265" s="34">
        <f>'Verotuloihin perust tasaus'!N271</f>
        <v>1060796.2212468758</v>
      </c>
      <c r="N265" s="303">
        <f>SUM(Yhteenveto[[#This Row],[Valtionosuus ennen verotuloihin perustuvaa valtionosuuden tasausta]]+Yhteenveto[[#This Row],[Verotuloihin perustuva valtionosuuden tasaus]])</f>
        <v>2800468.5012286901</v>
      </c>
      <c r="O265" s="241">
        <v>248776.63797278804</v>
      </c>
      <c r="P265" s="372">
        <f>SUM(Yhteenveto[[#This Row],[Kunnan  peruspalvelujen valtionosuus ]:[Veroperustemuutoksista johtuvien veromenetysten korvaus]])</f>
        <v>3049245.1392014781</v>
      </c>
      <c r="Q265" s="34">
        <v>240812.17430999994</v>
      </c>
      <c r="R265" s="341">
        <f>+Yhteenveto[[#This Row],[Kunnan  peruspalvelujen valtionosuus ]]+Yhteenveto[[#This Row],[Veroperustemuutoksista johtuvien veromenetysten korvaus]]+Yhteenveto[[#This Row],[Kotikuntakorvaus, netto]]</f>
        <v>3290057.3135114782</v>
      </c>
      <c r="S265" s="11"/>
      <c r="T265"/>
    </row>
    <row r="266" spans="1:20" ht="15">
      <c r="A266" s="32">
        <v>851</v>
      </c>
      <c r="B266" s="13" t="s">
        <v>272</v>
      </c>
      <c r="C266" s="15">
        <v>21018</v>
      </c>
      <c r="D266" s="15">
        <f>Ikärakenne[[#This Row],[Laskennalliset kustannukset, IKÄRAKENNE yhteensä, €]]</f>
        <v>34019013.75</v>
      </c>
      <c r="E266" s="15">
        <f>'Lask. kustannukset MUUT'!AD272</f>
        <v>4804180.809012942</v>
      </c>
      <c r="F266" s="231">
        <f>Yhteenveto[[#This Row],[Ikärakenne, laskennallinen kustannus]]+Yhteenveto[[#This Row],[Muut laskennalliset kustannukset ]]</f>
        <v>38823194.559012942</v>
      </c>
      <c r="G266" s="498">
        <v>1422.47</v>
      </c>
      <c r="H266" s="17">
        <v>29897474.460000001</v>
      </c>
      <c r="I266" s="339">
        <f>Yhteenveto[[#This Row],[Laskennalliset kustannukset yhteensä]]-Yhteenveto[[#This Row],[Omarahoitusosuus, €]]</f>
        <v>8925720.0990129411</v>
      </c>
      <c r="J266" s="33">
        <v>824794.15716953727</v>
      </c>
      <c r="K266" s="34">
        <f>'Muut lis_väh'!O264</f>
        <v>-6735823.4491910087</v>
      </c>
      <c r="L266" s="231">
        <f>Yhteenveto[[#This Row],[Valtionosuus omarahoitusosuuden jälkeen (välisumma)]]+Yhteenveto[[#This Row],[Lisäosat yhteensä]]+Yhteenveto[[#This Row],[Valtionosuuteen tehtävät vähennykset ja lisäykset, netto]]</f>
        <v>3014690.80699147</v>
      </c>
      <c r="M266" s="34">
        <f>'Verotuloihin perust tasaus'!N272</f>
        <v>6340335.9408495203</v>
      </c>
      <c r="N266" s="303">
        <f>SUM(Yhteenveto[[#This Row],[Valtionosuus ennen verotuloihin perustuvaa valtionosuuden tasausta]]+Yhteenveto[[#This Row],[Verotuloihin perustuva valtionosuuden tasaus]])</f>
        <v>9355026.7478409894</v>
      </c>
      <c r="O266" s="241">
        <v>1910925.4761938753</v>
      </c>
      <c r="P266" s="372">
        <f>SUM(Yhteenveto[[#This Row],[Kunnan  peruspalvelujen valtionosuus ]:[Veroperustemuutoksista johtuvien veromenetysten korvaus]])</f>
        <v>11265952.224034864</v>
      </c>
      <c r="Q266" s="34">
        <v>-57454.666889999993</v>
      </c>
      <c r="R266" s="341">
        <f>+Yhteenveto[[#This Row],[Kunnan  peruspalvelujen valtionosuus ]]+Yhteenveto[[#This Row],[Veroperustemuutoksista johtuvien veromenetysten korvaus]]+Yhteenveto[[#This Row],[Kotikuntakorvaus, netto]]</f>
        <v>11208497.557144865</v>
      </c>
      <c r="S266" s="11"/>
      <c r="T266"/>
    </row>
    <row r="267" spans="1:20" ht="15">
      <c r="A267" s="32">
        <v>853</v>
      </c>
      <c r="B267" s="13" t="s">
        <v>273</v>
      </c>
      <c r="C267" s="15">
        <v>201863</v>
      </c>
      <c r="D267" s="15">
        <f>Ikärakenne[[#This Row],[Laskennalliset kustannukset, IKÄRAKENNE yhteensä, €]]</f>
        <v>249770265.11000001</v>
      </c>
      <c r="E267" s="15">
        <f>'Lask. kustannukset MUUT'!AD273</f>
        <v>99497482.339384198</v>
      </c>
      <c r="F267" s="231">
        <f>Yhteenveto[[#This Row],[Ikärakenne, laskennallinen kustannus]]+Yhteenveto[[#This Row],[Muut laskennalliset kustannukset ]]</f>
        <v>349267747.44938421</v>
      </c>
      <c r="G267" s="498">
        <v>1422.47</v>
      </c>
      <c r="H267" s="17">
        <v>287144061.61000001</v>
      </c>
      <c r="I267" s="339">
        <f>Yhteenveto[[#This Row],[Laskennalliset kustannukset yhteensä]]-Yhteenveto[[#This Row],[Omarahoitusosuus, €]]</f>
        <v>62123685.839384198</v>
      </c>
      <c r="J267" s="33">
        <v>10106384.990657587</v>
      </c>
      <c r="K267" s="34">
        <f>'Muut lis_väh'!O265</f>
        <v>-41088490.34722162</v>
      </c>
      <c r="L267" s="231">
        <f>Yhteenveto[[#This Row],[Valtionosuus omarahoitusosuuden jälkeen (välisumma)]]+Yhteenveto[[#This Row],[Lisäosat yhteensä]]+Yhteenveto[[#This Row],[Valtionosuuteen tehtävät vähennykset ja lisäykset, netto]]</f>
        <v>31141580.482820161</v>
      </c>
      <c r="M267" s="34">
        <f>'Verotuloihin perust tasaus'!N273</f>
        <v>-2315626.8128363863</v>
      </c>
      <c r="N267" s="303">
        <f>SUM(Yhteenveto[[#This Row],[Valtionosuus ennen verotuloihin perustuvaa valtionosuuden tasausta]]+Yhteenveto[[#This Row],[Verotuloihin perustuva valtionosuuden tasaus]])</f>
        <v>28825953.669983774</v>
      </c>
      <c r="O267" s="241">
        <v>22072941.06822174</v>
      </c>
      <c r="P267" s="372">
        <f>SUM(Yhteenveto[[#This Row],[Kunnan  peruspalvelujen valtionosuus ]:[Veroperustemuutoksista johtuvien veromenetysten korvaus]])</f>
        <v>50898894.738205515</v>
      </c>
      <c r="Q267" s="34">
        <v>-3334421.224750001</v>
      </c>
      <c r="R267" s="341">
        <f>+Yhteenveto[[#This Row],[Kunnan  peruspalvelujen valtionosuus ]]+Yhteenveto[[#This Row],[Veroperustemuutoksista johtuvien veromenetysten korvaus]]+Yhteenveto[[#This Row],[Kotikuntakorvaus, netto]]</f>
        <v>47564473.51345551</v>
      </c>
      <c r="S267" s="11"/>
      <c r="T267"/>
    </row>
    <row r="268" spans="1:20" ht="15">
      <c r="A268" s="32">
        <v>854</v>
      </c>
      <c r="B268" s="13" t="s">
        <v>274</v>
      </c>
      <c r="C268" s="15">
        <v>3253</v>
      </c>
      <c r="D268" s="15">
        <f>Ikärakenne[[#This Row],[Laskennalliset kustannukset, IKÄRAKENNE yhteensä, €]]</f>
        <v>3173021.0599999996</v>
      </c>
      <c r="E268" s="15">
        <f>'Lask. kustannukset MUUT'!AD274</f>
        <v>1942802.7123502383</v>
      </c>
      <c r="F268" s="231">
        <f>Yhteenveto[[#This Row],[Ikärakenne, laskennallinen kustannus]]+Yhteenveto[[#This Row],[Muut laskennalliset kustannukset ]]</f>
        <v>5115823.7723502377</v>
      </c>
      <c r="G268" s="498">
        <v>1422.47</v>
      </c>
      <c r="H268" s="17">
        <v>4627294.91</v>
      </c>
      <c r="I268" s="339">
        <f>Yhteenveto[[#This Row],[Laskennalliset kustannukset yhteensä]]-Yhteenveto[[#This Row],[Omarahoitusosuus, €]]</f>
        <v>488528.86235023756</v>
      </c>
      <c r="J268" s="33">
        <v>1197582.6101599268</v>
      </c>
      <c r="K268" s="34">
        <f>'Muut lis_väh'!O266</f>
        <v>-610626.82845047372</v>
      </c>
      <c r="L268" s="231">
        <f>Yhteenveto[[#This Row],[Valtionosuus omarahoitusosuuden jälkeen (välisumma)]]+Yhteenveto[[#This Row],[Lisäosat yhteensä]]+Yhteenveto[[#This Row],[Valtionosuuteen tehtävät vähennykset ja lisäykset, netto]]</f>
        <v>1075484.6440596906</v>
      </c>
      <c r="M268" s="34">
        <f>'Verotuloihin perust tasaus'!N274</f>
        <v>1450909.8964896493</v>
      </c>
      <c r="N268" s="303">
        <f>SUM(Yhteenveto[[#This Row],[Valtionosuus ennen verotuloihin perustuvaa valtionosuuden tasausta]]+Yhteenveto[[#This Row],[Verotuloihin perustuva valtionosuuden tasaus]])</f>
        <v>2526394.5405493397</v>
      </c>
      <c r="O268" s="241">
        <v>476582.23563160974</v>
      </c>
      <c r="P268" s="372">
        <f>SUM(Yhteenveto[[#This Row],[Kunnan  peruspalvelujen valtionosuus ]:[Veroperustemuutoksista johtuvien veromenetysten korvaus]])</f>
        <v>3002976.7761809495</v>
      </c>
      <c r="Q268" s="34">
        <v>-80477.197799999994</v>
      </c>
      <c r="R268" s="341">
        <f>+Yhteenveto[[#This Row],[Kunnan  peruspalvelujen valtionosuus ]]+Yhteenveto[[#This Row],[Veroperustemuutoksista johtuvien veromenetysten korvaus]]+Yhteenveto[[#This Row],[Kotikuntakorvaus, netto]]</f>
        <v>2922499.5783809493</v>
      </c>
      <c r="S268" s="11"/>
      <c r="T268"/>
    </row>
    <row r="269" spans="1:20" ht="15">
      <c r="A269" s="32">
        <v>857</v>
      </c>
      <c r="B269" s="13" t="s">
        <v>275</v>
      </c>
      <c r="C269" s="15">
        <v>2313</v>
      </c>
      <c r="D269" s="15">
        <f>Ikärakenne[[#This Row],[Laskennalliset kustannukset, IKÄRAKENNE yhteensä, €]]</f>
        <v>2363220.39</v>
      </c>
      <c r="E269" s="15">
        <f>'Lask. kustannukset MUUT'!AD275</f>
        <v>879900.96241920663</v>
      </c>
      <c r="F269" s="231">
        <f>Yhteenveto[[#This Row],[Ikärakenne, laskennallinen kustannus]]+Yhteenveto[[#This Row],[Muut laskennalliset kustannukset ]]</f>
        <v>3243121.3524192069</v>
      </c>
      <c r="G269" s="498">
        <v>1422.47</v>
      </c>
      <c r="H269" s="17">
        <v>3290173.11</v>
      </c>
      <c r="I269" s="339">
        <f>Yhteenveto[[#This Row],[Laskennalliset kustannukset yhteensä]]-Yhteenveto[[#This Row],[Omarahoitusosuus, €]]</f>
        <v>-47051.757580792997</v>
      </c>
      <c r="J269" s="33">
        <v>331777.18861937925</v>
      </c>
      <c r="K269" s="34">
        <f>'Muut lis_väh'!O267</f>
        <v>-1872219.9617204906</v>
      </c>
      <c r="L269" s="231">
        <f>Yhteenveto[[#This Row],[Valtionosuus omarahoitusosuuden jälkeen (välisumma)]]+Yhteenveto[[#This Row],[Lisäosat yhteensä]]+Yhteenveto[[#This Row],[Valtionosuuteen tehtävät vähennykset ja lisäykset, netto]]</f>
        <v>-1587494.5306819044</v>
      </c>
      <c r="M269" s="34">
        <f>'Verotuloihin perust tasaus'!N275</f>
        <v>1257288.4912724113</v>
      </c>
      <c r="N269" s="303">
        <f>SUM(Yhteenveto[[#This Row],[Valtionosuus ennen verotuloihin perustuvaa valtionosuuden tasausta]]+Yhteenveto[[#This Row],[Verotuloihin perustuva valtionosuuden tasaus]])</f>
        <v>-330206.0394094931</v>
      </c>
      <c r="O269" s="241">
        <v>389609.79308019037</v>
      </c>
      <c r="P269" s="372">
        <f>SUM(Yhteenveto[[#This Row],[Kunnan  peruspalvelujen valtionosuus ]:[Veroperustemuutoksista johtuvien veromenetysten korvaus]])</f>
        <v>59403.753670697275</v>
      </c>
      <c r="Q269" s="34">
        <v>776338.59279999998</v>
      </c>
      <c r="R269" s="341">
        <f>+Yhteenveto[[#This Row],[Kunnan  peruspalvelujen valtionosuus ]]+Yhteenveto[[#This Row],[Veroperustemuutoksista johtuvien veromenetysten korvaus]]+Yhteenveto[[#This Row],[Kotikuntakorvaus, netto]]</f>
        <v>835742.34647069732</v>
      </c>
      <c r="S269" s="11"/>
      <c r="T269"/>
    </row>
    <row r="270" spans="1:20" ht="15">
      <c r="A270" s="32">
        <v>858</v>
      </c>
      <c r="B270" s="13" t="s">
        <v>276</v>
      </c>
      <c r="C270" s="15">
        <v>41338</v>
      </c>
      <c r="D270" s="15">
        <f>Ikärakenne[[#This Row],[Laskennalliset kustannukset, IKÄRAKENNE yhteensä, €]]</f>
        <v>72505449.439999998</v>
      </c>
      <c r="E270" s="15">
        <f>'Lask. kustannukset MUUT'!AD276</f>
        <v>10934356.587467294</v>
      </c>
      <c r="F270" s="231">
        <f>Yhteenveto[[#This Row],[Ikärakenne, laskennallinen kustannus]]+Yhteenveto[[#This Row],[Muut laskennalliset kustannukset ]]</f>
        <v>83439806.027467296</v>
      </c>
      <c r="G270" s="498">
        <v>1422.47</v>
      </c>
      <c r="H270" s="17">
        <v>58802064.859999999</v>
      </c>
      <c r="I270" s="339">
        <f>Yhteenveto[[#This Row],[Laskennalliset kustannukset yhteensä]]-Yhteenveto[[#This Row],[Omarahoitusosuus, €]]</f>
        <v>24637741.167467296</v>
      </c>
      <c r="J270" s="33">
        <v>2219605.2696849783</v>
      </c>
      <c r="K270" s="34">
        <f>'Muut lis_väh'!O268</f>
        <v>4798038.350582432</v>
      </c>
      <c r="L270" s="231">
        <f>Yhteenveto[[#This Row],[Valtionosuus omarahoitusosuuden jälkeen (välisumma)]]+Yhteenveto[[#This Row],[Lisäosat yhteensä]]+Yhteenveto[[#This Row],[Valtionosuuteen tehtävät vähennykset ja lisäykset, netto]]</f>
        <v>31655384.787734706</v>
      </c>
      <c r="M270" s="34">
        <f>'Verotuloihin perust tasaus'!N276</f>
        <v>-887828.31394713745</v>
      </c>
      <c r="N270" s="303">
        <f>SUM(Yhteenveto[[#This Row],[Valtionosuus ennen verotuloihin perustuvaa valtionosuuden tasausta]]+Yhteenveto[[#This Row],[Verotuloihin perustuva valtionosuuden tasaus]])</f>
        <v>30767556.473787569</v>
      </c>
      <c r="O270" s="241">
        <v>2432538.4217795199</v>
      </c>
      <c r="P270" s="372">
        <f>SUM(Yhteenveto[[#This Row],[Kunnan  peruspalvelujen valtionosuus ]:[Veroperustemuutoksista johtuvien veromenetysten korvaus]])</f>
        <v>33200094.895567089</v>
      </c>
      <c r="Q270" s="34">
        <v>2306373.0948200002</v>
      </c>
      <c r="R270" s="341">
        <f>+Yhteenveto[[#This Row],[Kunnan  peruspalvelujen valtionosuus ]]+Yhteenveto[[#This Row],[Veroperustemuutoksista johtuvien veromenetysten korvaus]]+Yhteenveto[[#This Row],[Kotikuntakorvaus, netto]]</f>
        <v>35506467.99038709</v>
      </c>
      <c r="S270" s="11"/>
      <c r="T270"/>
    </row>
    <row r="271" spans="1:20" ht="15">
      <c r="A271" s="32">
        <v>859</v>
      </c>
      <c r="B271" s="13" t="s">
        <v>277</v>
      </c>
      <c r="C271" s="15">
        <v>6525</v>
      </c>
      <c r="D271" s="15">
        <f>Ikärakenne[[#This Row],[Laskennalliset kustannukset, IKÄRAKENNE yhteensä, €]]</f>
        <v>18430708.32</v>
      </c>
      <c r="E271" s="15">
        <f>'Lask. kustannukset MUUT'!AD277</f>
        <v>1140223.6564339753</v>
      </c>
      <c r="F271" s="231">
        <f>Yhteenveto[[#This Row],[Ikärakenne, laskennallinen kustannus]]+Yhteenveto[[#This Row],[Muut laskennalliset kustannukset ]]</f>
        <v>19570931.976433977</v>
      </c>
      <c r="G271" s="498">
        <v>1422.47</v>
      </c>
      <c r="H271" s="17">
        <v>9281616.75</v>
      </c>
      <c r="I271" s="339">
        <f>Yhteenveto[[#This Row],[Laskennalliset kustannukset yhteensä]]-Yhteenveto[[#This Row],[Omarahoitusosuus, €]]</f>
        <v>10289315.226433977</v>
      </c>
      <c r="J271" s="33">
        <v>163331.36345514999</v>
      </c>
      <c r="K271" s="34">
        <f>'Muut lis_väh'!O269</f>
        <v>-3647939.2421646952</v>
      </c>
      <c r="L271" s="231">
        <f>Yhteenveto[[#This Row],[Valtionosuus omarahoitusosuuden jälkeen (välisumma)]]+Yhteenveto[[#This Row],[Lisäosat yhteensä]]+Yhteenveto[[#This Row],[Valtionosuuteen tehtävät vähennykset ja lisäykset, netto]]</f>
        <v>6804707.3477244321</v>
      </c>
      <c r="M271" s="34">
        <f>'Verotuloihin perust tasaus'!N277</f>
        <v>4839446.8686265294</v>
      </c>
      <c r="N271" s="303">
        <f>SUM(Yhteenveto[[#This Row],[Valtionosuus ennen verotuloihin perustuvaa valtionosuuden tasausta]]+Yhteenveto[[#This Row],[Verotuloihin perustuva valtionosuuden tasaus]])</f>
        <v>11644154.216350961</v>
      </c>
      <c r="O271" s="241">
        <v>435326.61608834704</v>
      </c>
      <c r="P271" s="372">
        <f>SUM(Yhteenveto[[#This Row],[Kunnan  peruspalvelujen valtionosuus ]:[Veroperustemuutoksista johtuvien veromenetysten korvaus]])</f>
        <v>12079480.832439309</v>
      </c>
      <c r="Q271" s="34">
        <v>44016.582509999949</v>
      </c>
      <c r="R271" s="341">
        <f>+Yhteenveto[[#This Row],[Kunnan  peruspalvelujen valtionosuus ]]+Yhteenveto[[#This Row],[Veroperustemuutoksista johtuvien veromenetysten korvaus]]+Yhteenveto[[#This Row],[Kotikuntakorvaus, netto]]</f>
        <v>12123497.414949309</v>
      </c>
      <c r="S271" s="11"/>
      <c r="T271"/>
    </row>
    <row r="272" spans="1:20" ht="15">
      <c r="A272" s="32">
        <v>886</v>
      </c>
      <c r="B272" s="13" t="s">
        <v>278</v>
      </c>
      <c r="C272" s="15">
        <v>12533</v>
      </c>
      <c r="D272" s="15">
        <f>Ikärakenne[[#This Row],[Laskennalliset kustannukset, IKÄRAKENNE yhteensä, €]]</f>
        <v>20518481.25</v>
      </c>
      <c r="E272" s="15">
        <f>'Lask. kustannukset MUUT'!AD278</f>
        <v>2237311.2194980616</v>
      </c>
      <c r="F272" s="231">
        <f>Yhteenveto[[#This Row],[Ikärakenne, laskennallinen kustannus]]+Yhteenveto[[#This Row],[Muut laskennalliset kustannukset ]]</f>
        <v>22755792.469498061</v>
      </c>
      <c r="G272" s="498">
        <v>1422.47</v>
      </c>
      <c r="H272" s="17">
        <v>17827816.510000002</v>
      </c>
      <c r="I272" s="339">
        <f>Yhteenveto[[#This Row],[Laskennalliset kustannukset yhteensä]]-Yhteenveto[[#This Row],[Omarahoitusosuus, €]]</f>
        <v>4927975.959498059</v>
      </c>
      <c r="J272" s="33">
        <v>364012.52966037544</v>
      </c>
      <c r="K272" s="34">
        <f>'Muut lis_väh'!O270</f>
        <v>-1949377.7026586735</v>
      </c>
      <c r="L272" s="231">
        <f>Yhteenveto[[#This Row],[Valtionosuus omarahoitusosuuden jälkeen (välisumma)]]+Yhteenveto[[#This Row],[Lisäosat yhteensä]]+Yhteenveto[[#This Row],[Valtionosuuteen tehtävät vähennykset ja lisäykset, netto]]</f>
        <v>3342610.786499761</v>
      </c>
      <c r="M272" s="34">
        <f>'Verotuloihin perust tasaus'!N278</f>
        <v>3843272.4859276265</v>
      </c>
      <c r="N272" s="303">
        <f>SUM(Yhteenveto[[#This Row],[Valtionosuus ennen verotuloihin perustuvaa valtionosuuden tasausta]]+Yhteenveto[[#This Row],[Verotuloihin perustuva valtionosuuden tasaus]])</f>
        <v>7185883.2724273875</v>
      </c>
      <c r="O272" s="241">
        <v>1049911.4088133033</v>
      </c>
      <c r="P272" s="372">
        <f>SUM(Yhteenveto[[#This Row],[Kunnan  peruspalvelujen valtionosuus ]:[Veroperustemuutoksista johtuvien veromenetysten korvaus]])</f>
        <v>8235794.6812406909</v>
      </c>
      <c r="Q272" s="34">
        <v>134927.76090999995</v>
      </c>
      <c r="R272" s="341">
        <f>+Yhteenveto[[#This Row],[Kunnan  peruspalvelujen valtionosuus ]]+Yhteenveto[[#This Row],[Veroperustemuutoksista johtuvien veromenetysten korvaus]]+Yhteenveto[[#This Row],[Kotikuntakorvaus, netto]]</f>
        <v>8370722.4421506906</v>
      </c>
      <c r="S272" s="11"/>
      <c r="T272"/>
    </row>
    <row r="273" spans="1:20" ht="15">
      <c r="A273" s="32">
        <v>887</v>
      </c>
      <c r="B273" s="13" t="s">
        <v>279</v>
      </c>
      <c r="C273" s="15">
        <v>4568</v>
      </c>
      <c r="D273" s="15">
        <f>Ikärakenne[[#This Row],[Laskennalliset kustannukset, IKÄRAKENNE yhteensä, €]]</f>
        <v>5826670.2199999997</v>
      </c>
      <c r="E273" s="15">
        <f>'Lask. kustannukset MUUT'!AD279</f>
        <v>1338579.3897457253</v>
      </c>
      <c r="F273" s="231">
        <f>Yhteenveto[[#This Row],[Ikärakenne, laskennallinen kustannus]]+Yhteenveto[[#This Row],[Muut laskennalliset kustannukset ]]</f>
        <v>7165249.6097457251</v>
      </c>
      <c r="G273" s="498">
        <v>1422.47</v>
      </c>
      <c r="H273" s="17">
        <v>6497842.96</v>
      </c>
      <c r="I273" s="339">
        <f>Yhteenveto[[#This Row],[Laskennalliset kustannukset yhteensä]]-Yhteenveto[[#This Row],[Omarahoitusosuus, €]]</f>
        <v>667406.6497457251</v>
      </c>
      <c r="J273" s="33">
        <v>129222.41859470394</v>
      </c>
      <c r="K273" s="34">
        <f>'Muut lis_väh'!O271</f>
        <v>-813911.91875544027</v>
      </c>
      <c r="L273" s="231">
        <f>Yhteenveto[[#This Row],[Valtionosuus omarahoitusosuuden jälkeen (välisumma)]]+Yhteenveto[[#This Row],[Lisäosat yhteensä]]+Yhteenveto[[#This Row],[Valtionosuuteen tehtävät vähennykset ja lisäykset, netto]]</f>
        <v>-17282.850415011286</v>
      </c>
      <c r="M273" s="34">
        <f>'Verotuloihin perust tasaus'!N279</f>
        <v>2508577.3822500338</v>
      </c>
      <c r="N273" s="303">
        <f>SUM(Yhteenveto[[#This Row],[Valtionosuus ennen verotuloihin perustuvaa valtionosuuden tasausta]]+Yhteenveto[[#This Row],[Verotuloihin perustuva valtionosuuden tasaus]])</f>
        <v>2491294.5318350224</v>
      </c>
      <c r="O273" s="241">
        <v>700348.04621820373</v>
      </c>
      <c r="P273" s="372">
        <f>SUM(Yhteenveto[[#This Row],[Kunnan  peruspalvelujen valtionosuus ]:[Veroperustemuutoksista johtuvien veromenetysten korvaus]])</f>
        <v>3191642.5780532262</v>
      </c>
      <c r="Q273" s="34">
        <v>219996.2254</v>
      </c>
      <c r="R273" s="341">
        <f>+Yhteenveto[[#This Row],[Kunnan  peruspalvelujen valtionosuus ]]+Yhteenveto[[#This Row],[Veroperustemuutoksista johtuvien veromenetysten korvaus]]+Yhteenveto[[#This Row],[Kotikuntakorvaus, netto]]</f>
        <v>3411638.8034532261</v>
      </c>
      <c r="S273" s="11"/>
      <c r="T273"/>
    </row>
    <row r="274" spans="1:20" ht="15">
      <c r="A274" s="32">
        <v>889</v>
      </c>
      <c r="B274" s="13" t="s">
        <v>280</v>
      </c>
      <c r="C274" s="15">
        <v>2491</v>
      </c>
      <c r="D274" s="15">
        <f>Ikärakenne[[#This Row],[Laskennalliset kustannukset, IKÄRAKENNE yhteensä, €]]</f>
        <v>3537222.34</v>
      </c>
      <c r="E274" s="15">
        <f>'Lask. kustannukset MUUT'!AD280</f>
        <v>1776070.7255052039</v>
      </c>
      <c r="F274" s="231">
        <f>Yhteenveto[[#This Row],[Ikärakenne, laskennallinen kustannus]]+Yhteenveto[[#This Row],[Muut laskennalliset kustannukset ]]</f>
        <v>5313293.0655052038</v>
      </c>
      <c r="G274" s="498">
        <v>1422.47</v>
      </c>
      <c r="H274" s="17">
        <v>3543372.77</v>
      </c>
      <c r="I274" s="339">
        <f>Yhteenveto[[#This Row],[Laskennalliset kustannukset yhteensä]]-Yhteenveto[[#This Row],[Omarahoitusosuus, €]]</f>
        <v>1769920.2955052038</v>
      </c>
      <c r="J274" s="33">
        <v>402855.66845383728</v>
      </c>
      <c r="K274" s="34">
        <f>'Muut lis_väh'!O272</f>
        <v>1292368.8782305643</v>
      </c>
      <c r="L274" s="231">
        <f>Yhteenveto[[#This Row],[Valtionosuus omarahoitusosuuden jälkeen (välisumma)]]+Yhteenveto[[#This Row],[Lisäosat yhteensä]]+Yhteenveto[[#This Row],[Valtionosuuteen tehtävät vähennykset ja lisäykset, netto]]</f>
        <v>3465144.8421896053</v>
      </c>
      <c r="M274" s="34">
        <f>'Verotuloihin perust tasaus'!N280</f>
        <v>1244861.7942441129</v>
      </c>
      <c r="N274" s="303">
        <f>SUM(Yhteenveto[[#This Row],[Valtionosuus ennen verotuloihin perustuvaa valtionosuuden tasausta]]+Yhteenveto[[#This Row],[Verotuloihin perustuva valtionosuuden tasaus]])</f>
        <v>4710006.6364337187</v>
      </c>
      <c r="O274" s="241">
        <v>412324.57336824818</v>
      </c>
      <c r="P274" s="372">
        <f>SUM(Yhteenveto[[#This Row],[Kunnan  peruspalvelujen valtionosuus ]:[Veroperustemuutoksista johtuvien veromenetysten korvaus]])</f>
        <v>5122331.2098019673</v>
      </c>
      <c r="Q274" s="34">
        <v>154156.54691</v>
      </c>
      <c r="R274" s="341">
        <f>+Yhteenveto[[#This Row],[Kunnan  peruspalvelujen valtionosuus ]]+Yhteenveto[[#This Row],[Veroperustemuutoksista johtuvien veromenetysten korvaus]]+Yhteenveto[[#This Row],[Kotikuntakorvaus, netto]]</f>
        <v>5276487.7567119673</v>
      </c>
      <c r="S274" s="11"/>
      <c r="T274"/>
    </row>
    <row r="275" spans="1:20" ht="15">
      <c r="A275" s="32">
        <v>890</v>
      </c>
      <c r="B275" s="13" t="s">
        <v>281</v>
      </c>
      <c r="C275" s="15">
        <v>1139</v>
      </c>
      <c r="D275" s="15">
        <f>Ikärakenne[[#This Row],[Laskennalliset kustannukset, IKÄRAKENNE yhteensä, €]]</f>
        <v>1419231.9699999997</v>
      </c>
      <c r="E275" s="15">
        <f>'Lask. kustannukset MUUT'!AD281</f>
        <v>1186349.9080370043</v>
      </c>
      <c r="F275" s="231">
        <f>Yhteenveto[[#This Row],[Ikärakenne, laskennallinen kustannus]]+Yhteenveto[[#This Row],[Muut laskennalliset kustannukset ]]</f>
        <v>2605581.8780370038</v>
      </c>
      <c r="G275" s="498">
        <v>1422.47</v>
      </c>
      <c r="H275" s="17">
        <v>1620193.33</v>
      </c>
      <c r="I275" s="339">
        <f>Yhteenveto[[#This Row],[Laskennalliset kustannukset yhteensä]]-Yhteenveto[[#This Row],[Omarahoitusosuus, €]]</f>
        <v>985388.54803700373</v>
      </c>
      <c r="J275" s="33">
        <v>907160.71088635735</v>
      </c>
      <c r="K275" s="34">
        <f>'Muut lis_väh'!O273</f>
        <v>292530.35469748062</v>
      </c>
      <c r="L275" s="231">
        <f>Yhteenveto[[#This Row],[Valtionosuus omarahoitusosuuden jälkeen (välisumma)]]+Yhteenveto[[#This Row],[Lisäosat yhteensä]]+Yhteenveto[[#This Row],[Valtionosuuteen tehtävät vähennykset ja lisäykset, netto]]</f>
        <v>2185079.6136208419</v>
      </c>
      <c r="M275" s="34">
        <f>'Verotuloihin perust tasaus'!N281</f>
        <v>430155.97530696471</v>
      </c>
      <c r="N275" s="303">
        <f>SUM(Yhteenveto[[#This Row],[Valtionosuus ennen verotuloihin perustuvaa valtionosuuden tasausta]]+Yhteenveto[[#This Row],[Verotuloihin perustuva valtionosuuden tasaus]])</f>
        <v>2615235.5889278064</v>
      </c>
      <c r="O275" s="241">
        <v>167081.89827370475</v>
      </c>
      <c r="P275" s="372">
        <f>SUM(Yhteenveto[[#This Row],[Kunnan  peruspalvelujen valtionosuus ]:[Veroperustemuutoksista johtuvien veromenetysten korvaus]])</f>
        <v>2782317.4872015109</v>
      </c>
      <c r="Q275" s="34">
        <v>-26668.119600000002</v>
      </c>
      <c r="R275" s="341">
        <f>+Yhteenveto[[#This Row],[Kunnan  peruspalvelujen valtionosuus ]]+Yhteenveto[[#This Row],[Veroperustemuutoksista johtuvien veromenetysten korvaus]]+Yhteenveto[[#This Row],[Kotikuntakorvaus, netto]]</f>
        <v>2755649.3676015111</v>
      </c>
      <c r="S275" s="11"/>
      <c r="T275"/>
    </row>
    <row r="276" spans="1:20" ht="15">
      <c r="A276" s="32">
        <v>892</v>
      </c>
      <c r="B276" s="13" t="s">
        <v>282</v>
      </c>
      <c r="C276" s="15">
        <v>3615</v>
      </c>
      <c r="D276" s="15">
        <f>Ikärakenne[[#This Row],[Laskennalliset kustannukset, IKÄRAKENNE yhteensä, €]]</f>
        <v>8540952.4099999983</v>
      </c>
      <c r="E276" s="15">
        <f>'Lask. kustannukset MUUT'!AD282</f>
        <v>862693.68750698573</v>
      </c>
      <c r="F276" s="231">
        <f>Yhteenveto[[#This Row],[Ikärakenne, laskennallinen kustannus]]+Yhteenveto[[#This Row],[Muut laskennalliset kustannukset ]]</f>
        <v>9403646.0975069832</v>
      </c>
      <c r="G276" s="498">
        <v>1422.47</v>
      </c>
      <c r="H276" s="17">
        <v>5142229.05</v>
      </c>
      <c r="I276" s="339">
        <f>Yhteenveto[[#This Row],[Laskennalliset kustannukset yhteensä]]-Yhteenveto[[#This Row],[Omarahoitusosuus, €]]</f>
        <v>4261417.0475069834</v>
      </c>
      <c r="J276" s="33">
        <v>105907.38554061652</v>
      </c>
      <c r="K276" s="34">
        <f>'Muut lis_väh'!O274</f>
        <v>427142.33309081546</v>
      </c>
      <c r="L276" s="231">
        <f>Yhteenveto[[#This Row],[Valtionosuus omarahoitusosuuden jälkeen (välisumma)]]+Yhteenveto[[#This Row],[Lisäosat yhteensä]]+Yhteenveto[[#This Row],[Valtionosuuteen tehtävät vähennykset ja lisäykset, netto]]</f>
        <v>4794466.7661384158</v>
      </c>
      <c r="M276" s="34">
        <f>'Verotuloihin perust tasaus'!N282</f>
        <v>2189115.2860795101</v>
      </c>
      <c r="N276" s="303">
        <f>SUM(Yhteenveto[[#This Row],[Valtionosuus ennen verotuloihin perustuvaa valtionosuuden tasausta]]+Yhteenveto[[#This Row],[Verotuloihin perustuva valtionosuuden tasaus]])</f>
        <v>6983582.0522179259</v>
      </c>
      <c r="O276" s="241">
        <v>338493.33807185333</v>
      </c>
      <c r="P276" s="372">
        <f>SUM(Yhteenveto[[#This Row],[Kunnan  peruspalvelujen valtionosuus ]:[Veroperustemuutoksista johtuvien veromenetysten korvaus]])</f>
        <v>7322075.3902897788</v>
      </c>
      <c r="Q276" s="34">
        <v>-40002.179400000001</v>
      </c>
      <c r="R276" s="341">
        <f>+Yhteenveto[[#This Row],[Kunnan  peruspalvelujen valtionosuus ]]+Yhteenveto[[#This Row],[Veroperustemuutoksista johtuvien veromenetysten korvaus]]+Yhteenveto[[#This Row],[Kotikuntakorvaus, netto]]</f>
        <v>7282073.210889779</v>
      </c>
      <c r="S276" s="11"/>
      <c r="T276"/>
    </row>
    <row r="277" spans="1:20" ht="15">
      <c r="A277" s="32">
        <v>893</v>
      </c>
      <c r="B277" s="13" t="s">
        <v>283</v>
      </c>
      <c r="C277" s="15">
        <v>7500</v>
      </c>
      <c r="D277" s="15">
        <f>Ikärakenne[[#This Row],[Laskennalliset kustannukset, IKÄRAKENNE yhteensä, €]]</f>
        <v>13214386.030000001</v>
      </c>
      <c r="E277" s="15">
        <f>'Lask. kustannukset MUUT'!AD283</f>
        <v>4430149.8729684837</v>
      </c>
      <c r="F277" s="231">
        <f>Yhteenveto[[#This Row],[Ikärakenne, laskennallinen kustannus]]+Yhteenveto[[#This Row],[Muut laskennalliset kustannukset ]]</f>
        <v>17644535.902968485</v>
      </c>
      <c r="G277" s="498">
        <v>1422.47</v>
      </c>
      <c r="H277" s="17">
        <v>10668525</v>
      </c>
      <c r="I277" s="339">
        <f>Yhteenveto[[#This Row],[Laskennalliset kustannukset yhteensä]]-Yhteenveto[[#This Row],[Omarahoitusosuus, €]]</f>
        <v>6976010.9029684849</v>
      </c>
      <c r="J277" s="33">
        <v>238651.42057605035</v>
      </c>
      <c r="K277" s="34">
        <f>'Muut lis_väh'!O275</f>
        <v>-931056.72224122123</v>
      </c>
      <c r="L277" s="231">
        <f>Yhteenveto[[#This Row],[Valtionosuus omarahoitusosuuden jälkeen (välisumma)]]+Yhteenveto[[#This Row],[Lisäosat yhteensä]]+Yhteenveto[[#This Row],[Valtionosuuteen tehtävät vähennykset ja lisäykset, netto]]</f>
        <v>6283605.6013033139</v>
      </c>
      <c r="M277" s="34">
        <f>'Verotuloihin perust tasaus'!N283</f>
        <v>2372555.2247007773</v>
      </c>
      <c r="N277" s="303">
        <f>SUM(Yhteenveto[[#This Row],[Valtionosuus ennen verotuloihin perustuvaa valtionosuuden tasausta]]+Yhteenveto[[#This Row],[Verotuloihin perustuva valtionosuuden tasaus]])</f>
        <v>8656160.8260040917</v>
      </c>
      <c r="O277" s="241">
        <v>1004124.7412560891</v>
      </c>
      <c r="P277" s="372">
        <f>SUM(Yhteenveto[[#This Row],[Kunnan  peruspalvelujen valtionosuus ]:[Veroperustemuutoksista johtuvien veromenetysten korvaus]])</f>
        <v>9660285.5672601815</v>
      </c>
      <c r="Q277" s="34">
        <v>-31038.72808999999</v>
      </c>
      <c r="R277" s="341">
        <f>+Yhteenveto[[#This Row],[Kunnan  peruspalvelujen valtionosuus ]]+Yhteenveto[[#This Row],[Veroperustemuutoksista johtuvien veromenetysten korvaus]]+Yhteenveto[[#This Row],[Kotikuntakorvaus, netto]]</f>
        <v>9629246.8391701821</v>
      </c>
      <c r="S277" s="11"/>
      <c r="T277"/>
    </row>
    <row r="278" spans="1:20" ht="15">
      <c r="A278" s="32">
        <v>895</v>
      </c>
      <c r="B278" s="13" t="s">
        <v>284</v>
      </c>
      <c r="C278" s="15">
        <v>14938</v>
      </c>
      <c r="D278" s="15">
        <f>Ikärakenne[[#This Row],[Laskennalliset kustannukset, IKÄRAKENNE yhteensä, €]]</f>
        <v>19736835.079999998</v>
      </c>
      <c r="E278" s="15">
        <f>'Lask. kustannukset MUUT'!AD284</f>
        <v>5097956.9861059999</v>
      </c>
      <c r="F278" s="231">
        <f>Yhteenveto[[#This Row],[Ikärakenne, laskennallinen kustannus]]+Yhteenveto[[#This Row],[Muut laskennalliset kustannukset ]]</f>
        <v>24834792.066105999</v>
      </c>
      <c r="G278" s="498">
        <v>1422.47</v>
      </c>
      <c r="H278" s="17">
        <v>21248856.859999999</v>
      </c>
      <c r="I278" s="339">
        <f>Yhteenveto[[#This Row],[Laskennalliset kustannukset yhteensä]]-Yhteenveto[[#This Row],[Omarahoitusosuus, €]]</f>
        <v>3585935.2061059996</v>
      </c>
      <c r="J278" s="33">
        <v>533638.28719135455</v>
      </c>
      <c r="K278" s="34">
        <f>'Muut lis_väh'!O276</f>
        <v>1065819.6872769771</v>
      </c>
      <c r="L278" s="231">
        <f>Yhteenveto[[#This Row],[Valtionosuus omarahoitusosuuden jälkeen (välisumma)]]+Yhteenveto[[#This Row],[Lisäosat yhteensä]]+Yhteenveto[[#This Row],[Valtionosuuteen tehtävät vähennykset ja lisäykset, netto]]</f>
        <v>5185393.1805743314</v>
      </c>
      <c r="M278" s="34">
        <f>'Verotuloihin perust tasaus'!N284</f>
        <v>1023688.3681931889</v>
      </c>
      <c r="N278" s="303">
        <f>SUM(Yhteenveto[[#This Row],[Valtionosuus ennen verotuloihin perustuvaa valtionosuuden tasausta]]+Yhteenveto[[#This Row],[Verotuloihin perustuva valtionosuuden tasaus]])</f>
        <v>6209081.5487675201</v>
      </c>
      <c r="O278" s="241">
        <v>1490776.9621054158</v>
      </c>
      <c r="P278" s="372">
        <f>SUM(Yhteenveto[[#This Row],[Kunnan  peruspalvelujen valtionosuus ]:[Veroperustemuutoksista johtuvien veromenetysten korvaus]])</f>
        <v>7699858.5108729359</v>
      </c>
      <c r="Q278" s="34">
        <v>481952.18365999998</v>
      </c>
      <c r="R278" s="341">
        <f>+Yhteenveto[[#This Row],[Kunnan  peruspalvelujen valtionosuus ]]+Yhteenveto[[#This Row],[Veroperustemuutoksista johtuvien veromenetysten korvaus]]+Yhteenveto[[#This Row],[Kotikuntakorvaus, netto]]</f>
        <v>8181810.6945329355</v>
      </c>
      <c r="S278" s="11"/>
      <c r="T278"/>
    </row>
    <row r="279" spans="1:20" ht="15">
      <c r="A279" s="32">
        <v>905</v>
      </c>
      <c r="B279" s="13" t="s">
        <v>285</v>
      </c>
      <c r="C279" s="15">
        <v>68956</v>
      </c>
      <c r="D279" s="15">
        <f>Ikärakenne[[#This Row],[Laskennalliset kustannukset, IKÄRAKENNE yhteensä, €]]</f>
        <v>98827201.000000015</v>
      </c>
      <c r="E279" s="15">
        <f>'Lask. kustannukset MUUT'!AD285</f>
        <v>29418282.174838588</v>
      </c>
      <c r="F279" s="231">
        <f>Yhteenveto[[#This Row],[Ikärakenne, laskennallinen kustannus]]+Yhteenveto[[#This Row],[Muut laskennalliset kustannukset ]]</f>
        <v>128245483.1748386</v>
      </c>
      <c r="G279" s="498">
        <v>1422.47</v>
      </c>
      <c r="H279" s="17">
        <v>98087841.320000008</v>
      </c>
      <c r="I279" s="339">
        <f>Yhteenveto[[#This Row],[Laskennalliset kustannukset yhteensä]]-Yhteenveto[[#This Row],[Omarahoitusosuus, €]]</f>
        <v>30157641.854838595</v>
      </c>
      <c r="J279" s="33">
        <v>3244799.4772103643</v>
      </c>
      <c r="K279" s="34">
        <f>'Muut lis_väh'!O277</f>
        <v>-25253913.995315772</v>
      </c>
      <c r="L279" s="231">
        <f>Yhteenveto[[#This Row],[Valtionosuus omarahoitusosuuden jälkeen (välisumma)]]+Yhteenveto[[#This Row],[Lisäosat yhteensä]]+Yhteenveto[[#This Row],[Valtionosuuteen tehtävät vähennykset ja lisäykset, netto]]</f>
        <v>8148527.3367331885</v>
      </c>
      <c r="M279" s="34">
        <f>'Verotuloihin perust tasaus'!N285</f>
        <v>4876207.0136264786</v>
      </c>
      <c r="N279" s="303">
        <f>SUM(Yhteenveto[[#This Row],[Valtionosuus ennen verotuloihin perustuvaa valtionosuuden tasausta]]+Yhteenveto[[#This Row],[Verotuloihin perustuva valtionosuuden tasaus]])</f>
        <v>13024734.350359667</v>
      </c>
      <c r="O279" s="241">
        <v>6134400.0545113627</v>
      </c>
      <c r="P279" s="372">
        <f>SUM(Yhteenveto[[#This Row],[Kunnan  peruspalvelujen valtionosuus ]:[Veroperustemuutoksista johtuvien veromenetysten korvaus]])</f>
        <v>19159134.404871032</v>
      </c>
      <c r="Q279" s="34">
        <v>-5764657.6478800001</v>
      </c>
      <c r="R279" s="341">
        <f>+Yhteenveto[[#This Row],[Kunnan  peruspalvelujen valtionosuus ]]+Yhteenveto[[#This Row],[Veroperustemuutoksista johtuvien veromenetysten korvaus]]+Yhteenveto[[#This Row],[Kotikuntakorvaus, netto]]</f>
        <v>13394476.756991033</v>
      </c>
      <c r="S279" s="11"/>
      <c r="T279"/>
    </row>
    <row r="280" spans="1:20" ht="15">
      <c r="A280" s="32">
        <v>908</v>
      </c>
      <c r="B280" s="13" t="s">
        <v>286</v>
      </c>
      <c r="C280" s="15">
        <v>20694</v>
      </c>
      <c r="D280" s="15">
        <f>Ikärakenne[[#This Row],[Laskennalliset kustannukset, IKÄRAKENNE yhteensä, €]]</f>
        <v>31110782.489999995</v>
      </c>
      <c r="E280" s="15">
        <f>'Lask. kustannukset MUUT'!AD286</f>
        <v>5148681.5853930227</v>
      </c>
      <c r="F280" s="231">
        <f>Yhteenveto[[#This Row],[Ikärakenne, laskennallinen kustannus]]+Yhteenveto[[#This Row],[Muut laskennalliset kustannukset ]]</f>
        <v>36259464.075393021</v>
      </c>
      <c r="G280" s="498">
        <v>1422.47</v>
      </c>
      <c r="H280" s="17">
        <v>29436594.18</v>
      </c>
      <c r="I280" s="339">
        <f>Yhteenveto[[#This Row],[Laskennalliset kustannukset yhteensä]]-Yhteenveto[[#This Row],[Omarahoitusosuus, €]]</f>
        <v>6822869.8953930214</v>
      </c>
      <c r="J280" s="33">
        <v>634001.99663569848</v>
      </c>
      <c r="K280" s="34">
        <f>'Muut lis_väh'!O278</f>
        <v>-4125050.8386733024</v>
      </c>
      <c r="L280" s="231">
        <f>Yhteenveto[[#This Row],[Valtionosuus omarahoitusosuuden jälkeen (välisumma)]]+Yhteenveto[[#This Row],[Lisäosat yhteensä]]+Yhteenveto[[#This Row],[Valtionosuuteen tehtävät vähennykset ja lisäykset, netto]]</f>
        <v>3331821.0533554177</v>
      </c>
      <c r="M280" s="34">
        <f>'Verotuloihin perust tasaus'!N286</f>
        <v>4113309.3522940506</v>
      </c>
      <c r="N280" s="303">
        <f>SUM(Yhteenveto[[#This Row],[Valtionosuus ennen verotuloihin perustuvaa valtionosuuden tasausta]]+Yhteenveto[[#This Row],[Verotuloihin perustuva valtionosuuden tasaus]])</f>
        <v>7445130.4056494683</v>
      </c>
      <c r="O280" s="241">
        <v>1489337.3517855837</v>
      </c>
      <c r="P280" s="372">
        <f>SUM(Yhteenveto[[#This Row],[Kunnan  peruspalvelujen valtionosuus ]:[Veroperustemuutoksista johtuvien veromenetysten korvaus]])</f>
        <v>8934467.7574350517</v>
      </c>
      <c r="Q280" s="34">
        <v>-124900.42184999993</v>
      </c>
      <c r="R280" s="341">
        <f>+Yhteenveto[[#This Row],[Kunnan  peruspalvelujen valtionosuus ]]+Yhteenveto[[#This Row],[Veroperustemuutoksista johtuvien veromenetysten korvaus]]+Yhteenveto[[#This Row],[Kotikuntakorvaus, netto]]</f>
        <v>8809567.3355850521</v>
      </c>
      <c r="S280" s="11"/>
      <c r="T280"/>
    </row>
    <row r="281" spans="1:20" ht="15">
      <c r="A281" s="32">
        <v>915</v>
      </c>
      <c r="B281" s="13" t="s">
        <v>287</v>
      </c>
      <c r="C281" s="15">
        <v>19727</v>
      </c>
      <c r="D281" s="15">
        <f>Ikärakenne[[#This Row],[Laskennalliset kustannukset, IKÄRAKENNE yhteensä, €]]</f>
        <v>23506791.970000003</v>
      </c>
      <c r="E281" s="15">
        <f>'Lask. kustannukset MUUT'!AD287</f>
        <v>5527294.6224427745</v>
      </c>
      <c r="F281" s="231">
        <f>Yhteenveto[[#This Row],[Ikärakenne, laskennallinen kustannus]]+Yhteenveto[[#This Row],[Muut laskennalliset kustannukset ]]</f>
        <v>29034086.592442777</v>
      </c>
      <c r="G281" s="498">
        <v>1422.47</v>
      </c>
      <c r="H281" s="17">
        <v>28061065.690000001</v>
      </c>
      <c r="I281" s="339">
        <f>Yhteenveto[[#This Row],[Laskennalliset kustannukset yhteensä]]-Yhteenveto[[#This Row],[Omarahoitusosuus, €]]</f>
        <v>973020.90244277567</v>
      </c>
      <c r="J281" s="33">
        <v>817410.2606940011</v>
      </c>
      <c r="K281" s="34">
        <f>'Muut lis_väh'!O279</f>
        <v>-1291267.0278233569</v>
      </c>
      <c r="L281" s="231">
        <f>Yhteenveto[[#This Row],[Valtionosuus omarahoitusosuuden jälkeen (välisumma)]]+Yhteenveto[[#This Row],[Lisäosat yhteensä]]+Yhteenveto[[#This Row],[Valtionosuuteen tehtävät vähennykset ja lisäykset, netto]]</f>
        <v>499164.13531341986</v>
      </c>
      <c r="M281" s="34">
        <f>'Verotuloihin perust tasaus'!N287</f>
        <v>5565615.1757206097</v>
      </c>
      <c r="N281" s="303">
        <f>SUM(Yhteenveto[[#This Row],[Valtionosuus ennen verotuloihin perustuvaa valtionosuuden tasausta]]+Yhteenveto[[#This Row],[Verotuloihin perustuva valtionosuuden tasaus]])</f>
        <v>6064779.3110340293</v>
      </c>
      <c r="O281" s="241">
        <v>2124234.4159958288</v>
      </c>
      <c r="P281" s="372">
        <f>SUM(Yhteenveto[[#This Row],[Kunnan  peruspalvelujen valtionosuus ]:[Veroperustemuutoksista johtuvien veromenetysten korvaus]])</f>
        <v>8189013.7270298582</v>
      </c>
      <c r="Q281" s="34">
        <v>124895.69345999992</v>
      </c>
      <c r="R281" s="341">
        <f>+Yhteenveto[[#This Row],[Kunnan  peruspalvelujen valtionosuus ]]+Yhteenveto[[#This Row],[Veroperustemuutoksista johtuvien veromenetysten korvaus]]+Yhteenveto[[#This Row],[Kotikuntakorvaus, netto]]</f>
        <v>8313909.4204898579</v>
      </c>
      <c r="S281" s="11"/>
      <c r="T281"/>
    </row>
    <row r="282" spans="1:20" ht="15">
      <c r="A282" s="32">
        <v>918</v>
      </c>
      <c r="B282" s="13" t="s">
        <v>288</v>
      </c>
      <c r="C282" s="15">
        <v>2245</v>
      </c>
      <c r="D282" s="15">
        <f>Ikärakenne[[#This Row],[Laskennalliset kustannukset, IKÄRAKENNE yhteensä, €]]</f>
        <v>3127231.16</v>
      </c>
      <c r="E282" s="15">
        <f>'Lask. kustannukset MUUT'!AD288</f>
        <v>656861.04006387712</v>
      </c>
      <c r="F282" s="231">
        <f>Yhteenveto[[#This Row],[Ikärakenne, laskennallinen kustannus]]+Yhteenveto[[#This Row],[Muut laskennalliset kustannukset ]]</f>
        <v>3784092.2000638773</v>
      </c>
      <c r="G282" s="498">
        <v>1422.47</v>
      </c>
      <c r="H282" s="17">
        <v>3193445.15</v>
      </c>
      <c r="I282" s="339">
        <f>Yhteenveto[[#This Row],[Laskennalliset kustannukset yhteensä]]-Yhteenveto[[#This Row],[Omarahoitusosuus, €]]</f>
        <v>590647.05006387737</v>
      </c>
      <c r="J282" s="33">
        <v>52845.544035304672</v>
      </c>
      <c r="K282" s="34">
        <f>'Muut lis_väh'!O280</f>
        <v>-227418.35267083725</v>
      </c>
      <c r="L282" s="231">
        <f>Yhteenveto[[#This Row],[Valtionosuus omarahoitusosuuden jälkeen (välisumma)]]+Yhteenveto[[#This Row],[Lisäosat yhteensä]]+Yhteenveto[[#This Row],[Valtionosuuteen tehtävät vähennykset ja lisäykset, netto]]</f>
        <v>416074.2414283448</v>
      </c>
      <c r="M282" s="34">
        <f>'Verotuloihin perust tasaus'!N288</f>
        <v>1063770.2194062178</v>
      </c>
      <c r="N282" s="303">
        <f>SUM(Yhteenveto[[#This Row],[Valtionosuus ennen verotuloihin perustuvaa valtionosuuden tasausta]]+Yhteenveto[[#This Row],[Verotuloihin perustuva valtionosuuden tasaus]])</f>
        <v>1479844.4608345625</v>
      </c>
      <c r="O282" s="241">
        <v>338478.62908011919</v>
      </c>
      <c r="P282" s="372">
        <f>SUM(Yhteenveto[[#This Row],[Kunnan  peruspalvelujen valtionosuus ]:[Veroperustemuutoksista johtuvien veromenetysten korvaus]])</f>
        <v>1818323.0899146819</v>
      </c>
      <c r="Q282" s="34">
        <v>77041.234400000001</v>
      </c>
      <c r="R282" s="341">
        <f>+Yhteenveto[[#This Row],[Kunnan  peruspalvelujen valtionosuus ]]+Yhteenveto[[#This Row],[Veroperustemuutoksista johtuvien veromenetysten korvaus]]+Yhteenveto[[#This Row],[Kotikuntakorvaus, netto]]</f>
        <v>1895364.3243146818</v>
      </c>
      <c r="S282" s="11"/>
      <c r="T282"/>
    </row>
    <row r="283" spans="1:20" ht="15">
      <c r="A283" s="32">
        <v>921</v>
      </c>
      <c r="B283" s="13" t="s">
        <v>289</v>
      </c>
      <c r="C283" s="15">
        <v>1895</v>
      </c>
      <c r="D283" s="15">
        <f>Ikärakenne[[#This Row],[Laskennalliset kustannukset, IKÄRAKENNE yhteensä, €]]</f>
        <v>1778296.94</v>
      </c>
      <c r="E283" s="15">
        <f>'Lask. kustannukset MUUT'!AD289</f>
        <v>688233.18602191308</v>
      </c>
      <c r="F283" s="231">
        <f>Yhteenveto[[#This Row],[Ikärakenne, laskennallinen kustannus]]+Yhteenveto[[#This Row],[Muut laskennalliset kustannukset ]]</f>
        <v>2466530.1260219133</v>
      </c>
      <c r="G283" s="498">
        <v>1422.47</v>
      </c>
      <c r="H283" s="17">
        <v>2695580.65</v>
      </c>
      <c r="I283" s="339">
        <f>Yhteenveto[[#This Row],[Laskennalliset kustannukset yhteensä]]-Yhteenveto[[#This Row],[Omarahoitusosuus, €]]</f>
        <v>-229050.52397808665</v>
      </c>
      <c r="J283" s="33">
        <v>650794.92845392437</v>
      </c>
      <c r="K283" s="34">
        <f>'Muut lis_väh'!O281</f>
        <v>649574.82180888625</v>
      </c>
      <c r="L283" s="231">
        <f>Yhteenveto[[#This Row],[Valtionosuus omarahoitusosuuden jälkeen (välisumma)]]+Yhteenveto[[#This Row],[Lisäosat yhteensä]]+Yhteenveto[[#This Row],[Valtionosuuteen tehtävät vähennykset ja lisäykset, netto]]</f>
        <v>1071319.226284724</v>
      </c>
      <c r="M283" s="34">
        <f>'Verotuloihin perust tasaus'!N289</f>
        <v>1134523.2851777391</v>
      </c>
      <c r="N283" s="303">
        <f>SUM(Yhteenveto[[#This Row],[Valtionosuus ennen verotuloihin perustuvaa valtionosuuden tasausta]]+Yhteenveto[[#This Row],[Verotuloihin perustuva valtionosuuden tasaus]])</f>
        <v>2205842.5114624631</v>
      </c>
      <c r="O283" s="241">
        <v>389220.03134215786</v>
      </c>
      <c r="P283" s="372">
        <f>SUM(Yhteenveto[[#This Row],[Kunnan  peruspalvelujen valtionosuus ]:[Veroperustemuutoksista johtuvien veromenetysten korvaus]])</f>
        <v>2595062.5428046212</v>
      </c>
      <c r="Q283" s="34">
        <v>244457.76300000001</v>
      </c>
      <c r="R283" s="341">
        <f>+Yhteenveto[[#This Row],[Kunnan  peruspalvelujen valtionosuus ]]+Yhteenveto[[#This Row],[Veroperustemuutoksista johtuvien veromenetysten korvaus]]+Yhteenveto[[#This Row],[Kotikuntakorvaus, netto]]</f>
        <v>2839520.305804621</v>
      </c>
      <c r="S283" s="11"/>
      <c r="T283"/>
    </row>
    <row r="284" spans="1:20" ht="15">
      <c r="A284" s="32">
        <v>922</v>
      </c>
      <c r="B284" s="13" t="s">
        <v>290</v>
      </c>
      <c r="C284" s="15">
        <v>4469</v>
      </c>
      <c r="D284" s="15">
        <f>Ikärakenne[[#This Row],[Laskennalliset kustannukset, IKÄRAKENNE yhteensä, €]]</f>
        <v>8533128.0200000014</v>
      </c>
      <c r="E284" s="15">
        <f>'Lask. kustannukset MUUT'!AD290</f>
        <v>782123.1580654711</v>
      </c>
      <c r="F284" s="231">
        <f>Yhteenveto[[#This Row],[Ikärakenne, laskennallinen kustannus]]+Yhteenveto[[#This Row],[Muut laskennalliset kustannukset ]]</f>
        <v>9315251.1780654732</v>
      </c>
      <c r="G284" s="498">
        <v>1422.47</v>
      </c>
      <c r="H284" s="17">
        <v>6357018.4299999997</v>
      </c>
      <c r="I284" s="339">
        <f>Yhteenveto[[#This Row],[Laskennalliset kustannukset yhteensä]]-Yhteenveto[[#This Row],[Omarahoitusosuus, €]]</f>
        <v>2958232.7480654735</v>
      </c>
      <c r="J284" s="33">
        <v>167752.48177536493</v>
      </c>
      <c r="K284" s="34">
        <f>'Muut lis_väh'!O282</f>
        <v>-418903.91009522055</v>
      </c>
      <c r="L284" s="231">
        <f>Yhteenveto[[#This Row],[Valtionosuus omarahoitusosuuden jälkeen (välisumma)]]+Yhteenveto[[#This Row],[Lisäosat yhteensä]]+Yhteenveto[[#This Row],[Valtionosuuteen tehtävät vähennykset ja lisäykset, netto]]</f>
        <v>2707081.3197456179</v>
      </c>
      <c r="M284" s="34">
        <f>'Verotuloihin perust tasaus'!N290</f>
        <v>1194632.2887438857</v>
      </c>
      <c r="N284" s="303">
        <f>SUM(Yhteenveto[[#This Row],[Valtionosuus ennen verotuloihin perustuvaa valtionosuuden tasausta]]+Yhteenveto[[#This Row],[Verotuloihin perustuva valtionosuuden tasaus]])</f>
        <v>3901713.6084895036</v>
      </c>
      <c r="O284" s="241">
        <v>375626.87729903229</v>
      </c>
      <c r="P284" s="372">
        <f>SUM(Yhteenveto[[#This Row],[Kunnan  peruspalvelujen valtionosuus ]:[Veroperustemuutoksista johtuvien veromenetysten korvaus]])</f>
        <v>4277340.4857885363</v>
      </c>
      <c r="Q284" s="34">
        <v>85604.348689999984</v>
      </c>
      <c r="R284" s="341">
        <f>+Yhteenveto[[#This Row],[Kunnan  peruspalvelujen valtionosuus ]]+Yhteenveto[[#This Row],[Veroperustemuutoksista johtuvien veromenetysten korvaus]]+Yhteenveto[[#This Row],[Kotikuntakorvaus, netto]]</f>
        <v>4362944.8344785366</v>
      </c>
      <c r="S284" s="11"/>
      <c r="T284"/>
    </row>
    <row r="285" spans="1:20" ht="15">
      <c r="A285" s="32">
        <v>924</v>
      </c>
      <c r="B285" s="13" t="s">
        <v>291</v>
      </c>
      <c r="C285" s="15">
        <v>2936</v>
      </c>
      <c r="D285" s="15">
        <f>Ikärakenne[[#This Row],[Laskennalliset kustannukset, IKÄRAKENNE yhteensä, €]]</f>
        <v>4399155.26</v>
      </c>
      <c r="E285" s="15">
        <f>'Lask. kustannukset MUUT'!AD291</f>
        <v>837109.30066366121</v>
      </c>
      <c r="F285" s="231">
        <f>Yhteenveto[[#This Row],[Ikärakenne, laskennallinen kustannus]]+Yhteenveto[[#This Row],[Muut laskennalliset kustannukset ]]</f>
        <v>5236264.560663661</v>
      </c>
      <c r="G285" s="498">
        <v>1422.47</v>
      </c>
      <c r="H285" s="17">
        <v>4176371.92</v>
      </c>
      <c r="I285" s="339">
        <f>Yhteenveto[[#This Row],[Laskennalliset kustannukset yhteensä]]-Yhteenveto[[#This Row],[Omarahoitusosuus, €]]</f>
        <v>1059892.6406636611</v>
      </c>
      <c r="J285" s="33">
        <v>276287.23332384421</v>
      </c>
      <c r="K285" s="34">
        <f>'Muut lis_väh'!O283</f>
        <v>-2834.1561236666312</v>
      </c>
      <c r="L285" s="231">
        <f>Yhteenveto[[#This Row],[Valtionosuus omarahoitusosuuden jälkeen (välisumma)]]+Yhteenveto[[#This Row],[Lisäosat yhteensä]]+Yhteenveto[[#This Row],[Valtionosuuteen tehtävät vähennykset ja lisäykset, netto]]</f>
        <v>1333345.7178638387</v>
      </c>
      <c r="M285" s="34">
        <f>'Verotuloihin perust tasaus'!N291</f>
        <v>1656833.7212476942</v>
      </c>
      <c r="N285" s="303">
        <f>SUM(Yhteenveto[[#This Row],[Valtionosuus ennen verotuloihin perustuvaa valtionosuuden tasausta]]+Yhteenveto[[#This Row],[Verotuloihin perustuva valtionosuuden tasaus]])</f>
        <v>2990179.4391115326</v>
      </c>
      <c r="O285" s="241">
        <v>494958.58615695836</v>
      </c>
      <c r="P285" s="372">
        <f>SUM(Yhteenveto[[#This Row],[Kunnan  peruspalvelujen valtionosuus ]:[Veroperustemuutoksista johtuvien veromenetysten korvaus]])</f>
        <v>3485138.0252684909</v>
      </c>
      <c r="Q285" s="34">
        <v>26668.119600000005</v>
      </c>
      <c r="R285" s="341">
        <f>+Yhteenveto[[#This Row],[Kunnan  peruspalvelujen valtionosuus ]]+Yhteenveto[[#This Row],[Veroperustemuutoksista johtuvien veromenetysten korvaus]]+Yhteenveto[[#This Row],[Kotikuntakorvaus, netto]]</f>
        <v>3511806.1448684908</v>
      </c>
      <c r="S285" s="11"/>
      <c r="T285"/>
    </row>
    <row r="286" spans="1:20" ht="15">
      <c r="A286" s="32">
        <v>925</v>
      </c>
      <c r="B286" s="13" t="s">
        <v>292</v>
      </c>
      <c r="C286" s="15">
        <v>3387</v>
      </c>
      <c r="D286" s="15">
        <f>Ikärakenne[[#This Row],[Laskennalliset kustannukset, IKÄRAKENNE yhteensä, €]]</f>
        <v>4806343.0599999996</v>
      </c>
      <c r="E286" s="15">
        <f>'Lask. kustannukset MUUT'!AD292</f>
        <v>1385076.1720248554</v>
      </c>
      <c r="F286" s="231">
        <f>Yhteenveto[[#This Row],[Ikärakenne, laskennallinen kustannus]]+Yhteenveto[[#This Row],[Muut laskennalliset kustannukset ]]</f>
        <v>6191419.232024855</v>
      </c>
      <c r="G286" s="498">
        <v>1422.47</v>
      </c>
      <c r="H286" s="17">
        <v>4817905.8899999997</v>
      </c>
      <c r="I286" s="339">
        <f>Yhteenveto[[#This Row],[Laskennalliset kustannukset yhteensä]]-Yhteenveto[[#This Row],[Omarahoitusosuus, €]]</f>
        <v>1373513.3420248553</v>
      </c>
      <c r="J286" s="33">
        <v>304602.00086373021</v>
      </c>
      <c r="K286" s="34">
        <f>'Muut lis_väh'!O284</f>
        <v>1859640.2164938671</v>
      </c>
      <c r="L286" s="231">
        <f>Yhteenveto[[#This Row],[Valtionosuus omarahoitusosuuden jälkeen (välisumma)]]+Yhteenveto[[#This Row],[Lisäosat yhteensä]]+Yhteenveto[[#This Row],[Valtionosuuteen tehtävät vähennykset ja lisäykset, netto]]</f>
        <v>3537755.5593824526</v>
      </c>
      <c r="M286" s="34">
        <f>'Verotuloihin perust tasaus'!N292</f>
        <v>59202.266755396624</v>
      </c>
      <c r="N286" s="303">
        <f>SUM(Yhteenveto[[#This Row],[Valtionosuus ennen verotuloihin perustuvaa valtionosuuden tasausta]]+Yhteenveto[[#This Row],[Verotuloihin perustuva valtionosuuden tasaus]])</f>
        <v>3596957.8261378491</v>
      </c>
      <c r="O286" s="241">
        <v>600169.06017581769</v>
      </c>
      <c r="P286" s="372">
        <f>SUM(Yhteenveto[[#This Row],[Kunnan  peruspalvelujen valtionosuus ]:[Veroperustemuutoksista johtuvien veromenetysten korvaus]])</f>
        <v>4197126.8863136666</v>
      </c>
      <c r="Q286" s="34">
        <v>32668.446510000009</v>
      </c>
      <c r="R286" s="341">
        <f>+Yhteenveto[[#This Row],[Kunnan  peruspalvelujen valtionosuus ]]+Yhteenveto[[#This Row],[Veroperustemuutoksista johtuvien veromenetysten korvaus]]+Yhteenveto[[#This Row],[Kotikuntakorvaus, netto]]</f>
        <v>4229795.3328236667</v>
      </c>
      <c r="S286" s="11"/>
      <c r="T286"/>
    </row>
    <row r="287" spans="1:20" ht="15">
      <c r="A287" s="32">
        <v>927</v>
      </c>
      <c r="B287" s="13" t="s">
        <v>293</v>
      </c>
      <c r="C287" s="15">
        <v>28811</v>
      </c>
      <c r="D287" s="15">
        <f>Ikärakenne[[#This Row],[Laskennalliset kustannukset, IKÄRAKENNE yhteensä, €]]</f>
        <v>49475138.07</v>
      </c>
      <c r="E287" s="15">
        <f>'Lask. kustannukset MUUT'!AD293</f>
        <v>7501007.715222178</v>
      </c>
      <c r="F287" s="231">
        <f>Yhteenveto[[#This Row],[Ikärakenne, laskennallinen kustannus]]+Yhteenveto[[#This Row],[Muut laskennalliset kustannukset ]]</f>
        <v>56976145.78522218</v>
      </c>
      <c r="G287" s="498">
        <v>1422.47</v>
      </c>
      <c r="H287" s="17">
        <v>40982783.170000002</v>
      </c>
      <c r="I287" s="339">
        <f>Yhteenveto[[#This Row],[Laskennalliset kustannukset yhteensä]]-Yhteenveto[[#This Row],[Omarahoitusosuus, €]]</f>
        <v>15993362.615222178</v>
      </c>
      <c r="J287" s="33">
        <v>811899.2244336732</v>
      </c>
      <c r="K287" s="34">
        <f>'Muut lis_väh'!O285</f>
        <v>-519256.76451843628</v>
      </c>
      <c r="L287" s="231">
        <f>Yhteenveto[[#This Row],[Valtionosuus omarahoitusosuuden jälkeen (välisumma)]]+Yhteenveto[[#This Row],[Lisäosat yhteensä]]+Yhteenveto[[#This Row],[Valtionosuuteen tehtävät vähennykset ja lisäykset, netto]]</f>
        <v>16286005.075137414</v>
      </c>
      <c r="M287" s="34">
        <f>'Verotuloihin perust tasaus'!N293</f>
        <v>2512095.1249738806</v>
      </c>
      <c r="N287" s="303">
        <f>SUM(Yhteenveto[[#This Row],[Valtionosuus ennen verotuloihin perustuvaa valtionosuuden tasausta]]+Yhteenveto[[#This Row],[Verotuloihin perustuva valtionosuuden tasaus]])</f>
        <v>18798100.200111296</v>
      </c>
      <c r="O287" s="241">
        <v>2321096.2369446699</v>
      </c>
      <c r="P287" s="372">
        <f>SUM(Yhteenveto[[#This Row],[Kunnan  peruspalvelujen valtionosuus ]:[Veroperustemuutoksista johtuvien veromenetysten korvaus]])</f>
        <v>21119196.437055968</v>
      </c>
      <c r="Q287" s="34">
        <v>-124219.53369000019</v>
      </c>
      <c r="R287" s="341">
        <f>+Yhteenveto[[#This Row],[Kunnan  peruspalvelujen valtionosuus ]]+Yhteenveto[[#This Row],[Veroperustemuutoksista johtuvien veromenetysten korvaus]]+Yhteenveto[[#This Row],[Kotikuntakorvaus, netto]]</f>
        <v>20994976.903365966</v>
      </c>
      <c r="S287" s="11"/>
      <c r="T287"/>
    </row>
    <row r="288" spans="1:20" ht="15">
      <c r="A288" s="32">
        <v>931</v>
      </c>
      <c r="B288" s="13" t="s">
        <v>294</v>
      </c>
      <c r="C288" s="15">
        <v>5877</v>
      </c>
      <c r="D288" s="15">
        <f>Ikärakenne[[#This Row],[Laskennalliset kustannukset, IKÄRAKENNE yhteensä, €]]</f>
        <v>6751819.6400000006</v>
      </c>
      <c r="E288" s="15">
        <f>'Lask. kustannukset MUUT'!AD294</f>
        <v>2119135.6836977978</v>
      </c>
      <c r="F288" s="231">
        <f>Yhteenveto[[#This Row],[Ikärakenne, laskennallinen kustannus]]+Yhteenveto[[#This Row],[Muut laskennalliset kustannukset ]]</f>
        <v>8870955.323697798</v>
      </c>
      <c r="G288" s="498">
        <v>1422.47</v>
      </c>
      <c r="H288" s="17">
        <v>8359856.1900000004</v>
      </c>
      <c r="I288" s="339">
        <f>Yhteenveto[[#This Row],[Laskennalliset kustannukset yhteensä]]-Yhteenveto[[#This Row],[Omarahoitusosuus, €]]</f>
        <v>511099.13369779754</v>
      </c>
      <c r="J288" s="33">
        <v>1014108.088922521</v>
      </c>
      <c r="K288" s="34">
        <f>'Muut lis_väh'!O286</f>
        <v>3519879.3064662651</v>
      </c>
      <c r="L288" s="231">
        <f>Yhteenveto[[#This Row],[Valtionosuus omarahoitusosuuden jälkeen (välisumma)]]+Yhteenveto[[#This Row],[Lisäosat yhteensä]]+Yhteenveto[[#This Row],[Valtionosuuteen tehtävät vähennykset ja lisäykset, netto]]</f>
        <v>5045086.5290865842</v>
      </c>
      <c r="M288" s="34">
        <f>'Verotuloihin perust tasaus'!N294</f>
        <v>2163088.3045499725</v>
      </c>
      <c r="N288" s="303">
        <f>SUM(Yhteenveto[[#This Row],[Valtionosuus ennen verotuloihin perustuvaa valtionosuuden tasausta]]+Yhteenveto[[#This Row],[Verotuloihin perustuva valtionosuuden tasaus]])</f>
        <v>7208174.8336365568</v>
      </c>
      <c r="O288" s="241">
        <v>971515.50793684367</v>
      </c>
      <c r="P288" s="372">
        <f>SUM(Yhteenveto[[#This Row],[Kunnan  peruspalvelujen valtionosuus ]:[Veroperustemuutoksista johtuvien veromenetysten korvaus]])</f>
        <v>8179690.3415734004</v>
      </c>
      <c r="Q288" s="34">
        <v>-53084.058399999994</v>
      </c>
      <c r="R288" s="341">
        <f>+Yhteenveto[[#This Row],[Kunnan  peruspalvelujen valtionosuus ]]+Yhteenveto[[#This Row],[Veroperustemuutoksista johtuvien veromenetysten korvaus]]+Yhteenveto[[#This Row],[Kotikuntakorvaus, netto]]</f>
        <v>8126606.2831734</v>
      </c>
      <c r="S288" s="11"/>
      <c r="T288"/>
    </row>
    <row r="289" spans="1:20" ht="15">
      <c r="A289" s="32">
        <v>934</v>
      </c>
      <c r="B289" s="13" t="s">
        <v>295</v>
      </c>
      <c r="C289" s="15">
        <v>2656</v>
      </c>
      <c r="D289" s="15">
        <f>Ikärakenne[[#This Row],[Laskennalliset kustannukset, IKÄRAKENNE yhteensä, €]]</f>
        <v>3516008.33</v>
      </c>
      <c r="E289" s="15">
        <f>'Lask. kustannukset MUUT'!AD295</f>
        <v>611766.97503882344</v>
      </c>
      <c r="F289" s="231">
        <f>Yhteenveto[[#This Row],[Ikärakenne, laskennallinen kustannus]]+Yhteenveto[[#This Row],[Muut laskennalliset kustannukset ]]</f>
        <v>4127775.3050388237</v>
      </c>
      <c r="G289" s="498">
        <v>1422.47</v>
      </c>
      <c r="H289" s="17">
        <v>3778080.3200000003</v>
      </c>
      <c r="I289" s="339">
        <f>Yhteenveto[[#This Row],[Laskennalliset kustannukset yhteensä]]-Yhteenveto[[#This Row],[Omarahoitusosuus, €]]</f>
        <v>349694.98503882345</v>
      </c>
      <c r="J289" s="33">
        <v>187379.12980334077</v>
      </c>
      <c r="K289" s="34">
        <f>'Muut lis_väh'!O287</f>
        <v>222848.38616371067</v>
      </c>
      <c r="L289" s="231">
        <f>Yhteenveto[[#This Row],[Valtionosuus omarahoitusosuuden jälkeen (välisumma)]]+Yhteenveto[[#This Row],[Lisäosat yhteensä]]+Yhteenveto[[#This Row],[Valtionosuuteen tehtävät vähennykset ja lisäykset, netto]]</f>
        <v>759922.50100587495</v>
      </c>
      <c r="M289" s="34">
        <f>'Verotuloihin perust tasaus'!N295</f>
        <v>1239514.3292430346</v>
      </c>
      <c r="N289" s="303">
        <f>SUM(Yhteenveto[[#This Row],[Valtionosuus ennen verotuloihin perustuvaa valtionosuuden tasausta]]+Yhteenveto[[#This Row],[Verotuloihin perustuva valtionosuuden tasaus]])</f>
        <v>1999436.8302489095</v>
      </c>
      <c r="O289" s="241">
        <v>358435.01403593458</v>
      </c>
      <c r="P289" s="372">
        <f>SUM(Yhteenveto[[#This Row],[Kunnan  peruspalvelujen valtionosuus ]:[Veroperustemuutoksista johtuvien veromenetysten korvaus]])</f>
        <v>2357871.8442848441</v>
      </c>
      <c r="Q289" s="34">
        <v>-2524285.6763599999</v>
      </c>
      <c r="R289" s="341">
        <f>+Yhteenveto[[#This Row],[Kunnan  peruspalvelujen valtionosuus ]]+Yhteenveto[[#This Row],[Veroperustemuutoksista johtuvien veromenetysten korvaus]]+Yhteenveto[[#This Row],[Kotikuntakorvaus, netto]]</f>
        <v>-166413.83207515581</v>
      </c>
      <c r="S289" s="11"/>
      <c r="T289"/>
    </row>
    <row r="290" spans="1:20" ht="15">
      <c r="A290" s="32">
        <v>935</v>
      </c>
      <c r="B290" s="13" t="s">
        <v>296</v>
      </c>
      <c r="C290" s="15">
        <v>2927</v>
      </c>
      <c r="D290" s="15">
        <f>Ikärakenne[[#This Row],[Laskennalliset kustannukset, IKÄRAKENNE yhteensä, €]]</f>
        <v>3315234.5900000003</v>
      </c>
      <c r="E290" s="15">
        <f>'Lask. kustannukset MUUT'!AD296</f>
        <v>1156954.7779902411</v>
      </c>
      <c r="F290" s="231">
        <f>Yhteenveto[[#This Row],[Ikärakenne, laskennallinen kustannus]]+Yhteenveto[[#This Row],[Muut laskennalliset kustannukset ]]</f>
        <v>4472189.3679902414</v>
      </c>
      <c r="G290" s="498">
        <v>1422.47</v>
      </c>
      <c r="H290" s="17">
        <v>4163569.69</v>
      </c>
      <c r="I290" s="339">
        <f>Yhteenveto[[#This Row],[Laskennalliset kustannukset yhteensä]]-Yhteenveto[[#This Row],[Omarahoitusosuus, €]]</f>
        <v>308619.67799024144</v>
      </c>
      <c r="J290" s="33">
        <v>202520.51878427627</v>
      </c>
      <c r="K290" s="34">
        <f>'Muut lis_väh'!O288</f>
        <v>7967.3703919487889</v>
      </c>
      <c r="L290" s="231">
        <f>Yhteenveto[[#This Row],[Valtionosuus omarahoitusosuuden jälkeen (välisumma)]]+Yhteenveto[[#This Row],[Lisäosat yhteensä]]+Yhteenveto[[#This Row],[Valtionosuuteen tehtävät vähennykset ja lisäykset, netto]]</f>
        <v>519107.5671664665</v>
      </c>
      <c r="M290" s="34">
        <f>'Verotuloihin perust tasaus'!N296</f>
        <v>1168645.1955363972</v>
      </c>
      <c r="N290" s="303">
        <f>SUM(Yhteenveto[[#This Row],[Valtionosuus ennen verotuloihin perustuvaa valtionosuuden tasausta]]+Yhteenveto[[#This Row],[Verotuloihin perustuva valtionosuuden tasaus]])</f>
        <v>1687752.7627028637</v>
      </c>
      <c r="O290" s="241">
        <v>412831.76197779196</v>
      </c>
      <c r="P290" s="372">
        <f>SUM(Yhteenveto[[#This Row],[Kunnan  peruspalvelujen valtionosuus ]:[Veroperustemuutoksista johtuvien veromenetysten korvaus]])</f>
        <v>2100584.5246806554</v>
      </c>
      <c r="Q290" s="34">
        <v>1131024.58348</v>
      </c>
      <c r="R290" s="341">
        <f>+Yhteenveto[[#This Row],[Kunnan  peruspalvelujen valtionosuus ]]+Yhteenveto[[#This Row],[Veroperustemuutoksista johtuvien veromenetysten korvaus]]+Yhteenveto[[#This Row],[Kotikuntakorvaus, netto]]</f>
        <v>3231609.1081606555</v>
      </c>
      <c r="S290" s="11"/>
      <c r="T290"/>
    </row>
    <row r="291" spans="1:20" ht="15">
      <c r="A291" s="32">
        <v>936</v>
      </c>
      <c r="B291" s="13" t="s">
        <v>297</v>
      </c>
      <c r="C291" s="15">
        <v>6275</v>
      </c>
      <c r="D291" s="15">
        <f>Ikärakenne[[#This Row],[Laskennalliset kustannukset, IKÄRAKENNE yhteensä, €]]</f>
        <v>7514570.8700000001</v>
      </c>
      <c r="E291" s="15">
        <f>'Lask. kustannukset MUUT'!AD297</f>
        <v>2053860.8824039393</v>
      </c>
      <c r="F291" s="231">
        <f>Yhteenveto[[#This Row],[Ikärakenne, laskennallinen kustannus]]+Yhteenveto[[#This Row],[Muut laskennalliset kustannukset ]]</f>
        <v>9568431.7524039391</v>
      </c>
      <c r="G291" s="498">
        <v>1422.47</v>
      </c>
      <c r="H291" s="17">
        <v>8925999.25</v>
      </c>
      <c r="I291" s="339">
        <f>Yhteenveto[[#This Row],[Laskennalliset kustannukset yhteensä]]-Yhteenveto[[#This Row],[Omarahoitusosuus, €]]</f>
        <v>642432.50240393914</v>
      </c>
      <c r="J291" s="33">
        <v>848360.82817348663</v>
      </c>
      <c r="K291" s="34">
        <f>'Muut lis_väh'!O289</f>
        <v>2448283.6337344204</v>
      </c>
      <c r="L291" s="231">
        <f>Yhteenveto[[#This Row],[Valtionosuus omarahoitusosuuden jälkeen (välisumma)]]+Yhteenveto[[#This Row],[Lisäosat yhteensä]]+Yhteenveto[[#This Row],[Valtionosuuteen tehtävät vähennykset ja lisäykset, netto]]</f>
        <v>3939076.9643118461</v>
      </c>
      <c r="M291" s="34">
        <f>'Verotuloihin perust tasaus'!N297</f>
        <v>2404458.9612614103</v>
      </c>
      <c r="N291" s="303">
        <f>SUM(Yhteenveto[[#This Row],[Valtionosuus ennen verotuloihin perustuvaa valtionosuuden tasausta]]+Yhteenveto[[#This Row],[Verotuloihin perustuva valtionosuuden tasaus]])</f>
        <v>6343535.9255732559</v>
      </c>
      <c r="O291" s="241">
        <v>1051756.2705640229</v>
      </c>
      <c r="P291" s="372">
        <f>SUM(Yhteenveto[[#This Row],[Kunnan  peruspalvelujen valtionosuus ]:[Veroperustemuutoksista johtuvien veromenetysten korvaus]])</f>
        <v>7395292.1961372793</v>
      </c>
      <c r="Q291" s="34">
        <v>164749.71663999997</v>
      </c>
      <c r="R291" s="341">
        <f>+Yhteenveto[[#This Row],[Kunnan  peruspalvelujen valtionosuus ]]+Yhteenveto[[#This Row],[Veroperustemuutoksista johtuvien veromenetysten korvaus]]+Yhteenveto[[#This Row],[Kotikuntakorvaus, netto]]</f>
        <v>7560041.9127772795</v>
      </c>
      <c r="S291" s="11"/>
      <c r="T291"/>
    </row>
    <row r="292" spans="1:20" ht="15">
      <c r="A292" s="32">
        <v>946</v>
      </c>
      <c r="B292" s="13" t="s">
        <v>298</v>
      </c>
      <c r="C292" s="15">
        <v>6291</v>
      </c>
      <c r="D292" s="15">
        <f>Ikärakenne[[#This Row],[Laskennalliset kustannukset, IKÄRAKENNE yhteensä, €]]</f>
        <v>10873391.119999997</v>
      </c>
      <c r="E292" s="15">
        <f>'Lask. kustannukset MUUT'!AD298</f>
        <v>3571050.2417923529</v>
      </c>
      <c r="F292" s="231">
        <f>Yhteenveto[[#This Row],[Ikärakenne, laskennallinen kustannus]]+Yhteenveto[[#This Row],[Muut laskennalliset kustannukset ]]</f>
        <v>14444441.36179235</v>
      </c>
      <c r="G292" s="498">
        <v>1422.47</v>
      </c>
      <c r="H292" s="17">
        <v>8948758.7699999996</v>
      </c>
      <c r="I292" s="339">
        <f>Yhteenveto[[#This Row],[Laskennalliset kustannukset yhteensä]]-Yhteenveto[[#This Row],[Omarahoitusosuus, €]]</f>
        <v>5495682.5917923506</v>
      </c>
      <c r="J292" s="33">
        <v>344122.25188499538</v>
      </c>
      <c r="K292" s="34">
        <f>'Muut lis_väh'!O290</f>
        <v>-525187.33806423831</v>
      </c>
      <c r="L292" s="231">
        <f>Yhteenveto[[#This Row],[Valtionosuus omarahoitusosuuden jälkeen (välisumma)]]+Yhteenveto[[#This Row],[Lisäosat yhteensä]]+Yhteenveto[[#This Row],[Valtionosuuteen tehtävät vähennykset ja lisäykset, netto]]</f>
        <v>5314617.5056131072</v>
      </c>
      <c r="M292" s="34">
        <f>'Verotuloihin perust tasaus'!N298</f>
        <v>2263102.4690651572</v>
      </c>
      <c r="N292" s="303">
        <f>SUM(Yhteenveto[[#This Row],[Valtionosuus ennen verotuloihin perustuvaa valtionosuuden tasausta]]+Yhteenveto[[#This Row],[Verotuloihin perustuva valtionosuuden tasaus]])</f>
        <v>7577719.9746782649</v>
      </c>
      <c r="O292" s="241">
        <v>881411.64529421087</v>
      </c>
      <c r="P292" s="372">
        <f>SUM(Yhteenveto[[#This Row],[Kunnan  peruspalvelujen valtionosuus ]:[Veroperustemuutoksista johtuvien veromenetysten korvaus]])</f>
        <v>8459131.6199724749</v>
      </c>
      <c r="Q292" s="34">
        <v>-117473.69728999995</v>
      </c>
      <c r="R292" s="341">
        <f>+Yhteenveto[[#This Row],[Kunnan  peruspalvelujen valtionosuus ]]+Yhteenveto[[#This Row],[Veroperustemuutoksista johtuvien veromenetysten korvaus]]+Yhteenveto[[#This Row],[Kotikuntakorvaus, netto]]</f>
        <v>8341657.9226824753</v>
      </c>
      <c r="S292" s="11"/>
      <c r="T292"/>
    </row>
    <row r="293" spans="1:20" ht="15">
      <c r="A293" s="32">
        <v>976</v>
      </c>
      <c r="B293" s="13" t="s">
        <v>299</v>
      </c>
      <c r="C293" s="15">
        <v>3765</v>
      </c>
      <c r="D293" s="15">
        <f>Ikärakenne[[#This Row],[Laskennalliset kustannukset, IKÄRAKENNE yhteensä, €]]</f>
        <v>4140037.73</v>
      </c>
      <c r="E293" s="15">
        <f>'Lask. kustannukset MUUT'!AD299</f>
        <v>2438933.3854963058</v>
      </c>
      <c r="F293" s="231">
        <f>Yhteenveto[[#This Row],[Ikärakenne, laskennallinen kustannus]]+Yhteenveto[[#This Row],[Muut laskennalliset kustannukset ]]</f>
        <v>6578971.1154963057</v>
      </c>
      <c r="G293" s="498">
        <v>1422.47</v>
      </c>
      <c r="H293" s="17">
        <v>5355599.55</v>
      </c>
      <c r="I293" s="339">
        <f>Yhteenveto[[#This Row],[Laskennalliset kustannukset yhteensä]]-Yhteenveto[[#This Row],[Omarahoitusosuus, €]]</f>
        <v>1223371.5654963059</v>
      </c>
      <c r="J293" s="33">
        <v>1374433.2158949652</v>
      </c>
      <c r="K293" s="34">
        <f>'Muut lis_väh'!O291</f>
        <v>-289825.16784219863</v>
      </c>
      <c r="L293" s="231">
        <f>Yhteenveto[[#This Row],[Valtionosuus omarahoitusosuuden jälkeen (välisumma)]]+Yhteenveto[[#This Row],[Lisäosat yhteensä]]+Yhteenveto[[#This Row],[Valtionosuuteen tehtävät vähennykset ja lisäykset, netto]]</f>
        <v>2307979.6135490728</v>
      </c>
      <c r="M293" s="34">
        <f>'Verotuloihin perust tasaus'!N299</f>
        <v>1970055.6824444325</v>
      </c>
      <c r="N293" s="303">
        <f>SUM(Yhteenveto[[#This Row],[Valtionosuus ennen verotuloihin perustuvaa valtionosuuden tasausta]]+Yhteenveto[[#This Row],[Verotuloihin perustuva valtionosuuden tasaus]])</f>
        <v>4278035.295993505</v>
      </c>
      <c r="O293" s="241">
        <v>619966.16506514908</v>
      </c>
      <c r="P293" s="372">
        <f>SUM(Yhteenveto[[#This Row],[Kunnan  peruspalvelujen valtionosuus ]:[Veroperustemuutoksista johtuvien veromenetysten korvaus]])</f>
        <v>4898001.4610586539</v>
      </c>
      <c r="Q293" s="34">
        <v>-62299.690509999986</v>
      </c>
      <c r="R293" s="341">
        <f>+Yhteenveto[[#This Row],[Kunnan  peruspalvelujen valtionosuus ]]+Yhteenveto[[#This Row],[Veroperustemuutoksista johtuvien veromenetysten korvaus]]+Yhteenveto[[#This Row],[Kotikuntakorvaus, netto]]</f>
        <v>4835701.7705486538</v>
      </c>
      <c r="S293" s="11"/>
      <c r="T293"/>
    </row>
    <row r="294" spans="1:20" ht="15">
      <c r="A294" s="32">
        <v>977</v>
      </c>
      <c r="B294" s="13" t="s">
        <v>300</v>
      </c>
      <c r="C294" s="15">
        <v>15369</v>
      </c>
      <c r="D294" s="15">
        <f>Ikärakenne[[#This Row],[Laskennalliset kustannukset, IKÄRAKENNE yhteensä, €]]</f>
        <v>30021555.16</v>
      </c>
      <c r="E294" s="15">
        <f>'Lask. kustannukset MUUT'!AD300</f>
        <v>2788665.0029567871</v>
      </c>
      <c r="F294" s="231">
        <f>Yhteenveto[[#This Row],[Ikärakenne, laskennallinen kustannus]]+Yhteenveto[[#This Row],[Muut laskennalliset kustannukset ]]</f>
        <v>32810220.162956789</v>
      </c>
      <c r="G294" s="498">
        <v>1422.47</v>
      </c>
      <c r="H294" s="17">
        <v>21861941.43</v>
      </c>
      <c r="I294" s="339">
        <f>Yhteenveto[[#This Row],[Laskennalliset kustannukset yhteensä]]-Yhteenveto[[#This Row],[Omarahoitusosuus, €]]</f>
        <v>10948278.732956789</v>
      </c>
      <c r="J294" s="33">
        <v>540703.4167080574</v>
      </c>
      <c r="K294" s="34">
        <f>'Muut lis_väh'!O292</f>
        <v>-2155214.5126045514</v>
      </c>
      <c r="L294" s="231">
        <f>Yhteenveto[[#This Row],[Valtionosuus omarahoitusosuuden jälkeen (välisumma)]]+Yhteenveto[[#This Row],[Lisäosat yhteensä]]+Yhteenveto[[#This Row],[Valtionosuuteen tehtävät vähennykset ja lisäykset, netto]]</f>
        <v>9333767.6370602958</v>
      </c>
      <c r="M294" s="34">
        <f>'Verotuloihin perust tasaus'!N300</f>
        <v>5944872.2274690773</v>
      </c>
      <c r="N294" s="303">
        <f>SUM(Yhteenveto[[#This Row],[Valtionosuus ennen verotuloihin perustuvaa valtionosuuden tasausta]]+Yhteenveto[[#This Row],[Verotuloihin perustuva valtionosuuden tasaus]])</f>
        <v>15278639.864529373</v>
      </c>
      <c r="O294" s="241">
        <v>1100911.4273978262</v>
      </c>
      <c r="P294" s="372">
        <f>SUM(Yhteenveto[[#This Row],[Kunnan  peruspalvelujen valtionosuus ]:[Veroperustemuutoksista johtuvien veromenetysten korvaus]])</f>
        <v>16379551.2919272</v>
      </c>
      <c r="Q294" s="34">
        <v>370907.52063999994</v>
      </c>
      <c r="R294" s="341">
        <f>+Yhteenveto[[#This Row],[Kunnan  peruspalvelujen valtionosuus ]]+Yhteenveto[[#This Row],[Veroperustemuutoksista johtuvien veromenetysten korvaus]]+Yhteenveto[[#This Row],[Kotikuntakorvaus, netto]]</f>
        <v>16750458.812567201</v>
      </c>
      <c r="S294" s="11"/>
      <c r="T294"/>
    </row>
    <row r="295" spans="1:20" ht="15">
      <c r="A295" s="32">
        <v>980</v>
      </c>
      <c r="B295" s="13" t="s">
        <v>301</v>
      </c>
      <c r="C295" s="15">
        <v>33677</v>
      </c>
      <c r="D295" s="15">
        <f>Ikärakenne[[#This Row],[Laskennalliset kustannukset, IKÄRAKENNE yhteensä, €]]</f>
        <v>65803887.599999994</v>
      </c>
      <c r="E295" s="15">
        <f>'Lask. kustannukset MUUT'!AD301</f>
        <v>5857877.5055164322</v>
      </c>
      <c r="F295" s="231">
        <f>Yhteenveto[[#This Row],[Ikärakenne, laskennallinen kustannus]]+Yhteenveto[[#This Row],[Muut laskennalliset kustannukset ]]</f>
        <v>71661765.105516434</v>
      </c>
      <c r="G295" s="498">
        <v>1422.47</v>
      </c>
      <c r="H295" s="17">
        <v>47904522.189999998</v>
      </c>
      <c r="I295" s="339">
        <f>Yhteenveto[[#This Row],[Laskennalliset kustannukset yhteensä]]-Yhteenveto[[#This Row],[Omarahoitusosuus, €]]</f>
        <v>23757242.915516436</v>
      </c>
      <c r="J295" s="33">
        <v>1090921.015014895</v>
      </c>
      <c r="K295" s="34">
        <f>'Muut lis_väh'!O293</f>
        <v>-1857391.2424365671</v>
      </c>
      <c r="L295" s="231">
        <f>Yhteenveto[[#This Row],[Valtionosuus omarahoitusosuuden jälkeen (välisumma)]]+Yhteenveto[[#This Row],[Lisäosat yhteensä]]+Yhteenveto[[#This Row],[Valtionosuuteen tehtävät vähennykset ja lisäykset, netto]]</f>
        <v>22990772.688094765</v>
      </c>
      <c r="M295" s="34">
        <f>'Verotuloihin perust tasaus'!N301</f>
        <v>5132568.4770355271</v>
      </c>
      <c r="N295" s="303">
        <f>SUM(Yhteenveto[[#This Row],[Valtionosuus ennen verotuloihin perustuvaa valtionosuuden tasausta]]+Yhteenveto[[#This Row],[Verotuloihin perustuva valtionosuuden tasaus]])</f>
        <v>28123341.165130291</v>
      </c>
      <c r="O295" s="241">
        <v>2023554.5867380355</v>
      </c>
      <c r="P295" s="372">
        <f>SUM(Yhteenveto[[#This Row],[Kunnan  peruspalvelujen valtionosuus ]:[Veroperustemuutoksista johtuvien veromenetysten korvaus]])</f>
        <v>30146895.751868326</v>
      </c>
      <c r="Q295" s="34">
        <v>-965751.59167999995</v>
      </c>
      <c r="R295" s="341">
        <f>+Yhteenveto[[#This Row],[Kunnan  peruspalvelujen valtionosuus ]]+Yhteenveto[[#This Row],[Veroperustemuutoksista johtuvien veromenetysten korvaus]]+Yhteenveto[[#This Row],[Kotikuntakorvaus, netto]]</f>
        <v>29181144.160188325</v>
      </c>
      <c r="S295" s="11"/>
      <c r="T295"/>
    </row>
    <row r="296" spans="1:20" ht="15">
      <c r="A296" s="32">
        <v>981</v>
      </c>
      <c r="B296" s="13" t="s">
        <v>302</v>
      </c>
      <c r="C296" s="15">
        <v>2207</v>
      </c>
      <c r="D296" s="15">
        <f>Ikärakenne[[#This Row],[Laskennalliset kustannukset, IKÄRAKENNE yhteensä, €]]</f>
        <v>2621079.25</v>
      </c>
      <c r="E296" s="15">
        <f>'Lask. kustannukset MUUT'!AD302</f>
        <v>491711.9873458498</v>
      </c>
      <c r="F296" s="231">
        <f>Yhteenveto[[#This Row],[Ikärakenne, laskennallinen kustannus]]+Yhteenveto[[#This Row],[Muut laskennalliset kustannukset ]]</f>
        <v>3112791.2373458496</v>
      </c>
      <c r="G296" s="498">
        <v>1422.47</v>
      </c>
      <c r="H296" s="17">
        <v>3139391.29</v>
      </c>
      <c r="I296" s="339">
        <f>Yhteenveto[[#This Row],[Laskennalliset kustannukset yhteensä]]-Yhteenveto[[#This Row],[Omarahoitusosuus, €]]</f>
        <v>-26600.052654150408</v>
      </c>
      <c r="J296" s="33">
        <v>48691.254262541021</v>
      </c>
      <c r="K296" s="34">
        <f>'Muut lis_väh'!O294</f>
        <v>870773.11415249808</v>
      </c>
      <c r="L296" s="231">
        <f>Yhteenveto[[#This Row],[Valtionosuus omarahoitusosuuden jälkeen (välisumma)]]+Yhteenveto[[#This Row],[Lisäosat yhteensä]]+Yhteenveto[[#This Row],[Valtionosuuteen tehtävät vähennykset ja lisäykset, netto]]</f>
        <v>892864.31576088874</v>
      </c>
      <c r="M296" s="34">
        <f>'Verotuloihin perust tasaus'!N302</f>
        <v>1210263.1812126373</v>
      </c>
      <c r="N296" s="303">
        <f>SUM(Yhteenveto[[#This Row],[Valtionosuus ennen verotuloihin perustuvaa valtionosuuden tasausta]]+Yhteenveto[[#This Row],[Verotuloihin perustuva valtionosuuden tasaus]])</f>
        <v>2103127.4969735262</v>
      </c>
      <c r="O296" s="241">
        <v>340643.57451163291</v>
      </c>
      <c r="P296" s="372">
        <f>SUM(Yhteenveto[[#This Row],[Kunnan  peruspalvelujen valtionosuus ]:[Veroperustemuutoksista johtuvien veromenetysten korvaus]])</f>
        <v>2443771.071485159</v>
      </c>
      <c r="Q296" s="34">
        <v>-16297.184200000002</v>
      </c>
      <c r="R296" s="341">
        <f>+Yhteenveto[[#This Row],[Kunnan  peruspalvelujen valtionosuus ]]+Yhteenveto[[#This Row],[Veroperustemuutoksista johtuvien veromenetysten korvaus]]+Yhteenveto[[#This Row],[Kotikuntakorvaus, netto]]</f>
        <v>2427473.887285159</v>
      </c>
      <c r="S296" s="11"/>
      <c r="T296"/>
    </row>
    <row r="297" spans="1:20" ht="15">
      <c r="A297" s="32">
        <v>989</v>
      </c>
      <c r="B297" s="13" t="s">
        <v>303</v>
      </c>
      <c r="C297" s="15">
        <v>5316</v>
      </c>
      <c r="D297" s="15">
        <f>Ikärakenne[[#This Row],[Laskennalliset kustannukset, IKÄRAKENNE yhteensä, €]]</f>
        <v>7131192.6499999994</v>
      </c>
      <c r="E297" s="15">
        <f>'Lask. kustannukset MUUT'!AD303</f>
        <v>1595492.6772466705</v>
      </c>
      <c r="F297" s="231">
        <f>Yhteenveto[[#This Row],[Ikärakenne, laskennallinen kustannus]]+Yhteenveto[[#This Row],[Muut laskennalliset kustannukset ]]</f>
        <v>8726685.3272466697</v>
      </c>
      <c r="G297" s="498">
        <v>1422.47</v>
      </c>
      <c r="H297" s="17">
        <v>7561850.5200000005</v>
      </c>
      <c r="I297" s="339">
        <f>Yhteenveto[[#This Row],[Laskennalliset kustannukset yhteensä]]-Yhteenveto[[#This Row],[Omarahoitusosuus, €]]</f>
        <v>1164834.8072466692</v>
      </c>
      <c r="J297" s="33">
        <v>490230.7705031847</v>
      </c>
      <c r="K297" s="34">
        <f>'Muut lis_väh'!O295</f>
        <v>-1687603.2152727959</v>
      </c>
      <c r="L297" s="231">
        <f>Yhteenveto[[#This Row],[Valtionosuus omarahoitusosuuden jälkeen (välisumma)]]+Yhteenveto[[#This Row],[Lisäosat yhteensä]]+Yhteenveto[[#This Row],[Valtionosuuteen tehtävät vähennykset ja lisäykset, netto]]</f>
        <v>-32537.637522941921</v>
      </c>
      <c r="M297" s="34">
        <f>'Verotuloihin perust tasaus'!N303</f>
        <v>2263473.2425197302</v>
      </c>
      <c r="N297" s="303">
        <f>SUM(Yhteenveto[[#This Row],[Valtionosuus ennen verotuloihin perustuvaa valtionosuuden tasausta]]+Yhteenveto[[#This Row],[Verotuloihin perustuva valtionosuuden tasaus]])</f>
        <v>2230935.6049967883</v>
      </c>
      <c r="O297" s="241">
        <v>757204.2646227493</v>
      </c>
      <c r="P297" s="372">
        <f>SUM(Yhteenveto[[#This Row],[Kunnan  peruspalvelujen valtionosuus ]:[Veroperustemuutoksista johtuvien veromenetysten korvaus]])</f>
        <v>2988139.8696195376</v>
      </c>
      <c r="Q297" s="34">
        <v>149711.86030999999</v>
      </c>
      <c r="R297" s="341">
        <f>+Yhteenveto[[#This Row],[Kunnan  peruspalvelujen valtionosuus ]]+Yhteenveto[[#This Row],[Veroperustemuutoksista johtuvien veromenetysten korvaus]]+Yhteenveto[[#This Row],[Kotikuntakorvaus, netto]]</f>
        <v>3137851.7299295375</v>
      </c>
      <c r="S297" s="11"/>
      <c r="T297"/>
    </row>
    <row r="298" spans="1:20" ht="15">
      <c r="A298" s="32">
        <v>992</v>
      </c>
      <c r="B298" s="13" t="s">
        <v>304</v>
      </c>
      <c r="C298" s="15">
        <v>17971</v>
      </c>
      <c r="D298" s="15">
        <f>Ikärakenne[[#This Row],[Laskennalliset kustannukset, IKÄRAKENNE yhteensä, €]]</f>
        <v>26212207.329999998</v>
      </c>
      <c r="E298" s="15">
        <f>'Lask. kustannukset MUUT'!AD304</f>
        <v>4879568.8545211498</v>
      </c>
      <c r="F298" s="231">
        <f>Yhteenveto[[#This Row],[Ikärakenne, laskennallinen kustannus]]+Yhteenveto[[#This Row],[Muut laskennalliset kustannukset ]]</f>
        <v>31091776.184521146</v>
      </c>
      <c r="G298" s="498">
        <v>1422.47</v>
      </c>
      <c r="H298" s="17">
        <v>25563208.370000001</v>
      </c>
      <c r="I298" s="339">
        <f>Yhteenveto[[#This Row],[Laskennalliset kustannukset yhteensä]]-Yhteenveto[[#This Row],[Omarahoitusosuus, €]]</f>
        <v>5528567.8145211451</v>
      </c>
      <c r="J298" s="33">
        <v>552582.99939086661</v>
      </c>
      <c r="K298" s="34">
        <f>'Muut lis_väh'!O296</f>
        <v>-552702.78001525707</v>
      </c>
      <c r="L298" s="231">
        <f>Yhteenveto[[#This Row],[Valtionosuus omarahoitusosuuden jälkeen (välisumma)]]+Yhteenveto[[#This Row],[Lisäosat yhteensä]]+Yhteenveto[[#This Row],[Valtionosuuteen tehtävät vähennykset ja lisäykset, netto]]</f>
        <v>5528448.0338967545</v>
      </c>
      <c r="M298" s="34">
        <f>'Verotuloihin perust tasaus'!N304</f>
        <v>4007820.8885609265</v>
      </c>
      <c r="N298" s="303">
        <f>SUM(Yhteenveto[[#This Row],[Valtionosuus ennen verotuloihin perustuvaa valtionosuuden tasausta]]+Yhteenveto[[#This Row],[Verotuloihin perustuva valtionosuuden tasaus]])</f>
        <v>9536268.9224576801</v>
      </c>
      <c r="O298" s="241">
        <v>1695940.2900376671</v>
      </c>
      <c r="P298" s="372">
        <f>SUM(Yhteenveto[[#This Row],[Kunnan  peruspalvelujen valtionosuus ]:[Veroperustemuutoksista johtuvien veromenetysten korvaus]])</f>
        <v>11232209.212495347</v>
      </c>
      <c r="Q298" s="34">
        <v>63718.20750999992</v>
      </c>
      <c r="R298" s="341">
        <f>+Yhteenveto[[#This Row],[Kunnan  peruspalvelujen valtionosuus ]]+Yhteenveto[[#This Row],[Veroperustemuutoksista johtuvien veromenetysten korvaus]]+Yhteenveto[[#This Row],[Kotikuntakorvaus, netto]]</f>
        <v>11295927.420005348</v>
      </c>
      <c r="S298" s="11"/>
      <c r="T298"/>
    </row>
    <row r="299" spans="1:20" ht="15">
      <c r="A299" s="443">
        <v>90000231</v>
      </c>
      <c r="B299" s="445" t="s">
        <v>305</v>
      </c>
      <c r="C299" s="15"/>
      <c r="D299" s="15"/>
      <c r="E299" s="15"/>
      <c r="F299" s="15"/>
      <c r="G299" s="16"/>
      <c r="H299" s="17"/>
      <c r="I299" s="17"/>
      <c r="J299" s="33"/>
      <c r="K299" s="15"/>
      <c r="L299" s="14"/>
      <c r="M299" s="34"/>
      <c r="N299" s="303"/>
      <c r="O299" s="303"/>
      <c r="P299" s="34"/>
      <c r="Q299" s="34">
        <v>1871218.102216</v>
      </c>
      <c r="R299" s="341">
        <f>+Yhteenveto[[#This Row],[Kunnan  peruspalvelujen valtionosuus ]]+Yhteenveto[[#This Row],[Veroperustemuutoksista johtuvien veromenetysten korvaus]]+Yhteenveto[[#This Row],[Kotikuntakorvaus, netto]]</f>
        <v>1871218.102216</v>
      </c>
      <c r="S299" s="11"/>
      <c r="T299"/>
    </row>
    <row r="300" spans="1:20" ht="15">
      <c r="A300" s="444">
        <v>90000281</v>
      </c>
      <c r="B300" s="253" t="s">
        <v>1168</v>
      </c>
      <c r="C300" s="37"/>
      <c r="D300" s="37"/>
      <c r="E300" s="37"/>
      <c r="F300" s="15"/>
      <c r="G300" s="16"/>
      <c r="H300" s="17"/>
      <c r="I300" s="17"/>
      <c r="J300" s="15"/>
      <c r="K300" s="15"/>
      <c r="L300" s="18"/>
      <c r="M300" s="15"/>
      <c r="N300" s="303"/>
      <c r="O300" s="303"/>
      <c r="P300" s="34"/>
      <c r="Q300" s="34">
        <v>2647888.312768002</v>
      </c>
      <c r="R300" s="341">
        <f>+Yhteenveto[[#This Row],[Kunnan  peruspalvelujen valtionosuus ]]+Yhteenveto[[#This Row],[Veroperustemuutoksista johtuvien veromenetysten korvaus]]+Yhteenveto[[#This Row],[Kotikuntakorvaus, netto]]</f>
        <v>2647888.312768002</v>
      </c>
      <c r="S300" s="11"/>
      <c r="T300"/>
    </row>
    <row r="301" spans="1:20" ht="15">
      <c r="A301" s="444">
        <v>90000381</v>
      </c>
      <c r="B301" s="253" t="s">
        <v>306</v>
      </c>
      <c r="C301" s="37"/>
      <c r="D301" s="37"/>
      <c r="E301" s="37"/>
      <c r="F301" s="15"/>
      <c r="G301" s="16"/>
      <c r="H301" s="17"/>
      <c r="I301" s="17"/>
      <c r="J301" s="15"/>
      <c r="K301" s="15"/>
      <c r="L301" s="18"/>
      <c r="M301" s="15"/>
      <c r="N301" s="303"/>
      <c r="O301" s="303"/>
      <c r="P301" s="34"/>
      <c r="Q301" s="34">
        <v>1103314.1060658002</v>
      </c>
      <c r="R301" s="341">
        <f>+Yhteenveto[[#This Row],[Kunnan  peruspalvelujen valtionosuus ]]+Yhteenveto[[#This Row],[Veroperustemuutoksista johtuvien veromenetysten korvaus]]+Yhteenveto[[#This Row],[Kotikuntakorvaus, netto]]</f>
        <v>1103314.1060658002</v>
      </c>
      <c r="S301" s="11"/>
      <c r="T301"/>
    </row>
    <row r="302" spans="1:20" ht="15">
      <c r="A302" s="444">
        <v>90000691</v>
      </c>
      <c r="B302" s="253" t="s">
        <v>307</v>
      </c>
      <c r="C302" s="37"/>
      <c r="D302" s="37"/>
      <c r="E302" s="37"/>
      <c r="F302" s="15"/>
      <c r="G302" s="16"/>
      <c r="H302" s="17"/>
      <c r="I302" s="17"/>
      <c r="J302" s="15"/>
      <c r="K302" s="15"/>
      <c r="L302" s="18"/>
      <c r="M302" s="15"/>
      <c r="N302" s="303"/>
      <c r="O302" s="303"/>
      <c r="P302" s="34"/>
      <c r="Q302" s="34">
        <v>2820263.2202575998</v>
      </c>
      <c r="R302" s="341">
        <f>+Yhteenveto[[#This Row],[Kunnan  peruspalvelujen valtionosuus ]]+Yhteenveto[[#This Row],[Veroperustemuutoksista johtuvien veromenetysten korvaus]]+Yhteenveto[[#This Row],[Kotikuntakorvaus, netto]]</f>
        <v>2820263.2202575998</v>
      </c>
      <c r="S302" s="11"/>
      <c r="T302"/>
    </row>
    <row r="303" spans="1:20" ht="15">
      <c r="A303" s="444">
        <v>90000851</v>
      </c>
      <c r="B303" s="253" t="s">
        <v>308</v>
      </c>
      <c r="C303" s="37"/>
      <c r="D303" s="37"/>
      <c r="E303" s="37"/>
      <c r="F303" s="15"/>
      <c r="G303" s="16"/>
      <c r="H303" s="17"/>
      <c r="I303" s="17"/>
      <c r="J303" s="15"/>
      <c r="K303" s="15"/>
      <c r="L303" s="18"/>
      <c r="M303" s="15"/>
      <c r="N303" s="303"/>
      <c r="O303" s="303"/>
      <c r="P303" s="34"/>
      <c r="Q303" s="34">
        <v>5724515.7864805572</v>
      </c>
      <c r="R303" s="341">
        <f>+Yhteenveto[[#This Row],[Kunnan  peruspalvelujen valtionosuus ]]+Yhteenveto[[#This Row],[Veroperustemuutoksista johtuvien veromenetysten korvaus]]+Yhteenveto[[#This Row],[Kotikuntakorvaus, netto]]</f>
        <v>5724515.7864805572</v>
      </c>
      <c r="S303" s="11"/>
      <c r="T303"/>
    </row>
    <row r="304" spans="1:20" ht="15">
      <c r="A304" s="444">
        <v>90000901</v>
      </c>
      <c r="B304" s="253" t="s">
        <v>1169</v>
      </c>
      <c r="C304" s="37"/>
      <c r="D304" s="37"/>
      <c r="E304" s="37"/>
      <c r="F304" s="15"/>
      <c r="G304" s="16"/>
      <c r="H304" s="17"/>
      <c r="I304" s="17"/>
      <c r="J304" s="15"/>
      <c r="K304" s="15"/>
      <c r="L304" s="18"/>
      <c r="M304" s="15"/>
      <c r="N304" s="303"/>
      <c r="O304" s="303"/>
      <c r="P304" s="34"/>
      <c r="Q304" s="34">
        <v>5395727.8551640008</v>
      </c>
      <c r="R304" s="341">
        <f>+Yhteenveto[[#This Row],[Kunnan  peruspalvelujen valtionosuus ]]+Yhteenveto[[#This Row],[Veroperustemuutoksista johtuvien veromenetysten korvaus]]+Yhteenveto[[#This Row],[Kotikuntakorvaus, netto]]</f>
        <v>5395727.8551640008</v>
      </c>
      <c r="S304" s="11"/>
      <c r="T304"/>
    </row>
    <row r="305" spans="1:20" ht="15">
      <c r="A305" s="444">
        <v>90001171</v>
      </c>
      <c r="B305" s="253" t="s">
        <v>309</v>
      </c>
      <c r="C305" s="37"/>
      <c r="D305" s="37"/>
      <c r="E305" s="37"/>
      <c r="F305" s="15"/>
      <c r="G305" s="16"/>
      <c r="H305" s="17"/>
      <c r="I305" s="17"/>
      <c r="J305" s="15"/>
      <c r="K305" s="15"/>
      <c r="L305" s="18"/>
      <c r="M305" s="15"/>
      <c r="N305" s="303"/>
      <c r="O305" s="303"/>
      <c r="P305" s="34"/>
      <c r="Q305" s="34">
        <v>1438232.6525569998</v>
      </c>
      <c r="R305" s="341">
        <f>+Yhteenveto[[#This Row],[Kunnan  peruspalvelujen valtionosuus ]]+Yhteenveto[[#This Row],[Veroperustemuutoksista johtuvien veromenetysten korvaus]]+Yhteenveto[[#This Row],[Kotikuntakorvaus, netto]]</f>
        <v>1438232.6525569998</v>
      </c>
      <c r="S305" s="11"/>
      <c r="T305"/>
    </row>
    <row r="306" spans="1:20" ht="15">
      <c r="A306" s="444">
        <v>90001361</v>
      </c>
      <c r="B306" s="253" t="s">
        <v>310</v>
      </c>
      <c r="C306" s="37"/>
      <c r="D306" s="37"/>
      <c r="E306" s="37"/>
      <c r="F306" s="15"/>
      <c r="G306" s="16"/>
      <c r="H306" s="17"/>
      <c r="I306" s="17"/>
      <c r="J306" s="15"/>
      <c r="K306" s="15"/>
      <c r="L306" s="18"/>
      <c r="M306" s="15"/>
      <c r="N306" s="303"/>
      <c r="O306" s="303"/>
      <c r="P306" s="34"/>
      <c r="Q306" s="34">
        <v>2923163.8304320006</v>
      </c>
      <c r="R306" s="341">
        <f>+Yhteenveto[[#This Row],[Kunnan  peruspalvelujen valtionosuus ]]+Yhteenveto[[#This Row],[Veroperustemuutoksista johtuvien veromenetysten korvaus]]+Yhteenveto[[#This Row],[Kotikuntakorvaus, netto]]</f>
        <v>2923163.8304320006</v>
      </c>
      <c r="S306" s="11"/>
      <c r="T306"/>
    </row>
    <row r="307" spans="1:20" ht="15">
      <c r="A307" s="444">
        <v>90001481</v>
      </c>
      <c r="B307" s="253" t="s">
        <v>311</v>
      </c>
      <c r="C307" s="37"/>
      <c r="D307" s="37"/>
      <c r="E307" s="37"/>
      <c r="F307" s="15"/>
      <c r="G307" s="16"/>
      <c r="H307" s="17"/>
      <c r="I307" s="17"/>
      <c r="J307" s="15"/>
      <c r="K307" s="15"/>
      <c r="L307" s="18"/>
      <c r="M307" s="15"/>
      <c r="N307" s="303"/>
      <c r="O307" s="303"/>
      <c r="P307" s="34"/>
      <c r="Q307" s="34">
        <v>7304632.4865840022</v>
      </c>
      <c r="R307" s="341">
        <f>+Yhteenveto[[#This Row],[Kunnan  peruspalvelujen valtionosuus ]]+Yhteenveto[[#This Row],[Veroperustemuutoksista johtuvien veromenetysten korvaus]]+Yhteenveto[[#This Row],[Kotikuntakorvaus, netto]]</f>
        <v>7304632.4865840022</v>
      </c>
      <c r="S307" s="11"/>
      <c r="T307"/>
    </row>
    <row r="308" spans="1:20" ht="15">
      <c r="A308" s="444">
        <v>90001791</v>
      </c>
      <c r="B308" s="253" t="s">
        <v>312</v>
      </c>
      <c r="C308" s="37"/>
      <c r="D308" s="37"/>
      <c r="E308" s="37"/>
      <c r="F308" s="15"/>
      <c r="G308" s="16"/>
      <c r="H308" s="17"/>
      <c r="I308" s="17"/>
      <c r="J308" s="15"/>
      <c r="K308" s="15"/>
      <c r="L308" s="18"/>
      <c r="M308" s="15"/>
      <c r="N308" s="303"/>
      <c r="O308" s="303"/>
      <c r="P308" s="34"/>
      <c r="Q308" s="34">
        <v>6029844.6726400005</v>
      </c>
      <c r="R308" s="341">
        <f>+Yhteenveto[[#This Row],[Kunnan  peruspalvelujen valtionosuus ]]+Yhteenveto[[#This Row],[Veroperustemuutoksista johtuvien veromenetysten korvaus]]+Yhteenveto[[#This Row],[Kotikuntakorvaus, netto]]</f>
        <v>6029844.6726400005</v>
      </c>
      <c r="S308" s="11"/>
      <c r="T308"/>
    </row>
    <row r="309" spans="1:20" ht="15">
      <c r="A309" s="444">
        <v>90001801</v>
      </c>
      <c r="B309" s="253" t="s">
        <v>313</v>
      </c>
      <c r="C309" s="37"/>
      <c r="D309" s="37"/>
      <c r="E309" s="37"/>
      <c r="F309" s="15"/>
      <c r="G309" s="16"/>
      <c r="H309" s="17"/>
      <c r="I309" s="17"/>
      <c r="J309" s="15"/>
      <c r="K309" s="15"/>
      <c r="L309" s="18"/>
      <c r="M309" s="15"/>
      <c r="N309" s="303"/>
      <c r="O309" s="303"/>
      <c r="P309" s="34"/>
      <c r="Q309" s="34">
        <v>5059826.1818240006</v>
      </c>
      <c r="R309" s="341">
        <f>+Yhteenveto[[#This Row],[Kunnan  peruspalvelujen valtionosuus ]]+Yhteenveto[[#This Row],[Veroperustemuutoksista johtuvien veromenetysten korvaus]]+Yhteenveto[[#This Row],[Kotikuntakorvaus, netto]]</f>
        <v>5059826.1818240006</v>
      </c>
      <c r="S309" s="11"/>
      <c r="T309"/>
    </row>
    <row r="310" spans="1:20" ht="15">
      <c r="A310" s="444">
        <v>90002401</v>
      </c>
      <c r="B310" s="253" t="s">
        <v>314</v>
      </c>
      <c r="C310" s="37"/>
      <c r="D310" s="37"/>
      <c r="E310" s="37"/>
      <c r="F310" s="15"/>
      <c r="G310" s="16"/>
      <c r="H310" s="17"/>
      <c r="I310" s="17"/>
      <c r="J310" s="15"/>
      <c r="K310" s="15"/>
      <c r="L310" s="18"/>
      <c r="M310" s="15"/>
      <c r="N310" s="303"/>
      <c r="O310" s="303"/>
      <c r="P310" s="34"/>
      <c r="Q310" s="34">
        <v>5905315.2717920002</v>
      </c>
      <c r="R310" s="341">
        <f>+Yhteenveto[[#This Row],[Kunnan  peruspalvelujen valtionosuus ]]+Yhteenveto[[#This Row],[Veroperustemuutoksista johtuvien veromenetysten korvaus]]+Yhteenveto[[#This Row],[Kotikuntakorvaus, netto]]</f>
        <v>5905315.2717920002</v>
      </c>
      <c r="S310" s="11"/>
      <c r="T310"/>
    </row>
    <row r="311" spans="1:20" ht="15">
      <c r="A311" s="444">
        <v>90003031</v>
      </c>
      <c r="B311" s="253" t="s">
        <v>315</v>
      </c>
      <c r="C311" s="37"/>
      <c r="D311" s="37"/>
      <c r="E311" s="37"/>
      <c r="F311" s="15"/>
      <c r="G311" s="16"/>
      <c r="H311" s="17"/>
      <c r="I311" s="17"/>
      <c r="J311" s="15"/>
      <c r="K311" s="15"/>
      <c r="L311" s="18"/>
      <c r="M311" s="15"/>
      <c r="N311" s="303"/>
      <c r="O311" s="303"/>
      <c r="P311" s="34"/>
      <c r="Q311" s="34">
        <v>7124392.5643040016</v>
      </c>
      <c r="R311" s="341">
        <f>+Yhteenveto[[#This Row],[Kunnan  peruspalvelujen valtionosuus ]]+Yhteenveto[[#This Row],[Veroperustemuutoksista johtuvien veromenetysten korvaus]]+Yhteenveto[[#This Row],[Kotikuntakorvaus, netto]]</f>
        <v>7124392.5643040016</v>
      </c>
      <c r="S311" s="11"/>
      <c r="T311"/>
    </row>
    <row r="312" spans="1:20" ht="15">
      <c r="A312" s="444">
        <v>90003941</v>
      </c>
      <c r="B312" s="253" t="s">
        <v>1170</v>
      </c>
      <c r="C312" s="37"/>
      <c r="D312" s="37"/>
      <c r="E312" s="37"/>
      <c r="F312" s="15"/>
      <c r="G312" s="16"/>
      <c r="H312" s="17"/>
      <c r="I312" s="17"/>
      <c r="J312" s="15"/>
      <c r="K312" s="15"/>
      <c r="L312" s="18"/>
      <c r="M312" s="15"/>
      <c r="N312" s="303"/>
      <c r="O312" s="303"/>
      <c r="P312" s="34"/>
      <c r="Q312" s="34">
        <v>4330837.6234388007</v>
      </c>
      <c r="R312" s="341">
        <f>+Yhteenveto[[#This Row],[Kunnan  peruspalvelujen valtionosuus ]]+Yhteenveto[[#This Row],[Veroperustemuutoksista johtuvien veromenetysten korvaus]]+Yhteenveto[[#This Row],[Kotikuntakorvaus, netto]]</f>
        <v>4330837.6234388007</v>
      </c>
      <c r="S312" s="11"/>
      <c r="T312"/>
    </row>
    <row r="313" spans="1:20" ht="15">
      <c r="A313" s="444">
        <v>90004041</v>
      </c>
      <c r="B313" s="253" t="s">
        <v>723</v>
      </c>
      <c r="C313" s="37"/>
      <c r="D313" s="37"/>
      <c r="E313" s="37"/>
      <c r="F313" s="15"/>
      <c r="G313" s="16"/>
      <c r="H313" s="17"/>
      <c r="I313" s="17"/>
      <c r="J313" s="15"/>
      <c r="K313" s="15"/>
      <c r="L313" s="18"/>
      <c r="M313" s="15"/>
      <c r="N313" s="303"/>
      <c r="O313" s="303"/>
      <c r="P313" s="34"/>
      <c r="Q313" s="34">
        <v>8617106.8297320008</v>
      </c>
      <c r="R313" s="341">
        <f>+Yhteenveto[[#This Row],[Kunnan  peruspalvelujen valtionosuus ]]+Yhteenveto[[#This Row],[Veroperustemuutoksista johtuvien veromenetysten korvaus]]+Yhteenveto[[#This Row],[Kotikuntakorvaus, netto]]</f>
        <v>8617106.8297320008</v>
      </c>
      <c r="S313" s="11"/>
      <c r="T313"/>
    </row>
    <row r="314" spans="1:20" s="45" customFormat="1" ht="15">
      <c r="A314" s="46">
        <v>90004951</v>
      </c>
      <c r="B314" s="446" t="s">
        <v>1171</v>
      </c>
      <c r="C314" s="39"/>
      <c r="D314" s="39"/>
      <c r="E314" s="39"/>
      <c r="F314" s="15"/>
      <c r="G314" s="40"/>
      <c r="H314" s="41"/>
      <c r="I314" s="41"/>
      <c r="J314" s="15"/>
      <c r="K314" s="15"/>
      <c r="L314" s="42"/>
      <c r="M314" s="15"/>
      <c r="N314" s="303"/>
      <c r="O314" s="303"/>
      <c r="P314" s="34"/>
      <c r="Q314" s="34">
        <v>2134941.8794066003</v>
      </c>
      <c r="R314" s="341">
        <f>+Yhteenveto[[#This Row],[Kunnan  peruspalvelujen valtionosuus ]]+Yhteenveto[[#This Row],[Veroperustemuutoksista johtuvien veromenetysten korvaus]]+Yhteenveto[[#This Row],[Kotikuntakorvaus, netto]]</f>
        <v>2134941.8794066003</v>
      </c>
      <c r="S314" s="44"/>
    </row>
    <row r="315" spans="1:20" s="45" customFormat="1" ht="15">
      <c r="A315" s="46">
        <v>90004961</v>
      </c>
      <c r="B315" s="446" t="s">
        <v>316</v>
      </c>
      <c r="C315" s="39"/>
      <c r="D315" s="39"/>
      <c r="E315" s="39"/>
      <c r="F315" s="15"/>
      <c r="G315" s="40"/>
      <c r="H315" s="41"/>
      <c r="I315" s="41"/>
      <c r="J315" s="15"/>
      <c r="K315" s="15"/>
      <c r="L315" s="42"/>
      <c r="M315" s="15"/>
      <c r="N315" s="303"/>
      <c r="O315" s="303"/>
      <c r="P315" s="34"/>
      <c r="Q315" s="34">
        <v>4509029.3647838011</v>
      </c>
      <c r="R315" s="341">
        <f>+Yhteenveto[[#This Row],[Kunnan  peruspalvelujen valtionosuus ]]+Yhteenveto[[#This Row],[Veroperustemuutoksista johtuvien veromenetysten korvaus]]+Yhteenveto[[#This Row],[Kotikuntakorvaus, netto]]</f>
        <v>4509029.3647838011</v>
      </c>
      <c r="S315" s="44"/>
    </row>
    <row r="316" spans="1:20" ht="15">
      <c r="A316" s="444">
        <v>90006471</v>
      </c>
      <c r="B316" s="253" t="s">
        <v>317</v>
      </c>
      <c r="C316" s="37"/>
      <c r="D316" s="37"/>
      <c r="E316" s="37"/>
      <c r="F316" s="15"/>
      <c r="G316" s="16"/>
      <c r="H316" s="17"/>
      <c r="I316" s="17"/>
      <c r="J316" s="15"/>
      <c r="K316" s="15"/>
      <c r="L316" s="18"/>
      <c r="M316" s="15"/>
      <c r="N316" s="303"/>
      <c r="O316" s="303"/>
      <c r="P316" s="34"/>
      <c r="Q316" s="34">
        <v>5998712.3224280011</v>
      </c>
      <c r="R316" s="341">
        <f>+Yhteenveto[[#This Row],[Kunnan  peruspalvelujen valtionosuus ]]+Yhteenveto[[#This Row],[Veroperustemuutoksista johtuvien veromenetysten korvaus]]+Yhteenveto[[#This Row],[Kotikuntakorvaus, netto]]</f>
        <v>5998712.3224280011</v>
      </c>
      <c r="S316" s="11"/>
      <c r="T316"/>
    </row>
    <row r="317" spans="1:20" ht="15">
      <c r="A317" s="444">
        <v>90007291</v>
      </c>
      <c r="B317" s="253" t="s">
        <v>1172</v>
      </c>
      <c r="C317" s="37"/>
      <c r="D317" s="37"/>
      <c r="E317" s="37"/>
      <c r="F317" s="15"/>
      <c r="G317" s="16"/>
      <c r="H317" s="17"/>
      <c r="I317" s="17"/>
      <c r="J317" s="15"/>
      <c r="K317" s="15"/>
      <c r="L317" s="18"/>
      <c r="M317" s="15"/>
      <c r="N317" s="303"/>
      <c r="O317" s="303"/>
      <c r="P317" s="34"/>
      <c r="Q317" s="34">
        <v>5153141.3052226007</v>
      </c>
      <c r="R317" s="341">
        <f>+Yhteenveto[[#This Row],[Kunnan  peruspalvelujen valtionosuus ]]+Yhteenveto[[#This Row],[Veroperustemuutoksista johtuvien veromenetysten korvaus]]+Yhteenveto[[#This Row],[Kotikuntakorvaus, netto]]</f>
        <v>5153141.3052226007</v>
      </c>
      <c r="S317" s="11"/>
      <c r="T317"/>
    </row>
    <row r="318" spans="1:20" ht="15">
      <c r="A318" s="444">
        <v>90008441</v>
      </c>
      <c r="B318" s="253" t="s">
        <v>318</v>
      </c>
      <c r="C318" s="37"/>
      <c r="D318" s="37"/>
      <c r="E318" s="37"/>
      <c r="F318" s="15"/>
      <c r="G318" s="16"/>
      <c r="H318" s="17"/>
      <c r="I318" s="17"/>
      <c r="J318" s="15"/>
      <c r="K318" s="15"/>
      <c r="L318" s="18"/>
      <c r="M318" s="15"/>
      <c r="N318" s="303"/>
      <c r="O318" s="303"/>
      <c r="P318" s="34"/>
      <c r="Q318" s="34">
        <v>4294625.7845080001</v>
      </c>
      <c r="R318" s="341">
        <f>+Yhteenveto[[#This Row],[Kunnan  peruspalvelujen valtionosuus ]]+Yhteenveto[[#This Row],[Veroperustemuutoksista johtuvien veromenetysten korvaus]]+Yhteenveto[[#This Row],[Kotikuntakorvaus, netto]]</f>
        <v>4294625.7845080001</v>
      </c>
      <c r="S318" s="11"/>
      <c r="T318"/>
    </row>
    <row r="319" spans="1:20" ht="15">
      <c r="A319" s="444">
        <v>90031161</v>
      </c>
      <c r="B319" s="253" t="s">
        <v>319</v>
      </c>
      <c r="C319" s="37"/>
      <c r="D319" s="37"/>
      <c r="E319" s="37"/>
      <c r="F319" s="15"/>
      <c r="G319" s="16"/>
      <c r="H319" s="17"/>
      <c r="I319" s="17"/>
      <c r="J319" s="15"/>
      <c r="K319" s="15"/>
      <c r="L319" s="18"/>
      <c r="M319" s="15"/>
      <c r="N319" s="303"/>
      <c r="O319" s="303"/>
      <c r="P319" s="34"/>
      <c r="Q319" s="34">
        <v>1013276.0721632</v>
      </c>
      <c r="R319" s="341">
        <f>+Yhteenveto[[#This Row],[Kunnan  peruspalvelujen valtionosuus ]]+Yhteenveto[[#This Row],[Veroperustemuutoksista johtuvien veromenetysten korvaus]]+Yhteenveto[[#This Row],[Kotikuntakorvaus, netto]]</f>
        <v>1013276.0721632</v>
      </c>
      <c r="S319" s="11"/>
      <c r="T319"/>
    </row>
    <row r="320" spans="1:20" ht="15">
      <c r="A320" s="444">
        <v>90032731</v>
      </c>
      <c r="B320" s="253" t="s">
        <v>320</v>
      </c>
      <c r="C320" s="37"/>
      <c r="D320" s="37"/>
      <c r="E320" s="37"/>
      <c r="F320" s="15"/>
      <c r="G320" s="16"/>
      <c r="H320" s="17"/>
      <c r="I320" s="17"/>
      <c r="J320" s="15"/>
      <c r="K320" s="15"/>
      <c r="L320" s="18"/>
      <c r="M320" s="15"/>
      <c r="N320" s="303"/>
      <c r="O320" s="303"/>
      <c r="P320" s="34"/>
      <c r="Q320" s="34">
        <v>550551.03532800009</v>
      </c>
      <c r="R320" s="341">
        <f>+Yhteenveto[[#This Row],[Kunnan  peruspalvelujen valtionosuus ]]+Yhteenveto[[#This Row],[Veroperustemuutoksista johtuvien veromenetysten korvaus]]+Yhteenveto[[#This Row],[Kotikuntakorvaus, netto]]</f>
        <v>550551.03532800009</v>
      </c>
      <c r="S320" s="11"/>
      <c r="T320"/>
    </row>
    <row r="321" spans="1:20" ht="15">
      <c r="A321" s="444">
        <v>90033141</v>
      </c>
      <c r="B321" s="253" t="s">
        <v>321</v>
      </c>
      <c r="C321" s="37"/>
      <c r="D321" s="37"/>
      <c r="E321" s="37"/>
      <c r="F321" s="15"/>
      <c r="G321" s="16"/>
      <c r="H321" s="17"/>
      <c r="I321" s="17"/>
      <c r="J321" s="15"/>
      <c r="K321" s="15"/>
      <c r="L321" s="18"/>
      <c r="M321" s="15"/>
      <c r="N321" s="303"/>
      <c r="O321" s="303"/>
      <c r="P321" s="34"/>
      <c r="Q321" s="34">
        <v>91758.505888</v>
      </c>
      <c r="R321" s="341">
        <f>+Yhteenveto[[#This Row],[Kunnan  peruspalvelujen valtionosuus ]]+Yhteenveto[[#This Row],[Veroperustemuutoksista johtuvien veromenetysten korvaus]]+Yhteenveto[[#This Row],[Kotikuntakorvaus, netto]]</f>
        <v>91758.505888</v>
      </c>
      <c r="S321" s="11"/>
      <c r="T321"/>
    </row>
    <row r="322" spans="1:20" ht="15">
      <c r="A322" s="444">
        <v>90034021</v>
      </c>
      <c r="B322" s="253" t="s">
        <v>702</v>
      </c>
      <c r="C322" s="37"/>
      <c r="D322" s="37"/>
      <c r="E322" s="37"/>
      <c r="F322" s="15"/>
      <c r="G322" s="16"/>
      <c r="H322" s="17"/>
      <c r="I322" s="17"/>
      <c r="J322" s="15"/>
      <c r="K322" s="15"/>
      <c r="L322" s="18"/>
      <c r="M322" s="15"/>
      <c r="N322" s="303"/>
      <c r="O322" s="303"/>
      <c r="P322" s="34"/>
      <c r="Q322" s="34">
        <v>6326421.272028001</v>
      </c>
      <c r="R322" s="341">
        <f>+Yhteenveto[[#This Row],[Kunnan  peruspalvelujen valtionosuus ]]+Yhteenveto[[#This Row],[Veroperustemuutoksista johtuvien veromenetysten korvaus]]+Yhteenveto[[#This Row],[Kotikuntakorvaus, netto]]</f>
        <v>6326421.272028001</v>
      </c>
      <c r="S322" s="11"/>
      <c r="T322"/>
    </row>
    <row r="323" spans="1:20" ht="15">
      <c r="A323" s="444">
        <v>90034091</v>
      </c>
      <c r="B323" s="253" t="s">
        <v>322</v>
      </c>
      <c r="C323" s="37"/>
      <c r="D323" s="37"/>
      <c r="E323" s="37"/>
      <c r="F323" s="15"/>
      <c r="G323" s="16"/>
      <c r="H323" s="17"/>
      <c r="I323" s="17"/>
      <c r="J323" s="15"/>
      <c r="K323" s="15"/>
      <c r="L323" s="18"/>
      <c r="M323" s="15"/>
      <c r="N323" s="303"/>
      <c r="O323" s="303"/>
      <c r="P323" s="34"/>
      <c r="Q323" s="34">
        <v>450681.7329374</v>
      </c>
      <c r="R323" s="341">
        <f>+Yhteenveto[[#This Row],[Kunnan  peruspalvelujen valtionosuus ]]+Yhteenveto[[#This Row],[Veroperustemuutoksista johtuvien veromenetysten korvaus]]+Yhteenveto[[#This Row],[Kotikuntakorvaus, netto]]</f>
        <v>450681.7329374</v>
      </c>
      <c r="S323" s="11"/>
      <c r="T323"/>
    </row>
    <row r="324" spans="1:20" ht="15">
      <c r="A324" s="444">
        <v>90034101</v>
      </c>
      <c r="B324" s="253" t="s">
        <v>323</v>
      </c>
      <c r="C324" s="37"/>
      <c r="D324" s="37"/>
      <c r="E324" s="37"/>
      <c r="F324" s="15"/>
      <c r="G324" s="16"/>
      <c r="H324" s="17"/>
      <c r="I324" s="17"/>
      <c r="J324" s="15"/>
      <c r="K324" s="15"/>
      <c r="L324" s="18"/>
      <c r="M324" s="15"/>
      <c r="N324" s="303"/>
      <c r="O324" s="303"/>
      <c r="P324" s="34"/>
      <c r="Q324" s="34">
        <v>691957.44708040007</v>
      </c>
      <c r="R324" s="341">
        <f>+Yhteenveto[[#This Row],[Kunnan  peruspalvelujen valtionosuus ]]+Yhteenveto[[#This Row],[Veroperustemuutoksista johtuvien veromenetysten korvaus]]+Yhteenveto[[#This Row],[Kotikuntakorvaus, netto]]</f>
        <v>691957.44708040007</v>
      </c>
      <c r="S324" s="11"/>
      <c r="T324"/>
    </row>
    <row r="325" spans="1:20" ht="15">
      <c r="A325" s="444">
        <v>90035101</v>
      </c>
      <c r="B325" s="253" t="s">
        <v>324</v>
      </c>
      <c r="C325" s="37"/>
      <c r="D325" s="37"/>
      <c r="E325" s="37"/>
      <c r="F325" s="15"/>
      <c r="G325" s="16"/>
      <c r="H325" s="17"/>
      <c r="I325" s="17"/>
      <c r="J325" s="15"/>
      <c r="K325" s="15"/>
      <c r="L325" s="18"/>
      <c r="M325" s="15"/>
      <c r="N325" s="303"/>
      <c r="O325" s="303"/>
      <c r="P325" s="34"/>
      <c r="Q325" s="34">
        <v>3359137.985711352</v>
      </c>
      <c r="R325" s="341">
        <f>+Yhteenveto[[#This Row],[Kunnan  peruspalvelujen valtionosuus ]]+Yhteenveto[[#This Row],[Veroperustemuutoksista johtuvien veromenetysten korvaus]]+Yhteenveto[[#This Row],[Kotikuntakorvaus, netto]]</f>
        <v>3359137.985711352</v>
      </c>
      <c r="S325" s="11"/>
      <c r="T325"/>
    </row>
    <row r="326" spans="1:20" ht="15">
      <c r="A326" s="444">
        <v>90035401</v>
      </c>
      <c r="B326" s="253" t="s">
        <v>325</v>
      </c>
      <c r="C326" s="37"/>
      <c r="D326" s="37"/>
      <c r="E326" s="37"/>
      <c r="F326" s="15"/>
      <c r="G326" s="16"/>
      <c r="H326" s="17"/>
      <c r="I326" s="17"/>
      <c r="J326" s="15"/>
      <c r="K326" s="15"/>
      <c r="L326" s="18"/>
      <c r="M326" s="15"/>
      <c r="N326" s="303"/>
      <c r="O326" s="303"/>
      <c r="P326" s="34"/>
      <c r="Q326" s="34">
        <v>2059650.7482359998</v>
      </c>
      <c r="R326" s="341">
        <f>+Yhteenveto[[#This Row],[Kunnan  peruspalvelujen valtionosuus ]]+Yhteenveto[[#This Row],[Veroperustemuutoksista johtuvien veromenetysten korvaus]]+Yhteenveto[[#This Row],[Kotikuntakorvaus, netto]]</f>
        <v>2059650.7482359998</v>
      </c>
      <c r="S326" s="11"/>
      <c r="T326"/>
    </row>
    <row r="327" spans="1:20" ht="15">
      <c r="A327" s="444">
        <v>90035411</v>
      </c>
      <c r="B327" s="253" t="s">
        <v>1173</v>
      </c>
      <c r="C327" s="37"/>
      <c r="D327" s="37"/>
      <c r="E327" s="37"/>
      <c r="F327" s="15"/>
      <c r="G327" s="16"/>
      <c r="H327" s="17"/>
      <c r="I327" s="17"/>
      <c r="J327" s="15"/>
      <c r="K327" s="15"/>
      <c r="L327" s="18"/>
      <c r="M327" s="15"/>
      <c r="N327" s="303"/>
      <c r="O327" s="303"/>
      <c r="P327" s="34"/>
      <c r="Q327" s="34">
        <v>1546540.4603998002</v>
      </c>
      <c r="R327" s="341">
        <f>+Yhteenveto[[#This Row],[Kunnan  peruspalvelujen valtionosuus ]]+Yhteenveto[[#This Row],[Veroperustemuutoksista johtuvien veromenetysten korvaus]]+Yhteenveto[[#This Row],[Kotikuntakorvaus, netto]]</f>
        <v>1546540.4603998002</v>
      </c>
      <c r="S327" s="11"/>
      <c r="T327"/>
    </row>
    <row r="328" spans="1:20" ht="15">
      <c r="A328" s="444">
        <v>90035421</v>
      </c>
      <c r="B328" s="253" t="s">
        <v>326</v>
      </c>
      <c r="C328" s="37"/>
      <c r="D328" s="37"/>
      <c r="E328" s="37"/>
      <c r="F328" s="15"/>
      <c r="G328" s="16"/>
      <c r="H328" s="17"/>
      <c r="I328" s="17"/>
      <c r="J328" s="15"/>
      <c r="K328" s="15"/>
      <c r="L328" s="18"/>
      <c r="M328" s="15"/>
      <c r="N328" s="303"/>
      <c r="O328" s="303"/>
      <c r="P328" s="34"/>
      <c r="Q328" s="34">
        <v>1088731.0578085999</v>
      </c>
      <c r="R328" s="341">
        <f>+Yhteenveto[[#This Row],[Kunnan  peruspalvelujen valtionosuus ]]+Yhteenveto[[#This Row],[Veroperustemuutoksista johtuvien veromenetysten korvaus]]+Yhteenveto[[#This Row],[Kotikuntakorvaus, netto]]</f>
        <v>1088731.0578085999</v>
      </c>
      <c r="S328" s="11"/>
      <c r="T328"/>
    </row>
    <row r="329" spans="1:20" ht="15">
      <c r="A329" s="444">
        <v>90035431</v>
      </c>
      <c r="B329" s="253" t="s">
        <v>1174</v>
      </c>
      <c r="C329" s="37"/>
      <c r="D329" s="37"/>
      <c r="E329" s="37"/>
      <c r="F329" s="15"/>
      <c r="G329" s="16"/>
      <c r="H329" s="17"/>
      <c r="I329" s="17"/>
      <c r="J329" s="15"/>
      <c r="K329" s="15"/>
      <c r="L329" s="18"/>
      <c r="M329" s="15"/>
      <c r="N329" s="303"/>
      <c r="O329" s="303"/>
      <c r="P329" s="34"/>
      <c r="Q329" s="34">
        <v>1162219.7897563998</v>
      </c>
      <c r="R329" s="341">
        <f>+Yhteenveto[[#This Row],[Kunnan  peruspalvelujen valtionosuus ]]+Yhteenveto[[#This Row],[Veroperustemuutoksista johtuvien veromenetysten korvaus]]+Yhteenveto[[#This Row],[Kotikuntakorvaus, netto]]</f>
        <v>1162219.7897563998</v>
      </c>
      <c r="S329" s="11"/>
      <c r="T329"/>
    </row>
    <row r="330" spans="1:20" ht="15">
      <c r="A330" s="444">
        <v>90035441</v>
      </c>
      <c r="B330" s="253" t="s">
        <v>327</v>
      </c>
      <c r="C330" s="37"/>
      <c r="D330" s="37"/>
      <c r="E330" s="37"/>
      <c r="F330" s="15"/>
      <c r="G330" s="16"/>
      <c r="H330" s="17"/>
      <c r="I330" s="17"/>
      <c r="J330" s="15"/>
      <c r="K330" s="15"/>
      <c r="L330" s="18"/>
      <c r="M330" s="15"/>
      <c r="N330" s="303"/>
      <c r="O330" s="303"/>
      <c r="P330" s="34"/>
      <c r="Q330" s="34">
        <v>1731286.3807367999</v>
      </c>
      <c r="R330" s="341">
        <f>+Yhteenveto[[#This Row],[Kunnan  peruspalvelujen valtionosuus ]]+Yhteenveto[[#This Row],[Veroperustemuutoksista johtuvien veromenetysten korvaus]]+Yhteenveto[[#This Row],[Kotikuntakorvaus, netto]]</f>
        <v>1731286.3807367999</v>
      </c>
      <c r="S330" s="11"/>
      <c r="T330"/>
    </row>
    <row r="331" spans="1:20" ht="15">
      <c r="A331" s="444">
        <v>90035451</v>
      </c>
      <c r="B331" s="253" t="s">
        <v>328</v>
      </c>
      <c r="C331" s="37"/>
      <c r="D331" s="37"/>
      <c r="E331" s="37"/>
      <c r="F331" s="15"/>
      <c r="G331" s="16"/>
      <c r="H331" s="17"/>
      <c r="I331" s="17"/>
      <c r="J331" s="15"/>
      <c r="K331" s="15"/>
      <c r="L331" s="18"/>
      <c r="M331" s="15"/>
      <c r="N331" s="303"/>
      <c r="O331" s="303"/>
      <c r="P331" s="34"/>
      <c r="Q331" s="34">
        <v>893006.88766000012</v>
      </c>
      <c r="R331" s="341">
        <f>+Yhteenveto[[#This Row],[Kunnan  peruspalvelujen valtionosuus ]]+Yhteenveto[[#This Row],[Veroperustemuutoksista johtuvien veromenetysten korvaus]]+Yhteenveto[[#This Row],[Kotikuntakorvaus, netto]]</f>
        <v>893006.88766000012</v>
      </c>
      <c r="S331" s="11"/>
      <c r="T331"/>
    </row>
    <row r="332" spans="1:20" ht="15">
      <c r="A332" s="444">
        <v>90035461</v>
      </c>
      <c r="B332" s="253" t="s">
        <v>1175</v>
      </c>
      <c r="C332" s="37"/>
      <c r="D332" s="37"/>
      <c r="E332" s="37"/>
      <c r="F332" s="15"/>
      <c r="G332" s="16"/>
      <c r="H332" s="17"/>
      <c r="I332" s="17"/>
      <c r="J332" s="15"/>
      <c r="K332" s="15"/>
      <c r="L332" s="18"/>
      <c r="M332" s="15"/>
      <c r="N332" s="303"/>
      <c r="O332" s="303"/>
      <c r="P332" s="34"/>
      <c r="Q332" s="34">
        <v>1020239.8873422001</v>
      </c>
      <c r="R332" s="341">
        <f>+Yhteenveto[[#This Row],[Kunnan  peruspalvelujen valtionosuus ]]+Yhteenveto[[#This Row],[Veroperustemuutoksista johtuvien veromenetysten korvaus]]+Yhteenveto[[#This Row],[Kotikuntakorvaus, netto]]</f>
        <v>1020239.8873422001</v>
      </c>
      <c r="S332" s="11"/>
      <c r="T332"/>
    </row>
    <row r="333" spans="1:20" ht="15">
      <c r="A333" s="444">
        <v>90035471</v>
      </c>
      <c r="B333" s="253" t="s">
        <v>329</v>
      </c>
      <c r="C333" s="37"/>
      <c r="D333" s="37"/>
      <c r="E333" s="37"/>
      <c r="F333" s="15"/>
      <c r="G333" s="16"/>
      <c r="H333" s="17"/>
      <c r="I333" s="17"/>
      <c r="J333" s="15"/>
      <c r="K333" s="15"/>
      <c r="L333" s="18"/>
      <c r="M333" s="15"/>
      <c r="N333" s="303"/>
      <c r="O333" s="303"/>
      <c r="P333" s="34"/>
      <c r="Q333" s="34">
        <v>807802.56076399994</v>
      </c>
      <c r="R333" s="341">
        <f>+Yhteenveto[[#This Row],[Kunnan  peruspalvelujen valtionosuus ]]+Yhteenveto[[#This Row],[Veroperustemuutoksista johtuvien veromenetysten korvaus]]+Yhteenveto[[#This Row],[Kotikuntakorvaus, netto]]</f>
        <v>807802.56076399994</v>
      </c>
      <c r="S333" s="11"/>
      <c r="T333"/>
    </row>
    <row r="334" spans="1:20" ht="15">
      <c r="A334" s="444">
        <v>90035481</v>
      </c>
      <c r="B334" s="253" t="s">
        <v>330</v>
      </c>
      <c r="C334" s="37"/>
      <c r="D334" s="37"/>
      <c r="E334" s="37"/>
      <c r="F334" s="15"/>
      <c r="G334" s="16"/>
      <c r="H334" s="17"/>
      <c r="I334" s="17"/>
      <c r="J334" s="15"/>
      <c r="K334" s="15"/>
      <c r="L334" s="18"/>
      <c r="M334" s="15"/>
      <c r="N334" s="303"/>
      <c r="O334" s="303"/>
      <c r="P334" s="34"/>
      <c r="Q334" s="34">
        <v>1816162.9986832002</v>
      </c>
      <c r="R334" s="341">
        <f>+Yhteenveto[[#This Row],[Kunnan  peruspalvelujen valtionosuus ]]+Yhteenveto[[#This Row],[Veroperustemuutoksista johtuvien veromenetysten korvaus]]+Yhteenveto[[#This Row],[Kotikuntakorvaus, netto]]</f>
        <v>1816162.9986832002</v>
      </c>
      <c r="S334" s="11"/>
      <c r="T334"/>
    </row>
    <row r="335" spans="1:20" ht="15">
      <c r="A335" s="444">
        <v>90035491</v>
      </c>
      <c r="B335" s="253" t="s">
        <v>331</v>
      </c>
      <c r="C335" s="37"/>
      <c r="D335" s="37"/>
      <c r="E335" s="37"/>
      <c r="F335" s="15"/>
      <c r="G335" s="16"/>
      <c r="H335" s="17"/>
      <c r="I335" s="17"/>
      <c r="J335" s="15"/>
      <c r="K335" s="15"/>
      <c r="L335" s="18"/>
      <c r="M335" s="15"/>
      <c r="N335" s="303"/>
      <c r="O335" s="303"/>
      <c r="P335" s="34"/>
      <c r="Q335" s="34">
        <v>1918244.3364835999</v>
      </c>
      <c r="R335" s="341">
        <f>+Yhteenveto[[#This Row],[Kunnan  peruspalvelujen valtionosuus ]]+Yhteenveto[[#This Row],[Veroperustemuutoksista johtuvien veromenetysten korvaus]]+Yhteenveto[[#This Row],[Kotikuntakorvaus, netto]]</f>
        <v>1918244.3364835999</v>
      </c>
      <c r="S335" s="11"/>
      <c r="T335"/>
    </row>
    <row r="336" spans="1:20" ht="15">
      <c r="A336" s="444">
        <v>90035501</v>
      </c>
      <c r="B336" s="253" t="s">
        <v>332</v>
      </c>
      <c r="C336" s="37"/>
      <c r="D336" s="37"/>
      <c r="E336" s="37"/>
      <c r="F336" s="15"/>
      <c r="G336" s="16"/>
      <c r="H336" s="17"/>
      <c r="I336" s="17"/>
      <c r="J336" s="15"/>
      <c r="K336" s="15"/>
      <c r="L336" s="18"/>
      <c r="M336" s="15"/>
      <c r="N336" s="303"/>
      <c r="O336" s="303"/>
      <c r="P336" s="34"/>
      <c r="Q336" s="34">
        <v>855320.35845599987</v>
      </c>
      <c r="R336" s="341">
        <f>+Yhteenveto[[#This Row],[Kunnan  peruspalvelujen valtionosuus ]]+Yhteenveto[[#This Row],[Veroperustemuutoksista johtuvien veromenetysten korvaus]]+Yhteenveto[[#This Row],[Kotikuntakorvaus, netto]]</f>
        <v>855320.35845599987</v>
      </c>
      <c r="S336" s="11"/>
      <c r="T336"/>
    </row>
    <row r="337" spans="1:20" ht="15">
      <c r="A337" s="444">
        <v>90035521</v>
      </c>
      <c r="B337" s="253" t="s">
        <v>333</v>
      </c>
      <c r="C337" s="37"/>
      <c r="D337" s="37"/>
      <c r="E337" s="37"/>
      <c r="F337" s="15"/>
      <c r="G337" s="16"/>
      <c r="H337" s="17"/>
      <c r="I337" s="17"/>
      <c r="J337" s="15"/>
      <c r="K337" s="15"/>
      <c r="L337" s="18"/>
      <c r="M337" s="15"/>
      <c r="N337" s="303"/>
      <c r="O337" s="303"/>
      <c r="P337" s="34"/>
      <c r="Q337" s="34">
        <v>4881552.5132415993</v>
      </c>
      <c r="R337" s="341">
        <f>+Yhteenveto[[#This Row],[Kunnan  peruspalvelujen valtionosuus ]]+Yhteenveto[[#This Row],[Veroperustemuutoksista johtuvien veromenetysten korvaus]]+Yhteenveto[[#This Row],[Kotikuntakorvaus, netto]]</f>
        <v>4881552.5132415993</v>
      </c>
      <c r="S337" s="11"/>
      <c r="T337"/>
    </row>
    <row r="338" spans="1:20" ht="15">
      <c r="A338" s="444">
        <v>90035531</v>
      </c>
      <c r="B338" s="253" t="s">
        <v>334</v>
      </c>
      <c r="C338" s="37"/>
      <c r="D338" s="37"/>
      <c r="E338" s="37"/>
      <c r="F338" s="15"/>
      <c r="G338" s="16"/>
      <c r="H338" s="17"/>
      <c r="I338" s="17"/>
      <c r="J338" s="15"/>
      <c r="K338" s="15"/>
      <c r="L338" s="18"/>
      <c r="M338" s="15"/>
      <c r="N338" s="303"/>
      <c r="O338" s="303"/>
      <c r="P338" s="34"/>
      <c r="Q338" s="34">
        <v>994596.66203600005</v>
      </c>
      <c r="R338" s="341">
        <f>+Yhteenveto[[#This Row],[Kunnan  peruspalvelujen valtionosuus ]]+Yhteenveto[[#This Row],[Veroperustemuutoksista johtuvien veromenetysten korvaus]]+Yhteenveto[[#This Row],[Kotikuntakorvaus, netto]]</f>
        <v>994596.66203600005</v>
      </c>
      <c r="S338" s="11"/>
      <c r="T338"/>
    </row>
    <row r="339" spans="1:20" ht="15">
      <c r="A339" s="444">
        <v>90035541</v>
      </c>
      <c r="B339" s="253" t="s">
        <v>335</v>
      </c>
      <c r="C339" s="37"/>
      <c r="D339" s="37"/>
      <c r="E339" s="37"/>
      <c r="F339" s="15"/>
      <c r="G339" s="16"/>
      <c r="H339" s="17"/>
      <c r="I339" s="17"/>
      <c r="J339" s="15"/>
      <c r="K339" s="15"/>
      <c r="L339" s="18"/>
      <c r="M339" s="15"/>
      <c r="N339" s="303"/>
      <c r="O339" s="303"/>
      <c r="P339" s="34"/>
      <c r="Q339" s="34">
        <v>2002383.6092934001</v>
      </c>
      <c r="R339" s="341">
        <f>+Yhteenveto[[#This Row],[Kunnan  peruspalvelujen valtionosuus ]]+Yhteenveto[[#This Row],[Veroperustemuutoksista johtuvien veromenetysten korvaus]]+Yhteenveto[[#This Row],[Kotikuntakorvaus, netto]]</f>
        <v>2002383.6092934001</v>
      </c>
      <c r="S339" s="11"/>
      <c r="T339"/>
    </row>
    <row r="340" spans="1:20" ht="15">
      <c r="A340" s="444">
        <v>90035551</v>
      </c>
      <c r="B340" s="253" t="s">
        <v>1176</v>
      </c>
      <c r="C340" s="37"/>
      <c r="D340" s="37"/>
      <c r="E340" s="37"/>
      <c r="F340" s="15"/>
      <c r="G340" s="16"/>
      <c r="H340" s="17"/>
      <c r="I340" s="17"/>
      <c r="J340" s="15"/>
      <c r="K340" s="15"/>
      <c r="L340" s="18"/>
      <c r="M340" s="15"/>
      <c r="N340" s="303"/>
      <c r="O340" s="303"/>
      <c r="P340" s="34"/>
      <c r="Q340" s="34">
        <v>1257255.3851403999</v>
      </c>
      <c r="R340" s="341">
        <f>+Yhteenveto[[#This Row],[Kunnan  peruspalvelujen valtionosuus ]]+Yhteenveto[[#This Row],[Veroperustemuutoksista johtuvien veromenetysten korvaus]]+Yhteenveto[[#This Row],[Kotikuntakorvaus, netto]]</f>
        <v>1257255.3851403999</v>
      </c>
      <c r="S340" s="11"/>
      <c r="T340"/>
    </row>
    <row r="341" spans="1:20" ht="15">
      <c r="A341" s="444">
        <v>90036381</v>
      </c>
      <c r="B341" s="253" t="s">
        <v>336</v>
      </c>
      <c r="C341" s="37"/>
      <c r="D341" s="37"/>
      <c r="E341" s="37"/>
      <c r="F341" s="15"/>
      <c r="G341" s="16"/>
      <c r="H341" s="17"/>
      <c r="I341" s="17"/>
      <c r="J341" s="15"/>
      <c r="K341" s="15"/>
      <c r="L341" s="18"/>
      <c r="M341" s="15"/>
      <c r="N341" s="303"/>
      <c r="O341" s="303"/>
      <c r="P341" s="34"/>
      <c r="Q341" s="34">
        <v>2080951.82996</v>
      </c>
      <c r="R341" s="341">
        <f>+Yhteenveto[[#This Row],[Kunnan  peruspalvelujen valtionosuus ]]+Yhteenveto[[#This Row],[Veroperustemuutoksista johtuvien veromenetysten korvaus]]+Yhteenveto[[#This Row],[Kotikuntakorvaus, netto]]</f>
        <v>2080951.82996</v>
      </c>
      <c r="S341" s="11"/>
      <c r="T341"/>
    </row>
    <row r="342" spans="1:20" ht="15">
      <c r="A342" s="444">
        <v>90036811</v>
      </c>
      <c r="B342" s="253" t="s">
        <v>337</v>
      </c>
      <c r="C342" s="37"/>
      <c r="D342" s="37"/>
      <c r="E342" s="37"/>
      <c r="F342" s="15"/>
      <c r="G342" s="16"/>
      <c r="H342" s="17"/>
      <c r="I342" s="17"/>
      <c r="J342" s="15"/>
      <c r="K342" s="15"/>
      <c r="L342" s="18"/>
      <c r="M342" s="15"/>
      <c r="N342" s="303"/>
      <c r="O342" s="303"/>
      <c r="P342" s="34"/>
      <c r="Q342" s="34">
        <v>4748137.2842251956</v>
      </c>
      <c r="R342" s="341">
        <f>+Yhteenveto[[#This Row],[Kunnan  peruspalvelujen valtionosuus ]]+Yhteenveto[[#This Row],[Veroperustemuutoksista johtuvien veromenetysten korvaus]]+Yhteenveto[[#This Row],[Kotikuntakorvaus, netto]]</f>
        <v>4748137.2842251956</v>
      </c>
      <c r="S342" s="11"/>
      <c r="T342"/>
    </row>
    <row r="343" spans="1:20" ht="15">
      <c r="A343" s="444">
        <v>90037151</v>
      </c>
      <c r="B343" s="253" t="s">
        <v>338</v>
      </c>
      <c r="C343" s="37"/>
      <c r="D343" s="37"/>
      <c r="E343" s="37"/>
      <c r="F343" s="15"/>
      <c r="G343" s="16"/>
      <c r="H343" s="17"/>
      <c r="I343" s="17"/>
      <c r="J343" s="15"/>
      <c r="K343" s="15"/>
      <c r="L343" s="18"/>
      <c r="M343" s="15"/>
      <c r="N343" s="303"/>
      <c r="O343" s="303"/>
      <c r="P343" s="34"/>
      <c r="Q343" s="34">
        <v>1285520.2820433998</v>
      </c>
      <c r="R343" s="341">
        <f>+Yhteenveto[[#This Row],[Kunnan  peruspalvelujen valtionosuus ]]+Yhteenveto[[#This Row],[Veroperustemuutoksista johtuvien veromenetysten korvaus]]+Yhteenveto[[#This Row],[Kotikuntakorvaus, netto]]</f>
        <v>1285520.2820433998</v>
      </c>
      <c r="S343" s="11"/>
      <c r="T343"/>
    </row>
    <row r="344" spans="1:20" ht="15">
      <c r="A344" s="444">
        <v>90037171</v>
      </c>
      <c r="B344" s="253" t="s">
        <v>339</v>
      </c>
      <c r="C344" s="37"/>
      <c r="D344" s="37"/>
      <c r="E344" s="37"/>
      <c r="F344" s="15"/>
      <c r="G344" s="16"/>
      <c r="H344" s="17"/>
      <c r="I344" s="17"/>
      <c r="J344" s="15"/>
      <c r="K344" s="15"/>
      <c r="L344" s="18"/>
      <c r="M344" s="15"/>
      <c r="N344" s="303"/>
      <c r="O344" s="303"/>
      <c r="P344" s="34"/>
      <c r="Q344" s="34">
        <v>930037.99896480003</v>
      </c>
      <c r="R344" s="341">
        <f>+Yhteenveto[[#This Row],[Kunnan  peruspalvelujen valtionosuus ]]+Yhteenveto[[#This Row],[Veroperustemuutoksista johtuvien veromenetysten korvaus]]+Yhteenveto[[#This Row],[Kotikuntakorvaus, netto]]</f>
        <v>930037.99896480003</v>
      </c>
      <c r="S344" s="11"/>
      <c r="T344"/>
    </row>
    <row r="345" spans="1:20" ht="15">
      <c r="A345" s="46">
        <v>90037181</v>
      </c>
      <c r="B345" s="446" t="s">
        <v>1177</v>
      </c>
      <c r="C345" s="39"/>
      <c r="D345" s="39"/>
      <c r="E345" s="39"/>
      <c r="F345" s="15"/>
      <c r="G345" s="40"/>
      <c r="H345" s="41"/>
      <c r="I345" s="41"/>
      <c r="J345" s="15"/>
      <c r="K345" s="15"/>
      <c r="L345" s="42"/>
      <c r="M345" s="15"/>
      <c r="N345" s="303"/>
      <c r="O345" s="303"/>
      <c r="P345" s="34"/>
      <c r="Q345" s="34">
        <v>2827554.7443861999</v>
      </c>
      <c r="R345" s="341">
        <f>+Yhteenveto[[#This Row],[Kunnan  peruspalvelujen valtionosuus ]]+Yhteenveto[[#This Row],[Veroperustemuutoksista johtuvien veromenetysten korvaus]]+Yhteenveto[[#This Row],[Kotikuntakorvaus, netto]]</f>
        <v>2827554.7443861999</v>
      </c>
      <c r="S345" s="11"/>
      <c r="T345"/>
    </row>
    <row r="346" spans="1:20" ht="15">
      <c r="A346" s="444">
        <v>90037191</v>
      </c>
      <c r="B346" s="253" t="s">
        <v>340</v>
      </c>
      <c r="C346" s="37"/>
      <c r="D346" s="37"/>
      <c r="E346" s="37"/>
      <c r="F346" s="15"/>
      <c r="G346" s="16"/>
      <c r="H346" s="17"/>
      <c r="I346" s="17"/>
      <c r="J346" s="15"/>
      <c r="K346" s="15"/>
      <c r="L346" s="18"/>
      <c r="M346" s="15"/>
      <c r="N346" s="303"/>
      <c r="O346" s="303"/>
      <c r="P346" s="34"/>
      <c r="Q346" s="34">
        <v>1553012.7121544001</v>
      </c>
      <c r="R346" s="341">
        <f>+Yhteenveto[[#This Row],[Kunnan  peruspalvelujen valtionosuus ]]+Yhteenveto[[#This Row],[Veroperustemuutoksista johtuvien veromenetysten korvaus]]+Yhteenveto[[#This Row],[Kotikuntakorvaus, netto]]</f>
        <v>1553012.7121544001</v>
      </c>
      <c r="S346" s="11"/>
      <c r="T346"/>
    </row>
    <row r="347" spans="1:20" ht="15">
      <c r="A347" s="444">
        <v>90037251</v>
      </c>
      <c r="B347" s="253" t="s">
        <v>341</v>
      </c>
      <c r="C347" s="37"/>
      <c r="D347" s="37"/>
      <c r="E347" s="37"/>
      <c r="F347" s="15"/>
      <c r="G347" s="16"/>
      <c r="H347" s="17"/>
      <c r="I347" s="17"/>
      <c r="J347" s="15"/>
      <c r="K347" s="15"/>
      <c r="L347" s="18"/>
      <c r="M347" s="15"/>
      <c r="N347" s="303"/>
      <c r="O347" s="303"/>
      <c r="P347" s="34"/>
      <c r="Q347" s="34">
        <v>4911947.5183170009</v>
      </c>
      <c r="R347" s="341">
        <f>+Yhteenveto[[#This Row],[Kunnan  peruspalvelujen valtionosuus ]]+Yhteenveto[[#This Row],[Veroperustemuutoksista johtuvien veromenetysten korvaus]]+Yhteenveto[[#This Row],[Kotikuntakorvaus, netto]]</f>
        <v>4911947.5183170009</v>
      </c>
      <c r="S347" s="11"/>
      <c r="T347"/>
    </row>
    <row r="348" spans="1:20" ht="15">
      <c r="A348" s="444">
        <v>90037591</v>
      </c>
      <c r="B348" s="253" t="s">
        <v>342</v>
      </c>
      <c r="C348" s="37"/>
      <c r="D348" s="37"/>
      <c r="E348" s="37"/>
      <c r="F348" s="15"/>
      <c r="G348" s="16"/>
      <c r="H348" s="17"/>
      <c r="I348" s="17"/>
      <c r="J348" s="15"/>
      <c r="K348" s="15"/>
      <c r="L348" s="18"/>
      <c r="M348" s="15"/>
      <c r="N348" s="303"/>
      <c r="O348" s="303"/>
      <c r="P348" s="34"/>
      <c r="Q348" s="34">
        <v>3014922.3363200002</v>
      </c>
      <c r="R348" s="341">
        <f>+Yhteenveto[[#This Row],[Kunnan  peruspalvelujen valtionosuus ]]+Yhteenveto[[#This Row],[Veroperustemuutoksista johtuvien veromenetysten korvaus]]+Yhteenveto[[#This Row],[Kotikuntakorvaus, netto]]</f>
        <v>3014922.3363200002</v>
      </c>
      <c r="S348" s="11"/>
      <c r="T348"/>
    </row>
    <row r="349" spans="1:20" ht="15">
      <c r="A349" s="444">
        <v>90037841</v>
      </c>
      <c r="B349" s="253" t="s">
        <v>1178</v>
      </c>
      <c r="C349" s="37"/>
      <c r="D349" s="37"/>
      <c r="E349" s="37"/>
      <c r="F349" s="15"/>
      <c r="G349" s="16"/>
      <c r="H349" s="17"/>
      <c r="I349" s="17"/>
      <c r="J349" s="15"/>
      <c r="K349" s="15"/>
      <c r="L349" s="18"/>
      <c r="M349" s="15"/>
      <c r="N349" s="303"/>
      <c r="O349" s="303"/>
      <c r="P349" s="34"/>
      <c r="Q349" s="34">
        <v>808048.34247619996</v>
      </c>
      <c r="R349" s="341">
        <f>+Yhteenveto[[#This Row],[Kunnan  peruspalvelujen valtionosuus ]]+Yhteenveto[[#This Row],[Veroperustemuutoksista johtuvien veromenetysten korvaus]]+Yhteenveto[[#This Row],[Kotikuntakorvaus, netto]]</f>
        <v>808048.34247619996</v>
      </c>
      <c r="S349" s="11"/>
      <c r="T349"/>
    </row>
    <row r="350" spans="1:20" ht="15">
      <c r="A350" s="444">
        <v>90037851</v>
      </c>
      <c r="B350" s="253" t="s">
        <v>343</v>
      </c>
      <c r="C350" s="37"/>
      <c r="D350" s="37"/>
      <c r="E350" s="37"/>
      <c r="F350" s="15"/>
      <c r="G350" s="16"/>
      <c r="H350" s="17"/>
      <c r="I350" s="17"/>
      <c r="J350" s="15"/>
      <c r="K350" s="15"/>
      <c r="L350" s="18"/>
      <c r="M350" s="15"/>
      <c r="N350" s="303"/>
      <c r="O350" s="303"/>
      <c r="P350" s="34"/>
      <c r="Q350" s="34">
        <v>522695.77461200004</v>
      </c>
      <c r="R350" s="341">
        <f>+Yhteenveto[[#This Row],[Kunnan  peruspalvelujen valtionosuus ]]+Yhteenveto[[#This Row],[Veroperustemuutoksista johtuvien veromenetysten korvaus]]+Yhteenveto[[#This Row],[Kotikuntakorvaus, netto]]</f>
        <v>522695.77461200004</v>
      </c>
      <c r="S350" s="11"/>
      <c r="T350"/>
    </row>
    <row r="351" spans="1:20" ht="15">
      <c r="A351" s="444">
        <v>90037861</v>
      </c>
      <c r="B351" s="253" t="s">
        <v>344</v>
      </c>
      <c r="C351" s="37"/>
      <c r="D351" s="37"/>
      <c r="E351" s="37"/>
      <c r="F351" s="15"/>
      <c r="G351" s="16"/>
      <c r="H351" s="17"/>
      <c r="I351" s="17"/>
      <c r="J351" s="15"/>
      <c r="K351" s="15"/>
      <c r="L351" s="18"/>
      <c r="M351" s="15"/>
      <c r="N351" s="303"/>
      <c r="O351" s="303"/>
      <c r="P351" s="34"/>
      <c r="Q351" s="34">
        <v>1531220.0670060001</v>
      </c>
      <c r="R351" s="341">
        <f>+Yhteenveto[[#This Row],[Kunnan  peruspalvelujen valtionosuus ]]+Yhteenveto[[#This Row],[Veroperustemuutoksista johtuvien veromenetysten korvaus]]+Yhteenveto[[#This Row],[Kotikuntakorvaus, netto]]</f>
        <v>1531220.0670060001</v>
      </c>
      <c r="S351" s="11"/>
      <c r="T351"/>
    </row>
    <row r="352" spans="1:20" ht="15">
      <c r="A352" s="46">
        <v>90037981</v>
      </c>
      <c r="B352" s="446" t="s">
        <v>345</v>
      </c>
      <c r="C352" s="39"/>
      <c r="D352" s="39"/>
      <c r="E352" s="39"/>
      <c r="F352" s="15"/>
      <c r="G352" s="40"/>
      <c r="H352" s="41"/>
      <c r="I352" s="41"/>
      <c r="J352" s="15"/>
      <c r="K352" s="15"/>
      <c r="L352" s="42"/>
      <c r="M352" s="15"/>
      <c r="N352" s="303"/>
      <c r="O352" s="303"/>
      <c r="P352" s="34"/>
      <c r="Q352" s="34">
        <v>2346396.0791359995</v>
      </c>
      <c r="R352" s="341">
        <f>+Yhteenveto[[#This Row],[Kunnan  peruspalvelujen valtionosuus ]]+Yhteenveto[[#This Row],[Veroperustemuutoksista johtuvien veromenetysten korvaus]]+Yhteenveto[[#This Row],[Kotikuntakorvaus, netto]]</f>
        <v>2346396.0791359995</v>
      </c>
      <c r="S352" s="11"/>
      <c r="T352"/>
    </row>
    <row r="353" spans="1:20" ht="15">
      <c r="A353" s="444">
        <v>90037991</v>
      </c>
      <c r="B353" s="253" t="s">
        <v>346</v>
      </c>
      <c r="C353" s="37"/>
      <c r="D353" s="37"/>
      <c r="E353" s="37"/>
      <c r="F353" s="15"/>
      <c r="G353" s="16"/>
      <c r="H353" s="17"/>
      <c r="I353" s="17"/>
      <c r="J353" s="15"/>
      <c r="K353" s="15"/>
      <c r="L353" s="18"/>
      <c r="M353" s="15"/>
      <c r="N353" s="303"/>
      <c r="O353" s="303"/>
      <c r="P353" s="34"/>
      <c r="Q353" s="34">
        <v>1158942.7002604001</v>
      </c>
      <c r="R353" s="341">
        <f>+Yhteenveto[[#This Row],[Kunnan  peruspalvelujen valtionosuus ]]+Yhteenveto[[#This Row],[Veroperustemuutoksista johtuvien veromenetysten korvaus]]+Yhteenveto[[#This Row],[Kotikuntakorvaus, netto]]</f>
        <v>1158942.7002604001</v>
      </c>
      <c r="S353" s="11"/>
      <c r="T353"/>
    </row>
    <row r="354" spans="1:20" ht="15">
      <c r="A354" s="444">
        <v>90038081</v>
      </c>
      <c r="B354" s="253" t="s">
        <v>347</v>
      </c>
      <c r="C354" s="37"/>
      <c r="D354" s="37"/>
      <c r="E354" s="37"/>
      <c r="F354" s="15"/>
      <c r="G354" s="16"/>
      <c r="H354" s="17"/>
      <c r="I354" s="17"/>
      <c r="J354" s="15"/>
      <c r="K354" s="15"/>
      <c r="L354" s="18"/>
      <c r="M354" s="15"/>
      <c r="N354" s="303"/>
      <c r="O354" s="303"/>
      <c r="P354" s="34"/>
      <c r="Q354" s="34">
        <v>1238739.8294880001</v>
      </c>
      <c r="R354" s="341">
        <f>+Yhteenveto[[#This Row],[Kunnan  peruspalvelujen valtionosuus ]]+Yhteenveto[[#This Row],[Veroperustemuutoksista johtuvien veromenetysten korvaus]]+Yhteenveto[[#This Row],[Kotikuntakorvaus, netto]]</f>
        <v>1238739.8294880001</v>
      </c>
      <c r="S354" s="11"/>
      <c r="T354"/>
    </row>
    <row r="355" spans="1:20" ht="15">
      <c r="A355" s="444">
        <v>90038581</v>
      </c>
      <c r="B355" s="253" t="s">
        <v>348</v>
      </c>
      <c r="C355" s="37"/>
      <c r="D355" s="37"/>
      <c r="E355" s="37"/>
      <c r="F355" s="15"/>
      <c r="G355" s="16"/>
      <c r="H355" s="17"/>
      <c r="I355" s="17"/>
      <c r="J355" s="15"/>
      <c r="K355" s="15"/>
      <c r="L355" s="18"/>
      <c r="M355" s="15"/>
      <c r="N355" s="303"/>
      <c r="O355" s="303"/>
      <c r="P355" s="34"/>
      <c r="Q355" s="34">
        <v>324431.86010399996</v>
      </c>
      <c r="R355" s="341">
        <f>+Yhteenveto[[#This Row],[Kunnan  peruspalvelujen valtionosuus ]]+Yhteenveto[[#This Row],[Veroperustemuutoksista johtuvien veromenetysten korvaus]]+Yhteenveto[[#This Row],[Kotikuntakorvaus, netto]]</f>
        <v>324431.86010399996</v>
      </c>
      <c r="S355" s="11"/>
      <c r="T355"/>
    </row>
    <row r="356" spans="1:20" ht="15">
      <c r="A356" s="444">
        <v>90038611</v>
      </c>
      <c r="B356" s="253" t="s">
        <v>349</v>
      </c>
      <c r="C356" s="37"/>
      <c r="D356" s="37"/>
      <c r="E356" s="37"/>
      <c r="F356" s="15"/>
      <c r="G356" s="16"/>
      <c r="H356" s="17"/>
      <c r="I356" s="17"/>
      <c r="J356" s="15"/>
      <c r="K356" s="15"/>
      <c r="L356" s="18"/>
      <c r="M356" s="15"/>
      <c r="N356" s="303"/>
      <c r="O356" s="303"/>
      <c r="P356" s="34"/>
      <c r="Q356" s="34">
        <v>794694.20277999993</v>
      </c>
      <c r="R356" s="341">
        <f>+Yhteenveto[[#This Row],[Kunnan  peruspalvelujen valtionosuus ]]+Yhteenveto[[#This Row],[Veroperustemuutoksista johtuvien veromenetysten korvaus]]+Yhteenveto[[#This Row],[Kotikuntakorvaus, netto]]</f>
        <v>794694.20277999993</v>
      </c>
      <c r="S356" s="11"/>
      <c r="T356"/>
    </row>
    <row r="357" spans="1:20" ht="15">
      <c r="A357" s="444">
        <v>90038691</v>
      </c>
      <c r="B357" s="253" t="s">
        <v>350</v>
      </c>
      <c r="C357" s="37"/>
      <c r="D357" s="37"/>
      <c r="E357" s="37"/>
      <c r="F357" s="15"/>
      <c r="G357" s="16"/>
      <c r="H357" s="17"/>
      <c r="I357" s="17"/>
      <c r="J357" s="15"/>
      <c r="K357" s="15"/>
      <c r="L357" s="18"/>
      <c r="M357" s="15"/>
      <c r="N357" s="303"/>
      <c r="O357" s="303"/>
      <c r="P357" s="34"/>
      <c r="Q357" s="34">
        <v>417828.91073999996</v>
      </c>
      <c r="R357" s="341">
        <f>+Yhteenveto[[#This Row],[Kunnan  peruspalvelujen valtionosuus ]]+Yhteenveto[[#This Row],[Veroperustemuutoksista johtuvien veromenetysten korvaus]]+Yhteenveto[[#This Row],[Kotikuntakorvaus, netto]]</f>
        <v>417828.91073999996</v>
      </c>
      <c r="S357" s="11"/>
      <c r="T357"/>
    </row>
    <row r="358" spans="1:20" ht="15">
      <c r="A358" s="444">
        <v>90053421</v>
      </c>
      <c r="B358" s="253" t="s">
        <v>1179</v>
      </c>
      <c r="C358" s="37"/>
      <c r="D358" s="37"/>
      <c r="E358" s="37"/>
      <c r="F358" s="15"/>
      <c r="G358" s="16"/>
      <c r="H358" s="17"/>
      <c r="I358" s="17"/>
      <c r="J358" s="15"/>
      <c r="K358" s="15"/>
      <c r="L358" s="18"/>
      <c r="M358" s="15"/>
      <c r="N358" s="303"/>
      <c r="O358" s="303"/>
      <c r="P358" s="34"/>
      <c r="Q358" s="34">
        <v>6698370.9298240002</v>
      </c>
      <c r="R358" s="341">
        <f>+Yhteenveto[[#This Row],[Kunnan  peruspalvelujen valtionosuus ]]+Yhteenveto[[#This Row],[Veroperustemuutoksista johtuvien veromenetysten korvaus]]+Yhteenveto[[#This Row],[Kotikuntakorvaus, netto]]</f>
        <v>6698370.9298240002</v>
      </c>
      <c r="S358" s="11"/>
      <c r="T358"/>
    </row>
    <row r="359" spans="1:20" ht="15">
      <c r="A359" s="444">
        <v>90053431</v>
      </c>
      <c r="B359" s="253" t="s">
        <v>737</v>
      </c>
      <c r="C359" s="37"/>
      <c r="D359" s="37"/>
      <c r="E359" s="37"/>
      <c r="F359" s="15"/>
      <c r="G359" s="16"/>
      <c r="H359" s="17"/>
      <c r="I359" s="17"/>
      <c r="J359" s="15"/>
      <c r="K359" s="15"/>
      <c r="L359" s="18"/>
      <c r="M359" s="15"/>
      <c r="N359" s="303"/>
      <c r="O359" s="303"/>
      <c r="P359" s="34"/>
      <c r="Q359" s="34">
        <v>7117838.3853120003</v>
      </c>
      <c r="R359" s="341">
        <f>+Yhteenveto[[#This Row],[Kunnan  peruspalvelujen valtionosuus ]]+Yhteenveto[[#This Row],[Veroperustemuutoksista johtuvien veromenetysten korvaus]]+Yhteenveto[[#This Row],[Kotikuntakorvaus, netto]]</f>
        <v>7117838.3853120003</v>
      </c>
      <c r="S359" s="11"/>
      <c r="T359"/>
    </row>
    <row r="360" spans="1:20" ht="15">
      <c r="A360" s="444">
        <v>90000842</v>
      </c>
      <c r="B360" s="253" t="s">
        <v>351</v>
      </c>
      <c r="C360" s="37"/>
      <c r="D360" s="37"/>
      <c r="E360" s="37"/>
      <c r="F360" s="15"/>
      <c r="G360" s="16"/>
      <c r="H360" s="17"/>
      <c r="I360" s="17"/>
      <c r="J360" s="15"/>
      <c r="K360" s="15"/>
      <c r="L360" s="18"/>
      <c r="M360" s="15"/>
      <c r="N360" s="303"/>
      <c r="O360" s="303"/>
      <c r="P360" s="34"/>
      <c r="Q360" s="34">
        <v>5570525.7157800011</v>
      </c>
      <c r="R360" s="341">
        <f>+Yhteenveto[[#This Row],[Kunnan  peruspalvelujen valtionosuus ]]+Yhteenveto[[#This Row],[Veroperustemuutoksista johtuvien veromenetysten korvaus]]+Yhteenveto[[#This Row],[Kotikuntakorvaus, netto]]</f>
        <v>5570525.7157800011</v>
      </c>
      <c r="S360" s="11"/>
      <c r="T360"/>
    </row>
    <row r="361" spans="1:20" ht="15">
      <c r="A361" s="444">
        <v>90000872</v>
      </c>
      <c r="B361" s="253" t="s">
        <v>352</v>
      </c>
      <c r="C361" s="37"/>
      <c r="D361" s="37"/>
      <c r="E361" s="37"/>
      <c r="F361" s="15"/>
      <c r="G361" s="16"/>
      <c r="H361" s="17"/>
      <c r="I361" s="17"/>
      <c r="J361" s="15"/>
      <c r="K361" s="15"/>
      <c r="L361" s="18"/>
      <c r="M361" s="15"/>
      <c r="N361" s="303"/>
      <c r="O361" s="303"/>
      <c r="P361" s="34"/>
      <c r="Q361" s="34">
        <v>4767830.1314420002</v>
      </c>
      <c r="R361" s="341">
        <f>+Yhteenveto[[#This Row],[Kunnan  peruspalvelujen valtionosuus ]]+Yhteenveto[[#This Row],[Veroperustemuutoksista johtuvien veromenetysten korvaus]]+Yhteenveto[[#This Row],[Kotikuntakorvaus, netto]]</f>
        <v>4767830.1314420002</v>
      </c>
      <c r="S361" s="11"/>
      <c r="T361"/>
    </row>
    <row r="362" spans="1:20" ht="15">
      <c r="A362" s="444">
        <v>90053342</v>
      </c>
      <c r="B362" s="253" t="s">
        <v>353</v>
      </c>
      <c r="C362" s="37"/>
      <c r="D362" s="37"/>
      <c r="E362" s="37"/>
      <c r="F362" s="15"/>
      <c r="G362" s="16"/>
      <c r="H362" s="17"/>
      <c r="I362" s="17"/>
      <c r="J362" s="15"/>
      <c r="K362" s="15"/>
      <c r="L362" s="18"/>
      <c r="M362" s="15"/>
      <c r="N362" s="303"/>
      <c r="O362" s="303"/>
      <c r="P362" s="34"/>
      <c r="Q362" s="34">
        <v>801525.15020000003</v>
      </c>
      <c r="R362" s="341">
        <f>+Yhteenveto[[#This Row],[Kunnan  peruspalvelujen valtionosuus ]]+Yhteenveto[[#This Row],[Veroperustemuutoksista johtuvien veromenetysten korvaus]]+Yhteenveto[[#This Row],[Kotikuntakorvaus, netto]]</f>
        <v>801525.15020000003</v>
      </c>
      <c r="S362" s="11"/>
      <c r="T362"/>
    </row>
    <row r="363" spans="1:20" ht="15">
      <c r="A363" s="444">
        <v>90037822</v>
      </c>
      <c r="B363" s="253" t="s">
        <v>1180</v>
      </c>
      <c r="C363" s="37"/>
      <c r="D363" s="37"/>
      <c r="E363" s="37"/>
      <c r="F363" s="15"/>
      <c r="G363" s="16"/>
      <c r="H363" s="17"/>
      <c r="I363" s="17"/>
      <c r="J363" s="15"/>
      <c r="K363" s="15"/>
      <c r="L363" s="18"/>
      <c r="M363" s="15"/>
      <c r="N363" s="303"/>
      <c r="O363" s="303"/>
      <c r="P363" s="34"/>
      <c r="Q363" s="34">
        <v>1930179.2341599995</v>
      </c>
      <c r="R363" s="341">
        <f>+Yhteenveto[[#This Row],[Kunnan  peruspalvelujen valtionosuus ]]+Yhteenveto[[#This Row],[Veroperustemuutoksista johtuvien veromenetysten korvaus]]+Yhteenveto[[#This Row],[Kotikuntakorvaus, netto]]</f>
        <v>1930179.2341599995</v>
      </c>
      <c r="S363" s="11"/>
      <c r="T363"/>
    </row>
    <row r="364" spans="1:20" ht="15">
      <c r="A364" s="444">
        <v>90038382</v>
      </c>
      <c r="B364" s="253" t="s">
        <v>354</v>
      </c>
      <c r="C364" s="37"/>
      <c r="D364" s="37"/>
      <c r="E364" s="37"/>
      <c r="F364" s="15"/>
      <c r="G364" s="16"/>
      <c r="H364" s="17"/>
      <c r="I364" s="17"/>
      <c r="J364" s="15"/>
      <c r="K364" s="15"/>
      <c r="L364" s="18"/>
      <c r="M364" s="15"/>
      <c r="N364" s="303"/>
      <c r="O364" s="303"/>
      <c r="P364" s="34"/>
      <c r="Q364" s="34">
        <v>2897935.6631999998</v>
      </c>
      <c r="R364" s="341">
        <f>+Yhteenveto[[#This Row],[Kunnan  peruspalvelujen valtionosuus ]]+Yhteenveto[[#This Row],[Veroperustemuutoksista johtuvien veromenetysten korvaus]]+Yhteenveto[[#This Row],[Kotikuntakorvaus, netto]]</f>
        <v>2897935.6631999998</v>
      </c>
      <c r="S364" s="11"/>
      <c r="T364"/>
    </row>
    <row r="365" spans="1:20" ht="15">
      <c r="A365" s="444">
        <v>90053456</v>
      </c>
      <c r="B365" s="253" t="s">
        <v>738</v>
      </c>
      <c r="C365" s="37"/>
      <c r="D365" s="37"/>
      <c r="E365" s="37"/>
      <c r="F365" s="15"/>
      <c r="G365" s="16"/>
      <c r="H365" s="17"/>
      <c r="I365" s="17"/>
      <c r="J365" s="15"/>
      <c r="K365" s="15"/>
      <c r="L365" s="18"/>
      <c r="M365" s="15"/>
      <c r="N365" s="303"/>
      <c r="O365" s="303"/>
      <c r="P365" s="34"/>
      <c r="Q365" s="34">
        <v>728928.60240000009</v>
      </c>
      <c r="R365" s="341">
        <f>+Yhteenveto[[#This Row],[Kunnan  peruspalvelujen valtionosuus ]]+Yhteenveto[[#This Row],[Veroperustemuutoksista johtuvien veromenetysten korvaus]]+Yhteenveto[[#This Row],[Kotikuntakorvaus, netto]]</f>
        <v>728928.60240000009</v>
      </c>
      <c r="S365" s="11"/>
      <c r="T365"/>
    </row>
    <row r="366" spans="1:20" ht="15">
      <c r="A366" s="444">
        <v>90000837</v>
      </c>
      <c r="B366" s="253" t="s">
        <v>693</v>
      </c>
      <c r="C366" s="37"/>
      <c r="D366" s="37"/>
      <c r="E366" s="37"/>
      <c r="F366" s="15"/>
      <c r="G366" s="16"/>
      <c r="H366" s="17"/>
      <c r="I366" s="17"/>
      <c r="J366" s="15"/>
      <c r="K366" s="15"/>
      <c r="L366" s="18"/>
      <c r="M366" s="15"/>
      <c r="N366" s="303"/>
      <c r="O366" s="303"/>
      <c r="P366" s="34"/>
      <c r="Q366" s="34">
        <v>12426669.296855317</v>
      </c>
      <c r="R366" s="341">
        <f>+Yhteenveto[[#This Row],[Kunnan  peruspalvelujen valtionosuus ]]+Yhteenveto[[#This Row],[Veroperustemuutoksista johtuvien veromenetysten korvaus]]+Yhteenveto[[#This Row],[Kotikuntakorvaus, netto]]</f>
        <v>12426669.296855317</v>
      </c>
      <c r="S366" s="11"/>
      <c r="T366"/>
    </row>
    <row r="367" spans="1:20" ht="15">
      <c r="A367" s="444">
        <v>90002047</v>
      </c>
      <c r="B367" s="253" t="s">
        <v>694</v>
      </c>
      <c r="C367" s="37"/>
      <c r="D367" s="37"/>
      <c r="E367" s="37"/>
      <c r="F367" s="15"/>
      <c r="G367" s="16"/>
      <c r="H367" s="17"/>
      <c r="I367" s="17"/>
      <c r="J367" s="15"/>
      <c r="K367" s="15"/>
      <c r="L367" s="18"/>
      <c r="M367" s="15"/>
      <c r="N367" s="303"/>
      <c r="O367" s="303"/>
      <c r="P367" s="34"/>
      <c r="Q367" s="34">
        <v>7018837.5116378414</v>
      </c>
      <c r="R367" s="341">
        <f>+Yhteenveto[[#This Row],[Kunnan  peruspalvelujen valtionosuus ]]+Yhteenveto[[#This Row],[Veroperustemuutoksista johtuvien veromenetysten korvaus]]+Yhteenveto[[#This Row],[Kotikuntakorvaus, netto]]</f>
        <v>7018837.5116378414</v>
      </c>
      <c r="S367" s="11"/>
      <c r="T367"/>
    </row>
    <row r="368" spans="1:20" s="45" customFormat="1" ht="15">
      <c r="A368" s="46">
        <v>90005997</v>
      </c>
      <c r="B368" s="446" t="s">
        <v>695</v>
      </c>
      <c r="C368" s="39"/>
      <c r="D368" s="39"/>
      <c r="E368" s="39"/>
      <c r="F368" s="15"/>
      <c r="G368" s="40"/>
      <c r="H368" s="41"/>
      <c r="I368" s="41"/>
      <c r="J368" s="15"/>
      <c r="K368" s="15"/>
      <c r="L368" s="42"/>
      <c r="M368" s="15"/>
      <c r="N368" s="303"/>
      <c r="O368" s="303"/>
      <c r="P368" s="34"/>
      <c r="Q368" s="34">
        <v>7631849.8727596002</v>
      </c>
      <c r="R368" s="341">
        <f>+Yhteenveto[[#This Row],[Kunnan  peruspalvelujen valtionosuus ]]+Yhteenveto[[#This Row],[Veroperustemuutoksista johtuvien veromenetysten korvaus]]+Yhteenveto[[#This Row],[Kotikuntakorvaus, netto]]</f>
        <v>7631849.8727596002</v>
      </c>
      <c r="S368" s="44"/>
    </row>
    <row r="369" spans="1:20" ht="15">
      <c r="A369" s="444">
        <v>90008177</v>
      </c>
      <c r="B369" s="253" t="s">
        <v>703</v>
      </c>
      <c r="C369" s="37"/>
      <c r="D369" s="37"/>
      <c r="E369" s="37"/>
      <c r="F369" s="15"/>
      <c r="G369" s="16"/>
      <c r="H369" s="17"/>
      <c r="I369" s="17"/>
      <c r="J369" s="15"/>
      <c r="K369" s="15"/>
      <c r="L369" s="18"/>
      <c r="M369" s="15"/>
      <c r="N369" s="303"/>
      <c r="O369" s="303"/>
      <c r="P369" s="34"/>
      <c r="Q369" s="34">
        <v>6264123.8007090408</v>
      </c>
      <c r="R369" s="341">
        <f>+Yhteenveto[[#This Row],[Kunnan  peruspalvelujen valtionosuus ]]+Yhteenveto[[#This Row],[Veroperustemuutoksista johtuvien veromenetysten korvaus]]+Yhteenveto[[#This Row],[Kotikuntakorvaus, netto]]</f>
        <v>6264123.8007090408</v>
      </c>
      <c r="S369" s="11"/>
      <c r="T369"/>
    </row>
    <row r="370" spans="1:20" ht="15">
      <c r="A370" s="444">
        <v>90008367</v>
      </c>
      <c r="B370" s="253" t="s">
        <v>696</v>
      </c>
      <c r="C370" s="37"/>
      <c r="D370" s="37"/>
      <c r="E370" s="37"/>
      <c r="F370" s="15"/>
      <c r="G370" s="16"/>
      <c r="H370" s="17"/>
      <c r="I370" s="17"/>
      <c r="J370" s="15"/>
      <c r="K370" s="15"/>
      <c r="L370" s="18"/>
      <c r="M370" s="15"/>
      <c r="N370" s="303"/>
      <c r="O370" s="303"/>
      <c r="P370" s="34"/>
      <c r="Q370" s="34">
        <v>8739276.7261428814</v>
      </c>
      <c r="R370" s="341">
        <f>+Yhteenveto[[#This Row],[Kunnan  peruspalvelujen valtionosuus ]]+Yhteenveto[[#This Row],[Veroperustemuutoksista johtuvien veromenetysten korvaus]]+Yhteenveto[[#This Row],[Kotikuntakorvaus, netto]]</f>
        <v>8739276.7261428814</v>
      </c>
      <c r="S370" s="11"/>
      <c r="T370"/>
    </row>
    <row r="371" spans="1:20" ht="15">
      <c r="A371" s="444">
        <v>90008987</v>
      </c>
      <c r="B371" s="253" t="s">
        <v>697</v>
      </c>
      <c r="C371" s="37"/>
      <c r="D371" s="37"/>
      <c r="E371" s="37"/>
      <c r="F371" s="15"/>
      <c r="G371" s="16"/>
      <c r="H371" s="17"/>
      <c r="I371" s="17"/>
      <c r="J371" s="15"/>
      <c r="K371" s="15"/>
      <c r="L371" s="18"/>
      <c r="M371" s="15"/>
      <c r="N371" s="303"/>
      <c r="O371" s="303"/>
      <c r="P371" s="34"/>
      <c r="Q371" s="34">
        <v>4911800.0492896801</v>
      </c>
      <c r="R371" s="341">
        <f>+Yhteenveto[[#This Row],[Kunnan  peruspalvelujen valtionosuus ]]+Yhteenveto[[#This Row],[Veroperustemuutoksista johtuvien veromenetysten korvaus]]+Yhteenveto[[#This Row],[Kotikuntakorvaus, netto]]</f>
        <v>4911800.0492896801</v>
      </c>
      <c r="S371" s="11"/>
      <c r="T371"/>
    </row>
    <row r="372" spans="1:20" ht="15">
      <c r="A372" s="444">
        <v>90038737</v>
      </c>
      <c r="B372" s="253" t="s">
        <v>355</v>
      </c>
      <c r="C372" s="37"/>
      <c r="D372" s="37"/>
      <c r="E372" s="37"/>
      <c r="F372" s="15"/>
      <c r="G372" s="16"/>
      <c r="H372" s="17"/>
      <c r="I372" s="17"/>
      <c r="J372" s="15"/>
      <c r="K372" s="15"/>
      <c r="L372" s="18"/>
      <c r="M372" s="15"/>
      <c r="N372" s="303"/>
      <c r="O372" s="303"/>
      <c r="P372" s="34"/>
      <c r="Q372" s="34">
        <v>9113553.1174810398</v>
      </c>
      <c r="R372" s="341">
        <f>+Yhteenveto[[#This Row],[Kunnan  peruspalvelujen valtionosuus ]]+Yhteenveto[[#This Row],[Veroperustemuutoksista johtuvien veromenetysten korvaus]]+Yhteenveto[[#This Row],[Kotikuntakorvaus, netto]]</f>
        <v>9113553.1174810398</v>
      </c>
      <c r="S372" s="11"/>
      <c r="T372"/>
    </row>
    <row r="373" spans="1:20" ht="15">
      <c r="A373" s="444">
        <v>90042287</v>
      </c>
      <c r="B373" s="253" t="s">
        <v>698</v>
      </c>
      <c r="C373" s="37"/>
      <c r="D373" s="37"/>
      <c r="E373" s="37"/>
      <c r="F373" s="15"/>
      <c r="G373" s="16"/>
      <c r="H373" s="17"/>
      <c r="I373" s="17"/>
      <c r="J373" s="15"/>
      <c r="K373" s="15"/>
      <c r="L373" s="18"/>
      <c r="M373" s="15"/>
      <c r="N373" s="303"/>
      <c r="O373" s="303"/>
      <c r="P373" s="34"/>
      <c r="Q373" s="34">
        <v>4887156.3362797583</v>
      </c>
      <c r="R373" s="341">
        <f>+Yhteenveto[[#This Row],[Kunnan  peruspalvelujen valtionosuus ]]+Yhteenveto[[#This Row],[Veroperustemuutoksista johtuvien veromenetysten korvaus]]+Yhteenveto[[#This Row],[Kotikuntakorvaus, netto]]</f>
        <v>4887156.3362797583</v>
      </c>
      <c r="S373" s="11"/>
      <c r="T373"/>
    </row>
    <row r="374" spans="1:20">
      <c r="A374" s="47"/>
      <c r="B374" s="48"/>
      <c r="C374" s="49"/>
      <c r="D374" s="49"/>
      <c r="E374" s="49"/>
      <c r="N374" s="113"/>
      <c r="O374" s="113"/>
      <c r="P374" s="340"/>
      <c r="Q374" s="113"/>
      <c r="R374" s="70"/>
      <c r="S374" s="25"/>
    </row>
    <row r="375" spans="1:20">
      <c r="A375" s="47"/>
      <c r="B375" s="48"/>
      <c r="C375" s="49"/>
      <c r="D375" s="49"/>
      <c r="E375" s="49"/>
      <c r="N375" s="113"/>
      <c r="O375" s="113"/>
      <c r="P375" s="340"/>
      <c r="Q375" s="113"/>
      <c r="R375" s="70"/>
      <c r="S375" s="25"/>
    </row>
    <row r="376" spans="1:20">
      <c r="A376" s="52"/>
      <c r="N376" s="113"/>
      <c r="O376" s="113"/>
      <c r="P376" s="340"/>
      <c r="Q376" s="113"/>
      <c r="R376" s="70"/>
      <c r="S376" s="25"/>
    </row>
    <row r="377" spans="1:20">
      <c r="A377" s="52"/>
      <c r="P377" s="340"/>
      <c r="R377" s="70"/>
    </row>
    <row r="378" spans="1:20">
      <c r="A378" s="52"/>
      <c r="P378" s="340"/>
      <c r="R378" s="70"/>
    </row>
    <row r="379" spans="1:20">
      <c r="A379" s="52"/>
      <c r="P379" s="340"/>
      <c r="R379" s="70"/>
    </row>
    <row r="380" spans="1:20">
      <c r="A380" s="52"/>
      <c r="P380" s="340"/>
      <c r="R380" s="70"/>
    </row>
    <row r="381" spans="1:20">
      <c r="A381" s="52"/>
      <c r="R381" s="70"/>
    </row>
    <row r="382" spans="1:20">
      <c r="A382" s="52"/>
      <c r="R382" s="70"/>
    </row>
    <row r="383" spans="1:20">
      <c r="A383" s="52"/>
      <c r="R383" s="70"/>
    </row>
    <row r="384" spans="1:20">
      <c r="A384" s="52"/>
      <c r="R384" s="70"/>
    </row>
    <row r="385" spans="1:18">
      <c r="A385" s="52"/>
      <c r="R385" s="70"/>
    </row>
    <row r="386" spans="1:18">
      <c r="A386" s="53"/>
      <c r="R386" s="70"/>
    </row>
    <row r="387" spans="1:18">
      <c r="A387" s="53"/>
      <c r="B387" s="54"/>
      <c r="R387" s="70"/>
    </row>
    <row r="388" spans="1:18">
      <c r="A388" s="53"/>
      <c r="B388" s="55"/>
    </row>
    <row r="389" spans="1:18">
      <c r="A389" s="53"/>
    </row>
    <row r="390" spans="1:18">
      <c r="A390" s="53"/>
    </row>
    <row r="391" spans="1:18">
      <c r="A391" s="53"/>
      <c r="C391" s="7"/>
      <c r="D391" s="7"/>
      <c r="E391" s="7"/>
    </row>
    <row r="392" spans="1:18">
      <c r="A392" s="53"/>
      <c r="B392" s="54"/>
      <c r="C392" s="7"/>
      <c r="D392" s="7"/>
      <c r="E392" s="7"/>
    </row>
    <row r="393" spans="1:18">
      <c r="A393" s="53"/>
      <c r="B393" s="56"/>
      <c r="C393" s="7"/>
      <c r="D393" s="7"/>
      <c r="E393" s="7"/>
    </row>
    <row r="394" spans="1:18">
      <c r="A394" s="57"/>
      <c r="B394" s="56"/>
      <c r="C394" s="7"/>
      <c r="D394" s="7"/>
      <c r="E394" s="7"/>
    </row>
    <row r="395" spans="1:18">
      <c r="A395" s="53"/>
      <c r="B395" s="54"/>
      <c r="C395" s="7"/>
      <c r="D395" s="7"/>
      <c r="E395" s="7"/>
    </row>
    <row r="396" spans="1:18">
      <c r="A396" s="53"/>
      <c r="C396" s="7"/>
      <c r="D396" s="7"/>
      <c r="E396" s="7"/>
    </row>
    <row r="397" spans="1:18">
      <c r="A397" s="53"/>
      <c r="C397" s="7"/>
      <c r="D397" s="7"/>
      <c r="E397" s="7"/>
    </row>
    <row r="398" spans="1:18">
      <c r="A398" s="57"/>
    </row>
    <row r="399" spans="1:18">
      <c r="A399" s="53"/>
    </row>
    <row r="400" spans="1:18">
      <c r="A400" s="53"/>
    </row>
    <row r="401" spans="1:2">
      <c r="A401" s="53"/>
    </row>
    <row r="402" spans="1:2">
      <c r="A402" s="53"/>
      <c r="B402" s="55"/>
    </row>
  </sheetData>
  <pageMargins left="0.51181102362204722" right="0.51181102362204722" top="0.55118110236220474" bottom="0.55118110236220474" header="0.31496062992125984" footer="0.31496062992125984"/>
  <pageSetup paperSize="9" scale="65" orientation="landscape" r:id="rId1"/>
  <ignoredErrors>
    <ignoredError sqref="R6:R7 R8:R184 R185:R373" calculatedColumn="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05"/>
  <sheetViews>
    <sheetView zoomScale="90" zoomScaleNormal="90" workbookViewId="0">
      <pane xSplit="2" ySplit="6" topLeftCell="C7" activePane="bottomRight" state="frozen"/>
      <selection activeCell="G29" sqref="G29"/>
      <selection pane="topRight" activeCell="G29" sqref="G29"/>
      <selection pane="bottomLeft" activeCell="G29" sqref="G29"/>
      <selection pane="bottomRight"/>
    </sheetView>
  </sheetViews>
  <sheetFormatPr defaultRowHeight="15"/>
  <cols>
    <col min="1" max="1" width="10.375" style="127" customWidth="1"/>
    <col min="2" max="2" width="17.625" style="124" bestFit="1" customWidth="1"/>
    <col min="3" max="3" width="11.625" style="36" bestFit="1" customWidth="1"/>
    <col min="4" max="8" width="10.625" style="131" customWidth="1"/>
    <col min="9" max="9" width="9.625" bestFit="1" customWidth="1"/>
    <col min="10" max="10" width="22.5" style="137" customWidth="1"/>
    <col min="11" max="11" width="13.5" style="130" bestFit="1" customWidth="1"/>
    <col min="12" max="13" width="15.5" style="130" bestFit="1" customWidth="1"/>
    <col min="14" max="14" width="13.875" style="130" bestFit="1" customWidth="1"/>
    <col min="15" max="15" width="13.875" style="130" customWidth="1"/>
    <col min="16" max="16" width="27.125" style="139" customWidth="1"/>
    <col min="17" max="17" width="4.125" style="62" customWidth="1"/>
    <col min="18" max="18" width="17.5" style="62" customWidth="1"/>
    <col min="19" max="19" width="9" style="62" customWidth="1"/>
    <col min="20" max="20" width="9.125" style="62" customWidth="1"/>
    <col min="21" max="21" width="10" style="62" customWidth="1"/>
    <col min="22" max="22" width="9.5" style="62" customWidth="1"/>
    <col min="23" max="23" width="10" style="62" customWidth="1"/>
    <col min="24" max="24" width="9.625" style="62" customWidth="1"/>
    <col min="25" max="25" width="8.875" style="62" customWidth="1"/>
    <col min="26" max="26" width="8.625" style="62" bestFit="1" customWidth="1"/>
    <col min="27" max="27" width="9.375" style="62" customWidth="1"/>
    <col min="28" max="28" width="11.125" style="62" bestFit="1" customWidth="1"/>
    <col min="29" max="29" width="10.625" style="62" bestFit="1" customWidth="1"/>
    <col min="30" max="30" width="9.625" style="62" bestFit="1" customWidth="1"/>
    <col min="31" max="43" width="8.625" style="62"/>
  </cols>
  <sheetData>
    <row r="1" spans="1:43" ht="23.25">
      <c r="A1" s="312" t="s">
        <v>752</v>
      </c>
      <c r="B1" s="125"/>
      <c r="D1" s="126"/>
      <c r="E1" s="126"/>
      <c r="F1" s="126"/>
      <c r="G1" s="126"/>
      <c r="H1" s="126"/>
      <c r="J1" s="144" t="s">
        <v>357</v>
      </c>
      <c r="K1" s="147"/>
      <c r="L1" s="148"/>
      <c r="M1" s="148"/>
      <c r="N1" s="148"/>
      <c r="O1" s="148"/>
      <c r="P1" s="41"/>
      <c r="Q1" s="43"/>
      <c r="R1" s="366"/>
      <c r="S1" s="64"/>
      <c r="T1" s="64"/>
      <c r="U1" s="64"/>
      <c r="V1" s="64"/>
      <c r="W1" s="64"/>
      <c r="X1" s="64"/>
      <c r="Y1" s="64"/>
      <c r="Z1" s="64"/>
      <c r="AA1" s="64"/>
      <c r="AB1" s="65"/>
    </row>
    <row r="2" spans="1:43">
      <c r="A2" s="124" t="s">
        <v>356</v>
      </c>
      <c r="C2" s="129"/>
      <c r="D2" s="128"/>
      <c r="E2" s="128"/>
      <c r="F2" s="128"/>
      <c r="G2" s="128"/>
      <c r="H2" s="128"/>
      <c r="J2" s="213" t="s">
        <v>660</v>
      </c>
      <c r="K2" s="213" t="s">
        <v>359</v>
      </c>
      <c r="L2" s="213" t="s">
        <v>661</v>
      </c>
      <c r="M2" s="213" t="s">
        <v>662</v>
      </c>
      <c r="N2" s="203" t="s">
        <v>711</v>
      </c>
      <c r="O2" s="203" t="s">
        <v>754</v>
      </c>
      <c r="P2" s="145"/>
    </row>
    <row r="3" spans="1:43">
      <c r="A3" s="127" t="s">
        <v>1</v>
      </c>
      <c r="B3" s="133">
        <v>292</v>
      </c>
      <c r="C3" s="333"/>
      <c r="D3" s="333"/>
      <c r="E3" s="333"/>
      <c r="F3" s="333"/>
      <c r="G3" s="333"/>
      <c r="H3" s="333"/>
      <c r="J3" s="320">
        <v>8159.23</v>
      </c>
      <c r="K3" s="320">
        <v>8657.76</v>
      </c>
      <c r="L3" s="320">
        <v>7231.11</v>
      </c>
      <c r="M3" s="320">
        <v>12423.61</v>
      </c>
      <c r="N3" s="320">
        <v>63.85</v>
      </c>
      <c r="O3" s="320">
        <v>83.48</v>
      </c>
      <c r="P3" s="160"/>
      <c r="R3" s="43"/>
      <c r="S3" s="67"/>
      <c r="T3" s="67"/>
      <c r="U3" s="67"/>
      <c r="V3" s="67"/>
      <c r="W3" s="67"/>
      <c r="X3" s="67"/>
      <c r="Y3" s="61"/>
      <c r="Z3" s="61"/>
      <c r="AA3" s="61"/>
      <c r="AB3" s="68"/>
    </row>
    <row r="4" spans="1:43">
      <c r="A4" s="142"/>
      <c r="B4" s="142"/>
      <c r="C4" s="140" t="s">
        <v>650</v>
      </c>
      <c r="D4" s="336"/>
      <c r="E4" s="336"/>
      <c r="F4" s="141"/>
      <c r="G4" s="141"/>
      <c r="H4" s="141"/>
      <c r="I4" s="141"/>
      <c r="J4" s="319" t="s">
        <v>659</v>
      </c>
      <c r="K4" s="318"/>
      <c r="L4" s="318"/>
      <c r="M4" s="318"/>
      <c r="N4" s="318"/>
      <c r="O4" s="318"/>
      <c r="P4" s="143"/>
      <c r="R4" s="69"/>
      <c r="S4" s="68"/>
      <c r="T4" s="68"/>
      <c r="U4" s="68"/>
      <c r="V4" s="68"/>
      <c r="W4" s="68"/>
      <c r="X4" s="68"/>
      <c r="Y4" s="68"/>
      <c r="Z4" s="68"/>
      <c r="AA4" s="68"/>
      <c r="AB4" s="68"/>
      <c r="AC4" s="68"/>
      <c r="AD4" s="72"/>
      <c r="AE4" s="73"/>
      <c r="AF4" s="74"/>
      <c r="AH4" s="71"/>
      <c r="AI4" s="75"/>
      <c r="AJ4" s="75"/>
    </row>
    <row r="5" spans="1:43" s="212" customFormat="1" ht="30">
      <c r="A5" s="198" t="s">
        <v>658</v>
      </c>
      <c r="B5" s="199" t="s">
        <v>3</v>
      </c>
      <c r="C5" s="201" t="s">
        <v>364</v>
      </c>
      <c r="D5" s="200" t="s">
        <v>707</v>
      </c>
      <c r="E5" s="200" t="s">
        <v>708</v>
      </c>
      <c r="F5" s="200" t="s">
        <v>709</v>
      </c>
      <c r="G5" s="200" t="s">
        <v>710</v>
      </c>
      <c r="H5" s="200" t="s">
        <v>706</v>
      </c>
      <c r="I5" s="200" t="s">
        <v>753</v>
      </c>
      <c r="J5" s="202" t="s">
        <v>660</v>
      </c>
      <c r="K5" s="203" t="s">
        <v>359</v>
      </c>
      <c r="L5" s="203" t="s">
        <v>661</v>
      </c>
      <c r="M5" s="203" t="s">
        <v>662</v>
      </c>
      <c r="N5" s="203" t="s">
        <v>711</v>
      </c>
      <c r="O5" s="203" t="s">
        <v>754</v>
      </c>
      <c r="P5" s="204" t="s">
        <v>657</v>
      </c>
      <c r="Q5" s="205"/>
      <c r="R5" s="206"/>
      <c r="S5" s="207"/>
      <c r="T5" s="207"/>
      <c r="U5" s="207"/>
      <c r="V5" s="207"/>
      <c r="W5" s="207"/>
      <c r="X5" s="207"/>
      <c r="Y5" s="207"/>
      <c r="Z5" s="207"/>
      <c r="AA5" s="207"/>
      <c r="AB5" s="207"/>
      <c r="AC5" s="207"/>
      <c r="AD5" s="208"/>
      <c r="AE5" s="209"/>
      <c r="AF5" s="210"/>
      <c r="AG5" s="205"/>
      <c r="AH5" s="205"/>
      <c r="AI5" s="211"/>
      <c r="AJ5" s="211"/>
      <c r="AK5" s="205"/>
      <c r="AL5" s="205"/>
      <c r="AM5" s="205"/>
      <c r="AN5" s="205"/>
      <c r="AO5" s="205"/>
      <c r="AP5" s="205"/>
      <c r="AQ5" s="205"/>
    </row>
    <row r="6" spans="1:43">
      <c r="B6" s="124" t="s">
        <v>360</v>
      </c>
      <c r="C6" s="38">
        <f t="shared" ref="C6:I6" si="0">SUM(C7:C298)</f>
        <v>5573310</v>
      </c>
      <c r="D6" s="38">
        <f t="shared" si="0"/>
        <v>283842</v>
      </c>
      <c r="E6" s="38">
        <f t="shared" si="0"/>
        <v>52740</v>
      </c>
      <c r="F6" s="38">
        <f t="shared" si="0"/>
        <v>362111</v>
      </c>
      <c r="G6" s="38">
        <f t="shared" si="0"/>
        <v>191944</v>
      </c>
      <c r="H6" s="38">
        <f t="shared" si="0"/>
        <v>4682673</v>
      </c>
      <c r="I6" s="38">
        <f t="shared" si="0"/>
        <v>3255053</v>
      </c>
      <c r="J6" s="135">
        <f t="shared" ref="J6:O6" si="1">SUM(J7:J298)</f>
        <v>2315932161.6600003</v>
      </c>
      <c r="K6" s="135">
        <f t="shared" si="1"/>
        <v>456610262.40000021</v>
      </c>
      <c r="L6" s="135">
        <f t="shared" si="1"/>
        <v>2618464473.21</v>
      </c>
      <c r="M6" s="135">
        <f t="shared" si="1"/>
        <v>2384637397.8400006</v>
      </c>
      <c r="N6" s="135">
        <f t="shared" si="1"/>
        <v>298988671.05000013</v>
      </c>
      <c r="O6" s="135">
        <f t="shared" si="1"/>
        <v>271731824.43999994</v>
      </c>
      <c r="P6" s="177">
        <f>SUM(P7:P298)</f>
        <v>8346364790.5999947</v>
      </c>
      <c r="R6" s="69"/>
      <c r="S6" s="68"/>
      <c r="T6" s="68"/>
      <c r="U6" s="68"/>
      <c r="V6" s="68"/>
      <c r="W6" s="68"/>
      <c r="X6" s="68"/>
      <c r="Y6" s="68"/>
      <c r="Z6" s="68"/>
      <c r="AA6" s="68"/>
      <c r="AB6" s="68"/>
      <c r="AC6" s="68"/>
    </row>
    <row r="7" spans="1:43">
      <c r="A7" s="127">
        <v>5</v>
      </c>
      <c r="B7" s="124" t="s">
        <v>12</v>
      </c>
      <c r="C7" s="38">
        <f>SUM(Ikärakenne[[#This Row],[0–5-vuotiaat]:[16 vuotta täyttäneet]])</f>
        <v>9113</v>
      </c>
      <c r="D7" s="41">
        <v>454</v>
      </c>
      <c r="E7" s="41">
        <v>99</v>
      </c>
      <c r="F7" s="41">
        <v>659</v>
      </c>
      <c r="G7" s="41">
        <v>395</v>
      </c>
      <c r="H7" s="41">
        <v>7506</v>
      </c>
      <c r="I7" s="41">
        <v>4453</v>
      </c>
      <c r="J7" s="136">
        <v>3704290.42</v>
      </c>
      <c r="K7" s="136">
        <v>857118.24</v>
      </c>
      <c r="L7" s="136">
        <v>4765301.49</v>
      </c>
      <c r="M7" s="136">
        <v>4907325.95</v>
      </c>
      <c r="N7" s="136">
        <v>479258.10000000003</v>
      </c>
      <c r="O7" s="136">
        <v>371736.44</v>
      </c>
      <c r="P7" s="178">
        <f>SUM(Ikärakenne[[#This Row],[Ikä 0–5]:[Ikä 18-64]])</f>
        <v>15085030.640000001</v>
      </c>
      <c r="R7" s="43"/>
      <c r="S7" s="76"/>
      <c r="T7" s="76"/>
      <c r="U7" s="76"/>
      <c r="V7" s="76"/>
      <c r="W7" s="76"/>
      <c r="X7" s="76"/>
      <c r="Y7" s="76"/>
      <c r="Z7" s="76"/>
      <c r="AA7" s="76"/>
      <c r="AB7" s="76"/>
    </row>
    <row r="8" spans="1:43">
      <c r="A8" s="127">
        <v>9</v>
      </c>
      <c r="B8" s="124" t="s">
        <v>13</v>
      </c>
      <c r="C8" s="38">
        <f>SUM(Ikärakenne[[#This Row],[0–5-vuotiaat]:[16 vuotta täyttäneet]])</f>
        <v>2437</v>
      </c>
      <c r="D8" s="41">
        <v>140</v>
      </c>
      <c r="E8" s="41">
        <v>29</v>
      </c>
      <c r="F8" s="41">
        <v>206</v>
      </c>
      <c r="G8" s="41">
        <v>115</v>
      </c>
      <c r="H8" s="41">
        <v>1947</v>
      </c>
      <c r="I8" s="41">
        <v>1225</v>
      </c>
      <c r="J8" s="136">
        <v>1142292.2</v>
      </c>
      <c r="K8" s="136">
        <v>251075.04</v>
      </c>
      <c r="L8" s="136">
        <v>1489608.66</v>
      </c>
      <c r="M8" s="136">
        <v>1428715.1500000001</v>
      </c>
      <c r="N8" s="136">
        <v>124315.95</v>
      </c>
      <c r="O8" s="136">
        <v>102263</v>
      </c>
      <c r="P8" s="178">
        <f>SUM(Ikärakenne[[#This Row],[Ikä 0–5]:[Ikä 18-64]])</f>
        <v>4538270</v>
      </c>
      <c r="S8" s="77"/>
      <c r="T8" s="77"/>
      <c r="U8" s="77"/>
      <c r="V8" s="77"/>
      <c r="W8" s="77"/>
      <c r="X8" s="77"/>
      <c r="Y8" s="77"/>
      <c r="Z8" s="77"/>
      <c r="AA8" s="77"/>
      <c r="AB8" s="77"/>
      <c r="AE8" s="78"/>
      <c r="AF8" s="43"/>
      <c r="AG8" s="43"/>
      <c r="AH8" s="43"/>
      <c r="AI8" s="43"/>
    </row>
    <row r="9" spans="1:43">
      <c r="A9" s="127">
        <v>10</v>
      </c>
      <c r="B9" s="124" t="s">
        <v>14</v>
      </c>
      <c r="C9" s="38">
        <f>SUM(Ikärakenne[[#This Row],[0–5-vuotiaat]:[16 vuotta täyttäneet]])</f>
        <v>10933</v>
      </c>
      <c r="D9" s="41">
        <v>564</v>
      </c>
      <c r="E9" s="41">
        <v>129</v>
      </c>
      <c r="F9" s="41">
        <v>764</v>
      </c>
      <c r="G9" s="41">
        <v>421</v>
      </c>
      <c r="H9" s="41">
        <v>9055</v>
      </c>
      <c r="I9" s="41">
        <v>5510</v>
      </c>
      <c r="J9" s="136">
        <v>4601805.72</v>
      </c>
      <c r="K9" s="136">
        <v>1116851.04</v>
      </c>
      <c r="L9" s="136">
        <v>5524568.04</v>
      </c>
      <c r="M9" s="136">
        <v>5230339.8100000005</v>
      </c>
      <c r="N9" s="136">
        <v>578161.75</v>
      </c>
      <c r="O9" s="136">
        <v>459974.80000000005</v>
      </c>
      <c r="P9" s="178">
        <f>SUM(Ikärakenne[[#This Row],[Ikä 0–5]:[Ikä 18-64]])</f>
        <v>17511701.16</v>
      </c>
      <c r="AE9" s="79"/>
      <c r="AF9" s="78"/>
      <c r="AG9" s="43"/>
      <c r="AH9" s="43"/>
      <c r="AI9" s="79"/>
      <c r="AJ9" s="63"/>
    </row>
    <row r="10" spans="1:43">
      <c r="A10" s="127">
        <v>16</v>
      </c>
      <c r="B10" s="124" t="s">
        <v>15</v>
      </c>
      <c r="C10" s="38">
        <f>SUM(Ikärakenne[[#This Row],[0–5-vuotiaat]:[16 vuotta täyttäneet]])</f>
        <v>7968</v>
      </c>
      <c r="D10" s="41">
        <v>330</v>
      </c>
      <c r="E10" s="41">
        <v>63</v>
      </c>
      <c r="F10" s="41">
        <v>456</v>
      </c>
      <c r="G10" s="41">
        <v>271</v>
      </c>
      <c r="H10" s="41">
        <v>6848</v>
      </c>
      <c r="I10" s="41">
        <v>3847</v>
      </c>
      <c r="J10" s="136">
        <v>2692545.9</v>
      </c>
      <c r="K10" s="136">
        <v>545438.88</v>
      </c>
      <c r="L10" s="136">
        <v>3297386.1599999997</v>
      </c>
      <c r="M10" s="136">
        <v>3366798.31</v>
      </c>
      <c r="N10" s="136">
        <v>437244.8</v>
      </c>
      <c r="O10" s="136">
        <v>321147.56</v>
      </c>
      <c r="P10" s="178">
        <f>SUM(Ikärakenne[[#This Row],[Ikä 0–5]:[Ikä 18-64]])</f>
        <v>10660561.610000001</v>
      </c>
      <c r="R10" s="80"/>
      <c r="S10" s="67"/>
      <c r="T10" s="67"/>
      <c r="U10" s="67"/>
      <c r="V10" s="67"/>
      <c r="W10" s="67"/>
      <c r="X10" s="67"/>
      <c r="Y10" s="61"/>
      <c r="Z10" s="61"/>
      <c r="AA10" s="81"/>
      <c r="AB10" s="81"/>
      <c r="AC10" s="77"/>
      <c r="AD10" s="77"/>
      <c r="AE10" s="79"/>
      <c r="AF10" s="82"/>
    </row>
    <row r="11" spans="1:43">
      <c r="A11" s="127">
        <v>18</v>
      </c>
      <c r="B11" s="124" t="s">
        <v>16</v>
      </c>
      <c r="C11" s="38">
        <f>SUM(Ikärakenne[[#This Row],[0–5-vuotiaat]:[16 vuotta täyttäneet]])</f>
        <v>4700</v>
      </c>
      <c r="D11" s="41">
        <v>230</v>
      </c>
      <c r="E11" s="41">
        <v>44</v>
      </c>
      <c r="F11" s="41">
        <v>385</v>
      </c>
      <c r="G11" s="41">
        <v>226</v>
      </c>
      <c r="H11" s="41">
        <v>3815</v>
      </c>
      <c r="I11" s="41">
        <v>2648</v>
      </c>
      <c r="J11" s="136">
        <v>1876622.9</v>
      </c>
      <c r="K11" s="136">
        <v>380941.44</v>
      </c>
      <c r="L11" s="136">
        <v>2783977.35</v>
      </c>
      <c r="M11" s="136">
        <v>2807735.8600000003</v>
      </c>
      <c r="N11" s="136">
        <v>243587.75</v>
      </c>
      <c r="O11" s="136">
        <v>221055.04</v>
      </c>
      <c r="P11" s="178">
        <f>SUM(Ikärakenne[[#This Row],[Ikä 0–5]:[Ikä 18-64]])</f>
        <v>8313920.3399999999</v>
      </c>
      <c r="R11" s="83"/>
      <c r="S11" s="77"/>
      <c r="T11" s="77"/>
      <c r="U11" s="77"/>
      <c r="V11" s="77"/>
      <c r="W11" s="77"/>
      <c r="X11" s="77"/>
      <c r="Y11" s="77"/>
      <c r="Z11" s="77"/>
      <c r="AA11" s="77"/>
      <c r="AB11" s="77"/>
      <c r="AC11" s="77"/>
      <c r="AD11" s="84"/>
      <c r="AE11" s="82"/>
      <c r="AF11" s="82"/>
    </row>
    <row r="12" spans="1:43">
      <c r="A12" s="127">
        <v>19</v>
      </c>
      <c r="B12" s="124" t="s">
        <v>17</v>
      </c>
      <c r="C12" s="38">
        <f>SUM(Ikärakenne[[#This Row],[0–5-vuotiaat]:[16 vuotta täyttäneet]])</f>
        <v>3961</v>
      </c>
      <c r="D12" s="41">
        <v>259</v>
      </c>
      <c r="E12" s="41">
        <v>41</v>
      </c>
      <c r="F12" s="41">
        <v>305</v>
      </c>
      <c r="G12" s="41">
        <v>162</v>
      </c>
      <c r="H12" s="41">
        <v>3194</v>
      </c>
      <c r="I12" s="41">
        <v>2192</v>
      </c>
      <c r="J12" s="136">
        <v>2113240.5699999998</v>
      </c>
      <c r="K12" s="136">
        <v>354968.16000000003</v>
      </c>
      <c r="L12" s="136">
        <v>2205488.5499999998</v>
      </c>
      <c r="M12" s="136">
        <v>2012624.82</v>
      </c>
      <c r="N12" s="136">
        <v>203936.9</v>
      </c>
      <c r="O12" s="136">
        <v>182988.16</v>
      </c>
      <c r="P12" s="178">
        <f>SUM(Ikärakenne[[#This Row],[Ikä 0–5]:[Ikä 18-64]])</f>
        <v>7073247.1600000001</v>
      </c>
      <c r="R12" s="83"/>
      <c r="S12" s="77"/>
      <c r="T12" s="77"/>
      <c r="U12" s="77"/>
      <c r="V12" s="77"/>
      <c r="W12" s="77"/>
      <c r="X12" s="77"/>
      <c r="Y12" s="77"/>
      <c r="Z12" s="77"/>
      <c r="AA12" s="77"/>
      <c r="AB12" s="77"/>
      <c r="AC12" s="77"/>
      <c r="AD12" s="84"/>
      <c r="AE12" s="85"/>
      <c r="AF12" s="82"/>
    </row>
    <row r="13" spans="1:43">
      <c r="A13" s="127">
        <v>20</v>
      </c>
      <c r="B13" s="124" t="s">
        <v>18</v>
      </c>
      <c r="C13" s="38">
        <f>SUM(Ikärakenne[[#This Row],[0–5-vuotiaat]:[16 vuotta täyttäneet]])</f>
        <v>16405</v>
      </c>
      <c r="D13" s="41">
        <v>769</v>
      </c>
      <c r="E13" s="41">
        <v>148</v>
      </c>
      <c r="F13" s="41">
        <v>1155</v>
      </c>
      <c r="G13" s="41">
        <v>650</v>
      </c>
      <c r="H13" s="41">
        <v>13683</v>
      </c>
      <c r="I13" s="41">
        <v>9032</v>
      </c>
      <c r="J13" s="136">
        <v>6274447.8700000001</v>
      </c>
      <c r="K13" s="136">
        <v>1281348.48</v>
      </c>
      <c r="L13" s="136">
        <v>8351932.0499999998</v>
      </c>
      <c r="M13" s="136">
        <v>8075346.5</v>
      </c>
      <c r="N13" s="136">
        <v>873659.55</v>
      </c>
      <c r="O13" s="136">
        <v>753991.36</v>
      </c>
      <c r="P13" s="178">
        <f>SUM(Ikärakenne[[#This Row],[Ikä 0–5]:[Ikä 18-64]])</f>
        <v>25610725.809999999</v>
      </c>
      <c r="R13" s="86"/>
      <c r="S13" s="77"/>
      <c r="T13" s="77"/>
      <c r="U13" s="77"/>
      <c r="V13" s="77"/>
      <c r="W13" s="77"/>
      <c r="X13" s="77"/>
      <c r="Y13" s="77"/>
      <c r="Z13" s="77"/>
      <c r="AA13" s="77"/>
      <c r="AB13" s="77"/>
      <c r="AC13" s="77"/>
      <c r="AD13" s="84"/>
      <c r="AE13" s="85"/>
      <c r="AF13" s="82"/>
    </row>
    <row r="14" spans="1:43">
      <c r="A14" s="127">
        <v>46</v>
      </c>
      <c r="B14" s="124" t="s">
        <v>19</v>
      </c>
      <c r="C14" s="38">
        <f>SUM(Ikärakenne[[#This Row],[0–5-vuotiaat]:[16 vuotta täyttäneet]])</f>
        <v>1320</v>
      </c>
      <c r="D14" s="41">
        <v>50</v>
      </c>
      <c r="E14" s="41">
        <v>8</v>
      </c>
      <c r="F14" s="41">
        <v>78</v>
      </c>
      <c r="G14" s="41">
        <v>38</v>
      </c>
      <c r="H14" s="41">
        <v>1146</v>
      </c>
      <c r="I14" s="41">
        <v>611</v>
      </c>
      <c r="J14" s="136">
        <v>407961.5</v>
      </c>
      <c r="K14" s="136">
        <v>69262.080000000002</v>
      </c>
      <c r="L14" s="136">
        <v>564026.57999999996</v>
      </c>
      <c r="M14" s="136">
        <v>472097.18000000005</v>
      </c>
      <c r="N14" s="136">
        <v>73172.100000000006</v>
      </c>
      <c r="O14" s="136">
        <v>51006.28</v>
      </c>
      <c r="P14" s="178">
        <f>SUM(Ikärakenne[[#This Row],[Ikä 0–5]:[Ikä 18-64]])</f>
        <v>1637525.72</v>
      </c>
      <c r="R14" s="83"/>
      <c r="S14" s="77"/>
      <c r="T14" s="77"/>
      <c r="U14" s="77"/>
      <c r="V14" s="77"/>
      <c r="W14" s="77"/>
      <c r="X14" s="77"/>
      <c r="Y14" s="77"/>
      <c r="Z14" s="77"/>
      <c r="AA14" s="77"/>
      <c r="AB14" s="87"/>
      <c r="AC14" s="77"/>
      <c r="AD14" s="84"/>
      <c r="AE14" s="85"/>
      <c r="AF14" s="82"/>
    </row>
    <row r="15" spans="1:43">
      <c r="A15" s="127">
        <v>47</v>
      </c>
      <c r="B15" s="124" t="s">
        <v>20</v>
      </c>
      <c r="C15" s="38">
        <f>SUM(Ikärakenne[[#This Row],[0–5-vuotiaat]:[16 vuotta täyttäneet]])</f>
        <v>1771</v>
      </c>
      <c r="D15" s="41">
        <v>61</v>
      </c>
      <c r="E15" s="41">
        <v>10</v>
      </c>
      <c r="F15" s="41">
        <v>95</v>
      </c>
      <c r="G15" s="41">
        <v>57</v>
      </c>
      <c r="H15" s="41">
        <v>1548</v>
      </c>
      <c r="I15" s="41">
        <v>957</v>
      </c>
      <c r="J15" s="136">
        <v>497713.02999999997</v>
      </c>
      <c r="K15" s="136">
        <v>86577.600000000006</v>
      </c>
      <c r="L15" s="136">
        <v>686955.45</v>
      </c>
      <c r="M15" s="136">
        <v>708145.77</v>
      </c>
      <c r="N15" s="136">
        <v>98839.8</v>
      </c>
      <c r="O15" s="136">
        <v>79890.36</v>
      </c>
      <c r="P15" s="178">
        <f>SUM(Ikärakenne[[#This Row],[Ikä 0–5]:[Ikä 18-64]])</f>
        <v>2158122.0100000002</v>
      </c>
      <c r="R15" s="83"/>
      <c r="S15" s="77"/>
      <c r="T15" s="77"/>
      <c r="U15" s="77"/>
      <c r="V15" s="77"/>
      <c r="W15" s="77"/>
      <c r="X15" s="77"/>
      <c r="Y15" s="77"/>
      <c r="Z15" s="77"/>
      <c r="AA15" s="77"/>
      <c r="AB15" s="77"/>
      <c r="AC15" s="77"/>
      <c r="AD15" s="84"/>
      <c r="AE15" s="88"/>
      <c r="AH15" s="78"/>
    </row>
    <row r="16" spans="1:43">
      <c r="A16" s="127">
        <v>49</v>
      </c>
      <c r="B16" s="124" t="s">
        <v>21</v>
      </c>
      <c r="C16" s="38">
        <f>SUM(Ikärakenne[[#This Row],[0–5-vuotiaat]:[16 vuotta täyttäneet]])</f>
        <v>314024</v>
      </c>
      <c r="D16" s="41">
        <v>20404</v>
      </c>
      <c r="E16" s="41">
        <v>3591</v>
      </c>
      <c r="F16" s="41">
        <v>23660</v>
      </c>
      <c r="G16" s="41">
        <v>11989</v>
      </c>
      <c r="H16" s="41">
        <v>254380</v>
      </c>
      <c r="I16" s="41">
        <v>199024</v>
      </c>
      <c r="J16" s="136">
        <v>166480928.91999999</v>
      </c>
      <c r="K16" s="136">
        <v>31090016.16</v>
      </c>
      <c r="L16" s="136">
        <v>171088062.59999999</v>
      </c>
      <c r="M16" s="136">
        <v>148946660.29000002</v>
      </c>
      <c r="N16" s="136">
        <v>16242163</v>
      </c>
      <c r="O16" s="136">
        <v>16614523.520000001</v>
      </c>
      <c r="P16" s="178">
        <f>SUM(Ikärakenne[[#This Row],[Ikä 0–5]:[Ikä 18-64]])</f>
        <v>550462354.49000001</v>
      </c>
      <c r="R16" s="83"/>
      <c r="S16" s="77"/>
      <c r="T16" s="77"/>
      <c r="U16" s="77"/>
      <c r="V16" s="77"/>
      <c r="W16" s="77"/>
      <c r="X16" s="77"/>
      <c r="Y16" s="77"/>
      <c r="Z16" s="77"/>
      <c r="AA16" s="77"/>
      <c r="AB16" s="77"/>
      <c r="AC16" s="77"/>
      <c r="AD16" s="84"/>
    </row>
    <row r="17" spans="1:31">
      <c r="A17" s="127">
        <v>50</v>
      </c>
      <c r="B17" s="124" t="s">
        <v>22</v>
      </c>
      <c r="C17" s="38">
        <f>SUM(Ikärakenne[[#This Row],[0–5-vuotiaat]:[16 vuotta täyttäneet]])</f>
        <v>11184</v>
      </c>
      <c r="D17" s="41">
        <v>484</v>
      </c>
      <c r="E17" s="41">
        <v>93</v>
      </c>
      <c r="F17" s="41">
        <v>750</v>
      </c>
      <c r="G17" s="41">
        <v>409</v>
      </c>
      <c r="H17" s="41">
        <v>9448</v>
      </c>
      <c r="I17" s="41">
        <v>5891</v>
      </c>
      <c r="J17" s="136">
        <v>3949067.32</v>
      </c>
      <c r="K17" s="136">
        <v>805171.68</v>
      </c>
      <c r="L17" s="136">
        <v>5423332.5</v>
      </c>
      <c r="M17" s="136">
        <v>5081256.49</v>
      </c>
      <c r="N17" s="136">
        <v>603254.80000000005</v>
      </c>
      <c r="O17" s="136">
        <v>491780.68000000005</v>
      </c>
      <c r="P17" s="178">
        <f>SUM(Ikärakenne[[#This Row],[Ikä 0–5]:[Ikä 18-64]])</f>
        <v>16353863.470000001</v>
      </c>
      <c r="R17" s="83"/>
      <c r="S17" s="77"/>
      <c r="T17" s="77"/>
      <c r="U17" s="77"/>
      <c r="V17" s="77"/>
      <c r="W17" s="77"/>
      <c r="X17" s="77"/>
      <c r="Y17" s="77"/>
      <c r="Z17" s="77"/>
      <c r="AA17" s="77"/>
      <c r="AB17" s="77"/>
      <c r="AC17" s="77"/>
      <c r="AD17" s="84"/>
      <c r="AE17" s="56"/>
    </row>
    <row r="18" spans="1:31">
      <c r="A18" s="127">
        <v>51</v>
      </c>
      <c r="B18" s="124" t="s">
        <v>23</v>
      </c>
      <c r="C18" s="38">
        <f>SUM(Ikärakenne[[#This Row],[0–5-vuotiaat]:[16 vuotta täyttäneet]])</f>
        <v>9143</v>
      </c>
      <c r="D18" s="41">
        <v>429</v>
      </c>
      <c r="E18" s="41">
        <v>85</v>
      </c>
      <c r="F18" s="41">
        <v>670</v>
      </c>
      <c r="G18" s="41">
        <v>388</v>
      </c>
      <c r="H18" s="41">
        <v>7571</v>
      </c>
      <c r="I18" s="41">
        <v>4852</v>
      </c>
      <c r="J18" s="136">
        <v>3500309.67</v>
      </c>
      <c r="K18" s="136">
        <v>735909.6</v>
      </c>
      <c r="L18" s="136">
        <v>4844843.7</v>
      </c>
      <c r="M18" s="136">
        <v>4820360.6800000006</v>
      </c>
      <c r="N18" s="136">
        <v>483408.35000000003</v>
      </c>
      <c r="O18" s="136">
        <v>405044.96</v>
      </c>
      <c r="P18" s="178">
        <f>SUM(Ikärakenne[[#This Row],[Ikä 0–5]:[Ikä 18-64]])</f>
        <v>14789876.959999999</v>
      </c>
      <c r="R18" s="83"/>
      <c r="S18" s="77"/>
      <c r="T18" s="77"/>
      <c r="U18" s="77"/>
      <c r="V18" s="77"/>
      <c r="W18" s="77"/>
      <c r="X18" s="77"/>
      <c r="Y18" s="77"/>
      <c r="Z18" s="77"/>
      <c r="AA18" s="77"/>
      <c r="AB18" s="77"/>
      <c r="AC18" s="77"/>
      <c r="AD18" s="84"/>
      <c r="AE18" s="78"/>
    </row>
    <row r="19" spans="1:31">
      <c r="A19" s="127">
        <v>52</v>
      </c>
      <c r="B19" s="124" t="s">
        <v>24</v>
      </c>
      <c r="C19" s="38">
        <f>SUM(Ikärakenne[[#This Row],[0–5-vuotiaat]:[16 vuotta täyttäneet]])</f>
        <v>2292</v>
      </c>
      <c r="D19" s="41">
        <v>107</v>
      </c>
      <c r="E19" s="41">
        <v>23</v>
      </c>
      <c r="F19" s="41">
        <v>161</v>
      </c>
      <c r="G19" s="41">
        <v>97</v>
      </c>
      <c r="H19" s="41">
        <v>1904</v>
      </c>
      <c r="I19" s="41">
        <v>1135</v>
      </c>
      <c r="J19" s="136">
        <v>873037.61</v>
      </c>
      <c r="K19" s="136">
        <v>199128.48</v>
      </c>
      <c r="L19" s="136">
        <v>1164208.71</v>
      </c>
      <c r="M19" s="136">
        <v>1205090.1700000002</v>
      </c>
      <c r="N19" s="136">
        <v>121570.40000000001</v>
      </c>
      <c r="O19" s="136">
        <v>94749.8</v>
      </c>
      <c r="P19" s="178">
        <f>SUM(Ikärakenne[[#This Row],[Ikä 0–5]:[Ikä 18-64]])</f>
        <v>3657785.1699999995</v>
      </c>
      <c r="R19" s="43"/>
      <c r="S19" s="77"/>
      <c r="T19" s="77"/>
      <c r="U19" s="77"/>
      <c r="V19" s="77"/>
      <c r="W19" s="77"/>
      <c r="X19" s="77"/>
      <c r="Y19" s="77"/>
      <c r="Z19" s="77"/>
      <c r="AA19" s="77"/>
      <c r="AB19" s="77"/>
      <c r="AC19" s="77"/>
      <c r="AD19" s="84"/>
      <c r="AE19" s="78"/>
    </row>
    <row r="20" spans="1:31">
      <c r="A20" s="127">
        <v>61</v>
      </c>
      <c r="B20" s="124" t="s">
        <v>25</v>
      </c>
      <c r="C20" s="38">
        <f>SUM(Ikärakenne[[#This Row],[0–5-vuotiaat]:[16 vuotta täyttäneet]])</f>
        <v>16469</v>
      </c>
      <c r="D20" s="41">
        <v>620</v>
      </c>
      <c r="E20" s="41">
        <v>118</v>
      </c>
      <c r="F20" s="41">
        <v>806</v>
      </c>
      <c r="G20" s="41">
        <v>476</v>
      </c>
      <c r="H20" s="41">
        <v>14449</v>
      </c>
      <c r="I20" s="41">
        <v>8649</v>
      </c>
      <c r="J20" s="136">
        <v>5058722.5999999996</v>
      </c>
      <c r="K20" s="136">
        <v>1021615.68</v>
      </c>
      <c r="L20" s="136">
        <v>5828274.6600000001</v>
      </c>
      <c r="M20" s="136">
        <v>5913638.3600000003</v>
      </c>
      <c r="N20" s="136">
        <v>922568.65</v>
      </c>
      <c r="O20" s="136">
        <v>722018.52</v>
      </c>
      <c r="P20" s="178">
        <f>SUM(Ikärakenne[[#This Row],[Ikä 0–5]:[Ikä 18-64]])</f>
        <v>19466838.469999999</v>
      </c>
      <c r="R20" s="78"/>
      <c r="S20" s="77"/>
      <c r="T20" s="77"/>
      <c r="U20" s="77"/>
      <c r="V20" s="77"/>
      <c r="W20" s="77"/>
      <c r="X20" s="77"/>
      <c r="Y20" s="77"/>
      <c r="Z20" s="77"/>
      <c r="AA20" s="77"/>
      <c r="AB20" s="89"/>
      <c r="AC20" s="77"/>
      <c r="AD20" s="84"/>
    </row>
    <row r="21" spans="1:31">
      <c r="A21" s="127">
        <v>69</v>
      </c>
      <c r="B21" s="124" t="s">
        <v>26</v>
      </c>
      <c r="C21" s="38">
        <f>SUM(Ikärakenne[[#This Row],[0–5-vuotiaat]:[16 vuotta täyttäneet]])</f>
        <v>6558</v>
      </c>
      <c r="D21" s="41">
        <v>364</v>
      </c>
      <c r="E21" s="41">
        <v>76</v>
      </c>
      <c r="F21" s="41">
        <v>483</v>
      </c>
      <c r="G21" s="41">
        <v>278</v>
      </c>
      <c r="H21" s="41">
        <v>5357</v>
      </c>
      <c r="I21" s="41">
        <v>3355</v>
      </c>
      <c r="J21" s="136">
        <v>2969959.7199999997</v>
      </c>
      <c r="K21" s="136">
        <v>657989.76</v>
      </c>
      <c r="L21" s="136">
        <v>3492626.13</v>
      </c>
      <c r="M21" s="136">
        <v>3453763.58</v>
      </c>
      <c r="N21" s="136">
        <v>342044.45</v>
      </c>
      <c r="O21" s="136">
        <v>280075.40000000002</v>
      </c>
      <c r="P21" s="178">
        <f>SUM(Ikärakenne[[#This Row],[Ikä 0–5]:[Ikä 18-64]])</f>
        <v>11196459.039999999</v>
      </c>
      <c r="R21" s="78"/>
      <c r="S21" s="77"/>
      <c r="T21" s="77"/>
      <c r="U21" s="77"/>
      <c r="V21" s="77"/>
      <c r="W21" s="77"/>
      <c r="X21" s="77"/>
      <c r="Y21" s="77"/>
      <c r="Z21" s="77"/>
      <c r="AA21" s="77"/>
      <c r="AB21" s="77"/>
      <c r="AC21" s="77"/>
      <c r="AD21" s="84"/>
    </row>
    <row r="22" spans="1:31">
      <c r="A22" s="127">
        <v>71</v>
      </c>
      <c r="B22" s="124" t="s">
        <v>27</v>
      </c>
      <c r="C22" s="38">
        <f>SUM(Ikärakenne[[#This Row],[0–5-vuotiaat]:[16 vuotta täyttäneet]])</f>
        <v>6473</v>
      </c>
      <c r="D22" s="41">
        <v>363</v>
      </c>
      <c r="E22" s="41">
        <v>77</v>
      </c>
      <c r="F22" s="41">
        <v>577</v>
      </c>
      <c r="G22" s="41">
        <v>286</v>
      </c>
      <c r="H22" s="41">
        <v>5170</v>
      </c>
      <c r="I22" s="41">
        <v>3303</v>
      </c>
      <c r="J22" s="136">
        <v>2961800.4899999998</v>
      </c>
      <c r="K22" s="136">
        <v>666647.52</v>
      </c>
      <c r="L22" s="136">
        <v>4172350.4699999997</v>
      </c>
      <c r="M22" s="136">
        <v>3553152.46</v>
      </c>
      <c r="N22" s="136">
        <v>330104.5</v>
      </c>
      <c r="O22" s="136">
        <v>275734.44</v>
      </c>
      <c r="P22" s="178">
        <f>SUM(Ikärakenne[[#This Row],[Ikä 0–5]:[Ikä 18-64]])</f>
        <v>11959789.879999999</v>
      </c>
      <c r="R22" s="78"/>
      <c r="S22" s="77"/>
      <c r="T22" s="77"/>
      <c r="U22" s="77"/>
      <c r="V22" s="77"/>
      <c r="W22" s="77"/>
      <c r="X22" s="77"/>
      <c r="Y22" s="77"/>
      <c r="Z22" s="77"/>
      <c r="AA22" s="77"/>
      <c r="AB22" s="77"/>
      <c r="AC22" s="77"/>
      <c r="AD22" s="84"/>
    </row>
    <row r="23" spans="1:31">
      <c r="A23" s="127">
        <v>72</v>
      </c>
      <c r="B23" s="124" t="s">
        <v>28</v>
      </c>
      <c r="C23" s="38">
        <f>SUM(Ikärakenne[[#This Row],[0–5-vuotiaat]:[16 vuotta täyttäneet]])</f>
        <v>948</v>
      </c>
      <c r="D23" s="41">
        <v>31</v>
      </c>
      <c r="E23" s="41">
        <v>8</v>
      </c>
      <c r="F23" s="41">
        <v>54</v>
      </c>
      <c r="G23" s="41">
        <v>30</v>
      </c>
      <c r="H23" s="41">
        <v>825</v>
      </c>
      <c r="I23" s="41">
        <v>425</v>
      </c>
      <c r="J23" s="136">
        <v>252936.12999999998</v>
      </c>
      <c r="K23" s="136">
        <v>69262.080000000002</v>
      </c>
      <c r="L23" s="136">
        <v>390479.94</v>
      </c>
      <c r="M23" s="136">
        <v>372708.30000000005</v>
      </c>
      <c r="N23" s="136">
        <v>52676.25</v>
      </c>
      <c r="O23" s="136">
        <v>35479</v>
      </c>
      <c r="P23" s="178">
        <f>SUM(Ikärakenne[[#This Row],[Ikä 0–5]:[Ikä 18-64]])</f>
        <v>1173541.7</v>
      </c>
      <c r="R23" s="90"/>
      <c r="S23" s="77"/>
      <c r="T23" s="77"/>
      <c r="U23" s="77"/>
      <c r="V23" s="77"/>
      <c r="W23" s="77"/>
      <c r="X23" s="77"/>
      <c r="Y23" s="77"/>
      <c r="Z23" s="77"/>
      <c r="AA23" s="77"/>
      <c r="AB23" s="77"/>
      <c r="AC23" s="77"/>
      <c r="AD23" s="84"/>
    </row>
    <row r="24" spans="1:31">
      <c r="A24" s="127">
        <v>74</v>
      </c>
      <c r="B24" s="124" t="s">
        <v>29</v>
      </c>
      <c r="C24" s="38">
        <f>SUM(Ikärakenne[[#This Row],[0–5-vuotiaat]:[16 vuotta täyttäneet]])</f>
        <v>1013</v>
      </c>
      <c r="D24" s="41">
        <v>39</v>
      </c>
      <c r="E24" s="41">
        <v>13</v>
      </c>
      <c r="F24" s="41">
        <v>63</v>
      </c>
      <c r="G24" s="41">
        <v>31</v>
      </c>
      <c r="H24" s="41">
        <v>867</v>
      </c>
      <c r="I24" s="41">
        <v>475</v>
      </c>
      <c r="J24" s="136">
        <v>318209.96999999997</v>
      </c>
      <c r="K24" s="136">
        <v>112550.88</v>
      </c>
      <c r="L24" s="136">
        <v>455559.93</v>
      </c>
      <c r="M24" s="136">
        <v>385131.91000000003</v>
      </c>
      <c r="N24" s="136">
        <v>55357.950000000004</v>
      </c>
      <c r="O24" s="136">
        <v>39653</v>
      </c>
      <c r="P24" s="178">
        <f>SUM(Ikärakenne[[#This Row],[Ikä 0–5]:[Ikä 18-64]])</f>
        <v>1366463.64</v>
      </c>
      <c r="S24" s="87"/>
      <c r="T24" s="87"/>
      <c r="U24" s="87"/>
      <c r="V24" s="87"/>
      <c r="W24" s="87"/>
      <c r="X24" s="87"/>
      <c r="Y24" s="87"/>
      <c r="Z24" s="87"/>
      <c r="AA24" s="87"/>
      <c r="AB24" s="87"/>
      <c r="AC24" s="87"/>
      <c r="AD24" s="87"/>
    </row>
    <row r="25" spans="1:31">
      <c r="A25" s="127">
        <v>75</v>
      </c>
      <c r="B25" s="124" t="s">
        <v>30</v>
      </c>
      <c r="C25" s="38">
        <f>SUM(Ikärakenne[[#This Row],[0–5-vuotiaat]:[16 vuotta täyttäneet]])</f>
        <v>19534</v>
      </c>
      <c r="D25" s="41">
        <v>710</v>
      </c>
      <c r="E25" s="41">
        <v>126</v>
      </c>
      <c r="F25" s="41">
        <v>1114</v>
      </c>
      <c r="G25" s="41">
        <v>624</v>
      </c>
      <c r="H25" s="41">
        <v>16960</v>
      </c>
      <c r="I25" s="41">
        <v>10434</v>
      </c>
      <c r="J25" s="136">
        <v>5793053.2999999998</v>
      </c>
      <c r="K25" s="136">
        <v>1090877.76</v>
      </c>
      <c r="L25" s="136">
        <v>8055456.54</v>
      </c>
      <c r="M25" s="136">
        <v>7752332.6400000006</v>
      </c>
      <c r="N25" s="136">
        <v>1082896</v>
      </c>
      <c r="O25" s="136">
        <v>871030.32000000007</v>
      </c>
      <c r="P25" s="178">
        <f>SUM(Ikärakenne[[#This Row],[Ikä 0–5]:[Ikä 18-64]])</f>
        <v>24645646.560000002</v>
      </c>
      <c r="S25" s="91"/>
      <c r="T25" s="91"/>
      <c r="U25" s="91"/>
      <c r="V25" s="91"/>
      <c r="W25" s="91"/>
      <c r="X25" s="91"/>
      <c r="Y25" s="91"/>
      <c r="Z25" s="91"/>
      <c r="AA25" s="91"/>
      <c r="AB25" s="91"/>
      <c r="AC25" s="77"/>
      <c r="AD25" s="77"/>
    </row>
    <row r="26" spans="1:31">
      <c r="A26" s="127">
        <v>77</v>
      </c>
      <c r="B26" s="124" t="s">
        <v>31</v>
      </c>
      <c r="C26" s="38">
        <f>SUM(Ikärakenne[[#This Row],[0–5-vuotiaat]:[16 vuotta täyttäneet]])</f>
        <v>4549</v>
      </c>
      <c r="D26" s="41">
        <v>149</v>
      </c>
      <c r="E26" s="41">
        <v>34</v>
      </c>
      <c r="F26" s="41">
        <v>286</v>
      </c>
      <c r="G26" s="41">
        <v>177</v>
      </c>
      <c r="H26" s="41">
        <v>3903</v>
      </c>
      <c r="I26" s="41">
        <v>2215</v>
      </c>
      <c r="J26" s="136">
        <v>1215725.27</v>
      </c>
      <c r="K26" s="136">
        <v>294363.84000000003</v>
      </c>
      <c r="L26" s="136">
        <v>2068097.46</v>
      </c>
      <c r="M26" s="136">
        <v>2198978.9700000002</v>
      </c>
      <c r="N26" s="136">
        <v>249206.55000000002</v>
      </c>
      <c r="O26" s="136">
        <v>184908.2</v>
      </c>
      <c r="P26" s="178">
        <f>SUM(Ikärakenne[[#This Row],[Ikä 0–5]:[Ikä 18-64]])</f>
        <v>6211280.290000001</v>
      </c>
      <c r="R26" s="92"/>
      <c r="S26" s="93"/>
      <c r="T26" s="93"/>
      <c r="U26" s="93"/>
      <c r="V26" s="93"/>
      <c r="W26" s="93"/>
      <c r="X26" s="93"/>
      <c r="Y26" s="93"/>
      <c r="Z26" s="93"/>
      <c r="AA26" s="93"/>
      <c r="AB26" s="94"/>
      <c r="AC26" s="77"/>
      <c r="AD26" s="77"/>
    </row>
    <row r="27" spans="1:31">
      <c r="A27" s="127">
        <v>78</v>
      </c>
      <c r="B27" s="124" t="s">
        <v>32</v>
      </c>
      <c r="C27" s="38">
        <f>SUM(Ikärakenne[[#This Row],[0–5-vuotiaat]:[16 vuotta täyttäneet]])</f>
        <v>7721</v>
      </c>
      <c r="D27" s="41">
        <v>238</v>
      </c>
      <c r="E27" s="41">
        <v>50</v>
      </c>
      <c r="F27" s="41">
        <v>372</v>
      </c>
      <c r="G27" s="41">
        <v>253</v>
      </c>
      <c r="H27" s="41">
        <v>6808</v>
      </c>
      <c r="I27" s="41">
        <v>3956</v>
      </c>
      <c r="J27" s="136">
        <v>1941896.74</v>
      </c>
      <c r="K27" s="136">
        <v>432888</v>
      </c>
      <c r="L27" s="136">
        <v>2689972.92</v>
      </c>
      <c r="M27" s="136">
        <v>3143173.33</v>
      </c>
      <c r="N27" s="136">
        <v>434690.8</v>
      </c>
      <c r="O27" s="136">
        <v>330246.88</v>
      </c>
      <c r="P27" s="178">
        <f>SUM(Ikärakenne[[#This Row],[Ikä 0–5]:[Ikä 18-64]])</f>
        <v>8972868.6700000018</v>
      </c>
      <c r="S27" s="95"/>
      <c r="T27" s="95"/>
      <c r="U27" s="95"/>
      <c r="V27" s="95"/>
      <c r="W27" s="95"/>
      <c r="X27" s="95"/>
      <c r="Y27" s="95"/>
      <c r="Z27" s="95"/>
      <c r="AA27" s="95"/>
    </row>
    <row r="28" spans="1:31">
      <c r="A28" s="127">
        <v>79</v>
      </c>
      <c r="B28" s="124" t="s">
        <v>33</v>
      </c>
      <c r="C28" s="38">
        <f>SUM(Ikärakenne[[#This Row],[0–5-vuotiaat]:[16 vuotta täyttäneet]])</f>
        <v>6703</v>
      </c>
      <c r="D28" s="41">
        <v>288</v>
      </c>
      <c r="E28" s="41">
        <v>58</v>
      </c>
      <c r="F28" s="41">
        <v>418</v>
      </c>
      <c r="G28" s="41">
        <v>190</v>
      </c>
      <c r="H28" s="41">
        <v>5749</v>
      </c>
      <c r="I28" s="41">
        <v>3406</v>
      </c>
      <c r="J28" s="136">
        <v>2349858.2399999998</v>
      </c>
      <c r="K28" s="136">
        <v>502150.08</v>
      </c>
      <c r="L28" s="136">
        <v>3022603.98</v>
      </c>
      <c r="M28" s="136">
        <v>2360485.9</v>
      </c>
      <c r="N28" s="136">
        <v>367073.65</v>
      </c>
      <c r="O28" s="136">
        <v>284332.88</v>
      </c>
      <c r="P28" s="178">
        <f>SUM(Ikärakenne[[#This Row],[Ikä 0–5]:[Ikä 18-64]])</f>
        <v>8886504.7300000004</v>
      </c>
      <c r="S28" s="96"/>
      <c r="T28" s="96"/>
      <c r="U28" s="43"/>
      <c r="V28" s="43"/>
      <c r="W28" s="43"/>
      <c r="X28" s="43"/>
      <c r="Y28" s="43"/>
      <c r="Z28" s="43"/>
      <c r="AA28" s="43"/>
      <c r="AB28" s="43"/>
    </row>
    <row r="29" spans="1:31">
      <c r="A29" s="127">
        <v>81</v>
      </c>
      <c r="B29" s="124" t="s">
        <v>34</v>
      </c>
      <c r="C29" s="38">
        <f>SUM(Ikärakenne[[#This Row],[0–5-vuotiaat]:[16 vuotta täyttäneet]])</f>
        <v>2531</v>
      </c>
      <c r="D29" s="41">
        <v>84</v>
      </c>
      <c r="E29" s="41">
        <v>15</v>
      </c>
      <c r="F29" s="41">
        <v>104</v>
      </c>
      <c r="G29" s="41">
        <v>40</v>
      </c>
      <c r="H29" s="41">
        <v>2288</v>
      </c>
      <c r="I29" s="41">
        <v>1151</v>
      </c>
      <c r="J29" s="136">
        <v>685375.32</v>
      </c>
      <c r="K29" s="136">
        <v>129866.40000000001</v>
      </c>
      <c r="L29" s="136">
        <v>752035.44</v>
      </c>
      <c r="M29" s="136">
        <v>496944.4</v>
      </c>
      <c r="N29" s="136">
        <v>146088.80000000002</v>
      </c>
      <c r="O29" s="136">
        <v>96085.48000000001</v>
      </c>
      <c r="P29" s="178">
        <f>SUM(Ikärakenne[[#This Row],[Ikä 0–5]:[Ikä 18-64]])</f>
        <v>2306395.84</v>
      </c>
      <c r="S29" s="64"/>
      <c r="T29" s="64"/>
      <c r="U29" s="64"/>
      <c r="V29" s="64"/>
      <c r="W29" s="64"/>
      <c r="X29" s="64"/>
      <c r="Y29" s="64"/>
      <c r="Z29" s="64"/>
      <c r="AA29" s="64"/>
      <c r="AB29" s="64"/>
      <c r="AC29" s="97"/>
    </row>
    <row r="30" spans="1:31">
      <c r="A30" s="127">
        <v>82</v>
      </c>
      <c r="B30" s="124" t="s">
        <v>35</v>
      </c>
      <c r="C30" s="38">
        <f>SUM(Ikärakenne[[#This Row],[0–5-vuotiaat]:[16 vuotta täyttäneet]])</f>
        <v>9371</v>
      </c>
      <c r="D30" s="41">
        <v>454</v>
      </c>
      <c r="E30" s="41">
        <v>116</v>
      </c>
      <c r="F30" s="41">
        <v>692</v>
      </c>
      <c r="G30" s="41">
        <v>363</v>
      </c>
      <c r="H30" s="41">
        <v>7746</v>
      </c>
      <c r="I30" s="41">
        <v>5143</v>
      </c>
      <c r="J30" s="136">
        <v>3704290.42</v>
      </c>
      <c r="K30" s="136">
        <v>1004300.16</v>
      </c>
      <c r="L30" s="136">
        <v>5003928.12</v>
      </c>
      <c r="M30" s="136">
        <v>4509770.4300000006</v>
      </c>
      <c r="N30" s="136">
        <v>494582.10000000003</v>
      </c>
      <c r="O30" s="136">
        <v>429337.64</v>
      </c>
      <c r="P30" s="178">
        <f>SUM(Ikärakenne[[#This Row],[Ikä 0–5]:[Ikä 18-64]])</f>
        <v>15146208.869999999</v>
      </c>
      <c r="S30" s="98"/>
      <c r="T30" s="98"/>
      <c r="U30" s="98"/>
      <c r="V30" s="98"/>
      <c r="W30" s="98"/>
      <c r="X30" s="98"/>
      <c r="Y30" s="98"/>
      <c r="Z30" s="98"/>
      <c r="AA30" s="98"/>
      <c r="AB30" s="43"/>
    </row>
    <row r="31" spans="1:31">
      <c r="A31" s="127">
        <v>86</v>
      </c>
      <c r="B31" s="124" t="s">
        <v>36</v>
      </c>
      <c r="C31" s="38">
        <f>SUM(Ikärakenne[[#This Row],[0–5-vuotiaat]:[16 vuotta täyttäneet]])</f>
        <v>7998</v>
      </c>
      <c r="D31" s="41">
        <v>379</v>
      </c>
      <c r="E31" s="41">
        <v>75</v>
      </c>
      <c r="F31" s="41">
        <v>598</v>
      </c>
      <c r="G31" s="41">
        <v>322</v>
      </c>
      <c r="H31" s="41">
        <v>6624</v>
      </c>
      <c r="I31" s="41">
        <v>4490</v>
      </c>
      <c r="J31" s="136">
        <v>3092348.17</v>
      </c>
      <c r="K31" s="136">
        <v>649332</v>
      </c>
      <c r="L31" s="136">
        <v>4324203.78</v>
      </c>
      <c r="M31" s="136">
        <v>4000402.4200000004</v>
      </c>
      <c r="N31" s="136">
        <v>422942.4</v>
      </c>
      <c r="O31" s="136">
        <v>374825.2</v>
      </c>
      <c r="P31" s="178">
        <f>SUM(Ikärakenne[[#This Row],[Ikä 0–5]:[Ikä 18-64]])</f>
        <v>12864053.970000001</v>
      </c>
      <c r="S31" s="43"/>
      <c r="T31" s="43"/>
      <c r="U31" s="79"/>
      <c r="V31" s="79"/>
      <c r="W31" s="79"/>
      <c r="X31" s="68"/>
      <c r="Y31" s="43"/>
      <c r="Z31" s="43"/>
      <c r="AA31" s="43"/>
      <c r="AB31" s="79"/>
      <c r="AC31" s="78"/>
    </row>
    <row r="32" spans="1:31">
      <c r="A32" s="127">
        <v>90</v>
      </c>
      <c r="B32" s="124" t="s">
        <v>37</v>
      </c>
      <c r="C32" s="38">
        <f>SUM(Ikärakenne[[#This Row],[0–5-vuotiaat]:[16 vuotta täyttäneet]])</f>
        <v>3001</v>
      </c>
      <c r="D32" s="41">
        <v>58</v>
      </c>
      <c r="E32" s="41">
        <v>18</v>
      </c>
      <c r="F32" s="41">
        <v>129</v>
      </c>
      <c r="G32" s="41">
        <v>95</v>
      </c>
      <c r="H32" s="41">
        <v>2701</v>
      </c>
      <c r="I32" s="41">
        <v>1388</v>
      </c>
      <c r="J32" s="136">
        <v>473235.33999999997</v>
      </c>
      <c r="K32" s="136">
        <v>155839.67999999999</v>
      </c>
      <c r="L32" s="136">
        <v>932813.19</v>
      </c>
      <c r="M32" s="136">
        <v>1180242.95</v>
      </c>
      <c r="N32" s="136">
        <v>172458.85</v>
      </c>
      <c r="O32" s="136">
        <v>115870.24</v>
      </c>
      <c r="P32" s="178">
        <f>SUM(Ikärakenne[[#This Row],[Ikä 0–5]:[Ikä 18-64]])</f>
        <v>3030460.2500000005</v>
      </c>
      <c r="S32" s="43"/>
      <c r="T32" s="99"/>
      <c r="U32" s="43"/>
      <c r="V32" s="43"/>
      <c r="W32" s="43"/>
      <c r="X32" s="43"/>
      <c r="Y32" s="43"/>
      <c r="Z32" s="43"/>
      <c r="AA32" s="43"/>
      <c r="AB32" s="43"/>
    </row>
    <row r="33" spans="1:30">
      <c r="A33" s="127">
        <v>91</v>
      </c>
      <c r="B33" s="124" t="s">
        <v>38</v>
      </c>
      <c r="C33" s="38">
        <f>SUM(Ikärakenne[[#This Row],[0–5-vuotiaat]:[16 vuotta täyttäneet]])</f>
        <v>674500</v>
      </c>
      <c r="D33" s="41">
        <v>36692</v>
      </c>
      <c r="E33" s="41">
        <v>6220</v>
      </c>
      <c r="F33" s="41">
        <v>39357</v>
      </c>
      <c r="G33" s="41">
        <v>19174</v>
      </c>
      <c r="H33" s="41">
        <v>573057</v>
      </c>
      <c r="I33" s="41">
        <v>442093</v>
      </c>
      <c r="J33" s="136">
        <v>299378467.15999997</v>
      </c>
      <c r="K33" s="136">
        <v>53851267.200000003</v>
      </c>
      <c r="L33" s="136">
        <v>284594796.26999998</v>
      </c>
      <c r="M33" s="136">
        <v>238210298.14000002</v>
      </c>
      <c r="N33" s="136">
        <v>36589689.450000003</v>
      </c>
      <c r="O33" s="136">
        <v>36905923.640000001</v>
      </c>
      <c r="P33" s="178">
        <f>SUM(Ikärakenne[[#This Row],[Ikä 0–5]:[Ikä 18-64]])</f>
        <v>949530441.8599999</v>
      </c>
      <c r="S33" s="77"/>
      <c r="T33" s="77"/>
      <c r="U33" s="77"/>
      <c r="V33" s="77"/>
      <c r="W33" s="77"/>
      <c r="X33" s="77"/>
      <c r="Y33" s="77"/>
      <c r="Z33" s="77"/>
      <c r="AA33" s="77"/>
      <c r="AB33" s="77"/>
      <c r="AC33" s="77"/>
    </row>
    <row r="34" spans="1:30">
      <c r="A34" s="127">
        <v>92</v>
      </c>
      <c r="B34" s="124" t="s">
        <v>39</v>
      </c>
      <c r="C34" s="38">
        <f>SUM(Ikärakenne[[#This Row],[0–5-vuotiaat]:[16 vuotta täyttäneet]])</f>
        <v>247443</v>
      </c>
      <c r="D34" s="41">
        <v>15372</v>
      </c>
      <c r="E34" s="41">
        <v>2650</v>
      </c>
      <c r="F34" s="41">
        <v>16867</v>
      </c>
      <c r="G34" s="41">
        <v>8677</v>
      </c>
      <c r="H34" s="41">
        <v>203877</v>
      </c>
      <c r="I34" s="41">
        <v>159397</v>
      </c>
      <c r="J34" s="136">
        <v>125423683.55999999</v>
      </c>
      <c r="K34" s="136">
        <v>22943064</v>
      </c>
      <c r="L34" s="136">
        <v>121967132.36999999</v>
      </c>
      <c r="M34" s="136">
        <v>107799663.97</v>
      </c>
      <c r="N34" s="136">
        <v>13017546.450000001</v>
      </c>
      <c r="O34" s="136">
        <v>13306461.560000001</v>
      </c>
      <c r="P34" s="178">
        <f>SUM(Ikärakenne[[#This Row],[Ikä 0–5]:[Ikä 18-64]])</f>
        <v>404457551.90999997</v>
      </c>
      <c r="S34" s="77"/>
      <c r="T34" s="77"/>
      <c r="U34" s="77"/>
      <c r="V34" s="77"/>
      <c r="W34" s="77"/>
      <c r="X34" s="77"/>
      <c r="Y34" s="77"/>
      <c r="Z34" s="77"/>
      <c r="AA34" s="77"/>
      <c r="AB34" s="77"/>
      <c r="AC34" s="77"/>
      <c r="AD34" s="100"/>
    </row>
    <row r="35" spans="1:30">
      <c r="A35" s="127">
        <v>97</v>
      </c>
      <c r="B35" s="124" t="s">
        <v>40</v>
      </c>
      <c r="C35" s="38">
        <f>SUM(Ikärakenne[[#This Row],[0–5-vuotiaat]:[16 vuotta täyttäneet]])</f>
        <v>2062</v>
      </c>
      <c r="D35" s="41">
        <v>65</v>
      </c>
      <c r="E35" s="41">
        <v>15</v>
      </c>
      <c r="F35" s="41">
        <v>90</v>
      </c>
      <c r="G35" s="41">
        <v>44</v>
      </c>
      <c r="H35" s="41">
        <v>1848</v>
      </c>
      <c r="I35" s="41">
        <v>994</v>
      </c>
      <c r="J35" s="136">
        <v>530349.94999999995</v>
      </c>
      <c r="K35" s="136">
        <v>129866.40000000001</v>
      </c>
      <c r="L35" s="136">
        <v>650799.9</v>
      </c>
      <c r="M35" s="136">
        <v>546638.84000000008</v>
      </c>
      <c r="N35" s="136">
        <v>117994.8</v>
      </c>
      <c r="O35" s="136">
        <v>82979.12000000001</v>
      </c>
      <c r="P35" s="178">
        <f>SUM(Ikärakenne[[#This Row],[Ikä 0–5]:[Ikä 18-64]])</f>
        <v>2058629.0100000002</v>
      </c>
      <c r="S35" s="63"/>
      <c r="T35" s="63"/>
      <c r="U35" s="63"/>
      <c r="V35" s="63"/>
      <c r="W35" s="63"/>
      <c r="X35" s="63"/>
      <c r="Y35" s="63"/>
      <c r="Z35" s="63"/>
      <c r="AA35" s="63"/>
    </row>
    <row r="36" spans="1:30">
      <c r="A36" s="127">
        <v>98</v>
      </c>
      <c r="B36" s="124" t="s">
        <v>41</v>
      </c>
      <c r="C36" s="38">
        <f>SUM(Ikärakenne[[#This Row],[0–5-vuotiaat]:[16 vuotta täyttäneet]])</f>
        <v>22885</v>
      </c>
      <c r="D36" s="41">
        <v>1155</v>
      </c>
      <c r="E36" s="41">
        <v>238</v>
      </c>
      <c r="F36" s="41">
        <v>1719</v>
      </c>
      <c r="G36" s="41">
        <v>887</v>
      </c>
      <c r="H36" s="41">
        <v>18886</v>
      </c>
      <c r="I36" s="41">
        <v>12134</v>
      </c>
      <c r="J36" s="136">
        <v>9423910.6500000004</v>
      </c>
      <c r="K36" s="136">
        <v>2060546.8800000001</v>
      </c>
      <c r="L36" s="136">
        <v>12430278.09</v>
      </c>
      <c r="M36" s="136">
        <v>11019742.07</v>
      </c>
      <c r="N36" s="136">
        <v>1205871.1000000001</v>
      </c>
      <c r="O36" s="136">
        <v>1012946.3200000001</v>
      </c>
      <c r="P36" s="178">
        <f>SUM(Ikärakenne[[#This Row],[Ikä 0–5]:[Ikä 18-64]])</f>
        <v>37153295.109999999</v>
      </c>
      <c r="S36" s="101"/>
      <c r="T36" s="101"/>
      <c r="U36" s="101"/>
      <c r="V36" s="101"/>
      <c r="W36" s="101"/>
      <c r="X36" s="101"/>
      <c r="Y36" s="101"/>
      <c r="Z36" s="101"/>
      <c r="AA36" s="101"/>
      <c r="AB36" s="68"/>
    </row>
    <row r="37" spans="1:30">
      <c r="A37" s="127">
        <v>102</v>
      </c>
      <c r="B37" s="124" t="s">
        <v>42</v>
      </c>
      <c r="C37" s="38">
        <f>SUM(Ikärakenne[[#This Row],[0–5-vuotiaat]:[16 vuotta täyttäneet]])</f>
        <v>9646</v>
      </c>
      <c r="D37" s="41">
        <v>415</v>
      </c>
      <c r="E37" s="41">
        <v>82</v>
      </c>
      <c r="F37" s="41">
        <v>589</v>
      </c>
      <c r="G37" s="41">
        <v>305</v>
      </c>
      <c r="H37" s="41">
        <v>8255</v>
      </c>
      <c r="I37" s="41">
        <v>5057</v>
      </c>
      <c r="J37" s="136">
        <v>3386080.4499999997</v>
      </c>
      <c r="K37" s="136">
        <v>709936.32000000007</v>
      </c>
      <c r="L37" s="136">
        <v>4259123.79</v>
      </c>
      <c r="M37" s="136">
        <v>3789201.0500000003</v>
      </c>
      <c r="N37" s="136">
        <v>527081.75</v>
      </c>
      <c r="O37" s="136">
        <v>422158.36000000004</v>
      </c>
      <c r="P37" s="178">
        <f>SUM(Ikärakenne[[#This Row],[Ikä 0–5]:[Ikä 18-64]])</f>
        <v>13093581.719999999</v>
      </c>
    </row>
    <row r="38" spans="1:30">
      <c r="A38" s="127">
        <v>103</v>
      </c>
      <c r="B38" s="124" t="s">
        <v>43</v>
      </c>
      <c r="C38" s="38">
        <f>SUM(Ikärakenne[[#This Row],[0–5-vuotiaat]:[16 vuotta täyttäneet]])</f>
        <v>2125</v>
      </c>
      <c r="D38" s="41">
        <v>93</v>
      </c>
      <c r="E38" s="41">
        <v>19</v>
      </c>
      <c r="F38" s="41">
        <v>120</v>
      </c>
      <c r="G38" s="41">
        <v>68</v>
      </c>
      <c r="H38" s="41">
        <v>1825</v>
      </c>
      <c r="I38" s="41">
        <v>1092</v>
      </c>
      <c r="J38" s="136">
        <v>758808.39</v>
      </c>
      <c r="K38" s="136">
        <v>164497.44</v>
      </c>
      <c r="L38" s="136">
        <v>867733.2</v>
      </c>
      <c r="M38" s="136">
        <v>844805.48</v>
      </c>
      <c r="N38" s="136">
        <v>116526.25</v>
      </c>
      <c r="O38" s="136">
        <v>91160.16</v>
      </c>
      <c r="P38" s="178">
        <f>SUM(Ikärakenne[[#This Row],[Ikä 0–5]:[Ikä 18-64]])</f>
        <v>2843530.92</v>
      </c>
    </row>
    <row r="39" spans="1:30">
      <c r="A39" s="127">
        <v>105</v>
      </c>
      <c r="B39" s="124" t="s">
        <v>44</v>
      </c>
      <c r="C39" s="38">
        <f>SUM(Ikärakenne[[#This Row],[0–5-vuotiaat]:[16 vuotta täyttäneet]])</f>
        <v>2063</v>
      </c>
      <c r="D39" s="41">
        <v>70</v>
      </c>
      <c r="E39" s="41">
        <v>13</v>
      </c>
      <c r="F39" s="41">
        <v>82</v>
      </c>
      <c r="G39" s="41">
        <v>47</v>
      </c>
      <c r="H39" s="41">
        <v>1851</v>
      </c>
      <c r="I39" s="41">
        <v>892</v>
      </c>
      <c r="J39" s="136">
        <v>571146.1</v>
      </c>
      <c r="K39" s="136">
        <v>112550.88</v>
      </c>
      <c r="L39" s="136">
        <v>592951.02</v>
      </c>
      <c r="M39" s="136">
        <v>583909.67000000004</v>
      </c>
      <c r="N39" s="136">
        <v>118186.35</v>
      </c>
      <c r="O39" s="136">
        <v>74464.160000000003</v>
      </c>
      <c r="P39" s="178">
        <f>SUM(Ikärakenne[[#This Row],[Ikä 0–5]:[Ikä 18-64]])</f>
        <v>2053208.18</v>
      </c>
    </row>
    <row r="40" spans="1:30">
      <c r="A40" s="127">
        <v>106</v>
      </c>
      <c r="B40" s="124" t="s">
        <v>45</v>
      </c>
      <c r="C40" s="38">
        <f>SUM(Ikärakenne[[#This Row],[0–5-vuotiaat]:[16 vuotta täyttäneet]])</f>
        <v>46901</v>
      </c>
      <c r="D40" s="41">
        <v>2248</v>
      </c>
      <c r="E40" s="41">
        <v>468</v>
      </c>
      <c r="F40" s="41">
        <v>2944</v>
      </c>
      <c r="G40" s="41">
        <v>1634</v>
      </c>
      <c r="H40" s="41">
        <v>39607</v>
      </c>
      <c r="I40" s="41">
        <v>27145</v>
      </c>
      <c r="J40" s="136">
        <v>18341949.039999999</v>
      </c>
      <c r="K40" s="136">
        <v>4051831.68</v>
      </c>
      <c r="L40" s="136">
        <v>21288387.84</v>
      </c>
      <c r="M40" s="136">
        <v>20300178.740000002</v>
      </c>
      <c r="N40" s="136">
        <v>2528906.9500000002</v>
      </c>
      <c r="O40" s="136">
        <v>2266064.6</v>
      </c>
      <c r="P40" s="178">
        <f>SUM(Ikärakenne[[#This Row],[Ikä 0–5]:[Ikä 18-64]])</f>
        <v>68777318.850000009</v>
      </c>
    </row>
    <row r="41" spans="1:30">
      <c r="A41" s="127">
        <v>108</v>
      </c>
      <c r="B41" s="124" t="s">
        <v>46</v>
      </c>
      <c r="C41" s="38">
        <f>SUM(Ikärakenne[[#This Row],[0–5-vuotiaat]:[16 vuotta täyttäneet]])</f>
        <v>10319</v>
      </c>
      <c r="D41" s="41">
        <v>550</v>
      </c>
      <c r="E41" s="41">
        <v>120</v>
      </c>
      <c r="F41" s="41">
        <v>798</v>
      </c>
      <c r="G41" s="41">
        <v>376</v>
      </c>
      <c r="H41" s="41">
        <v>8475</v>
      </c>
      <c r="I41" s="41">
        <v>5617</v>
      </c>
      <c r="J41" s="136">
        <v>4487576.5</v>
      </c>
      <c r="K41" s="136">
        <v>1038931.2000000001</v>
      </c>
      <c r="L41" s="136">
        <v>5770425.7799999993</v>
      </c>
      <c r="M41" s="136">
        <v>4671277.3600000003</v>
      </c>
      <c r="N41" s="136">
        <v>541128.75</v>
      </c>
      <c r="O41" s="136">
        <v>468907.16000000003</v>
      </c>
      <c r="P41" s="178">
        <f>SUM(Ikärakenne[[#This Row],[Ikä 0–5]:[Ikä 18-64]])</f>
        <v>16978246.75</v>
      </c>
    </row>
    <row r="42" spans="1:30">
      <c r="A42" s="127">
        <v>109</v>
      </c>
      <c r="B42" s="124" t="s">
        <v>47</v>
      </c>
      <c r="C42" s="38">
        <f>SUM(Ikärakenne[[#This Row],[0–5-vuotiaat]:[16 vuotta täyttäneet]])</f>
        <v>68319</v>
      </c>
      <c r="D42" s="41">
        <v>3155</v>
      </c>
      <c r="E42" s="41">
        <v>608</v>
      </c>
      <c r="F42" s="41">
        <v>4183</v>
      </c>
      <c r="G42" s="41">
        <v>2222</v>
      </c>
      <c r="H42" s="41">
        <v>58151</v>
      </c>
      <c r="I42" s="41">
        <v>38148</v>
      </c>
      <c r="J42" s="136">
        <v>25742370.649999999</v>
      </c>
      <c r="K42" s="136">
        <v>5263918.08</v>
      </c>
      <c r="L42" s="136">
        <v>30247733.129999999</v>
      </c>
      <c r="M42" s="136">
        <v>27605261.420000002</v>
      </c>
      <c r="N42" s="136">
        <v>3712941.35</v>
      </c>
      <c r="O42" s="136">
        <v>3184595.04</v>
      </c>
      <c r="P42" s="178">
        <f>SUM(Ikärakenne[[#This Row],[Ikä 0–5]:[Ikä 18-64]])</f>
        <v>95756819.670000002</v>
      </c>
    </row>
    <row r="43" spans="1:30">
      <c r="A43" s="127">
        <v>111</v>
      </c>
      <c r="B43" s="124" t="s">
        <v>48</v>
      </c>
      <c r="C43" s="38">
        <f>SUM(Ikärakenne[[#This Row],[0–5-vuotiaat]:[16 vuotta täyttäneet]])</f>
        <v>17953</v>
      </c>
      <c r="D43" s="41">
        <v>530</v>
      </c>
      <c r="E43" s="41">
        <v>119</v>
      </c>
      <c r="F43" s="41">
        <v>836</v>
      </c>
      <c r="G43" s="41">
        <v>478</v>
      </c>
      <c r="H43" s="41">
        <v>15990</v>
      </c>
      <c r="I43" s="41">
        <v>8967</v>
      </c>
      <c r="J43" s="136">
        <v>4324391.8999999994</v>
      </c>
      <c r="K43" s="136">
        <v>1030273.4400000001</v>
      </c>
      <c r="L43" s="136">
        <v>6045207.96</v>
      </c>
      <c r="M43" s="136">
        <v>5938485.5800000001</v>
      </c>
      <c r="N43" s="136">
        <v>1020961.5</v>
      </c>
      <c r="O43" s="136">
        <v>748565.16</v>
      </c>
      <c r="P43" s="178">
        <f>SUM(Ikärakenne[[#This Row],[Ikä 0–5]:[Ikä 18-64]])</f>
        <v>19107885.540000003</v>
      </c>
    </row>
    <row r="44" spans="1:30">
      <c r="A44" s="127">
        <v>139</v>
      </c>
      <c r="B44" s="124" t="s">
        <v>49</v>
      </c>
      <c r="C44" s="38">
        <f>SUM(Ikärakenne[[#This Row],[0–5-vuotiaat]:[16 vuotta täyttäneet]])</f>
        <v>9766</v>
      </c>
      <c r="D44" s="41">
        <v>671</v>
      </c>
      <c r="E44" s="41">
        <v>132</v>
      </c>
      <c r="F44" s="41">
        <v>914</v>
      </c>
      <c r="G44" s="41">
        <v>485</v>
      </c>
      <c r="H44" s="41">
        <v>7564</v>
      </c>
      <c r="I44" s="41">
        <v>5050</v>
      </c>
      <c r="J44" s="136">
        <v>5474843.3300000001</v>
      </c>
      <c r="K44" s="136">
        <v>1142824.32</v>
      </c>
      <c r="L44" s="136">
        <v>6609234.54</v>
      </c>
      <c r="M44" s="136">
        <v>6025450.8500000006</v>
      </c>
      <c r="N44" s="136">
        <v>482961.4</v>
      </c>
      <c r="O44" s="136">
        <v>421574</v>
      </c>
      <c r="P44" s="178">
        <f>SUM(Ikärakenne[[#This Row],[Ikä 0–5]:[Ikä 18-64]])</f>
        <v>20156888.440000001</v>
      </c>
    </row>
    <row r="45" spans="1:30">
      <c r="A45" s="127">
        <v>140</v>
      </c>
      <c r="B45" s="124" t="s">
        <v>50</v>
      </c>
      <c r="C45" s="38">
        <f>SUM(Ikärakenne[[#This Row],[0–5-vuotiaat]:[16 vuotta täyttäneet]])</f>
        <v>20618</v>
      </c>
      <c r="D45" s="41">
        <v>880</v>
      </c>
      <c r="E45" s="41">
        <v>201</v>
      </c>
      <c r="F45" s="41">
        <v>1346</v>
      </c>
      <c r="G45" s="41">
        <v>731</v>
      </c>
      <c r="H45" s="41">
        <v>17460</v>
      </c>
      <c r="I45" s="41">
        <v>10977</v>
      </c>
      <c r="J45" s="136">
        <v>7180122.3999999994</v>
      </c>
      <c r="K45" s="136">
        <v>1740209.76</v>
      </c>
      <c r="L45" s="136">
        <v>9733074.0599999987</v>
      </c>
      <c r="M45" s="136">
        <v>9081658.9100000001</v>
      </c>
      <c r="N45" s="136">
        <v>1114821</v>
      </c>
      <c r="O45" s="136">
        <v>916359.96000000008</v>
      </c>
      <c r="P45" s="178">
        <f>SUM(Ikärakenne[[#This Row],[Ikä 0–5]:[Ikä 18-64]])</f>
        <v>29766246.09</v>
      </c>
    </row>
    <row r="46" spans="1:30">
      <c r="A46" s="127">
        <v>142</v>
      </c>
      <c r="B46" s="124" t="s">
        <v>51</v>
      </c>
      <c r="C46" s="38">
        <f>SUM(Ikärakenne[[#This Row],[0–5-vuotiaat]:[16 vuotta täyttäneet]])</f>
        <v>6444</v>
      </c>
      <c r="D46" s="41">
        <v>282</v>
      </c>
      <c r="E46" s="41">
        <v>54</v>
      </c>
      <c r="F46" s="41">
        <v>385</v>
      </c>
      <c r="G46" s="41">
        <v>200</v>
      </c>
      <c r="H46" s="41">
        <v>5523</v>
      </c>
      <c r="I46" s="41">
        <v>3208</v>
      </c>
      <c r="J46" s="136">
        <v>2300902.86</v>
      </c>
      <c r="K46" s="136">
        <v>467519.04000000004</v>
      </c>
      <c r="L46" s="136">
        <v>2783977.35</v>
      </c>
      <c r="M46" s="136">
        <v>2484722</v>
      </c>
      <c r="N46" s="136">
        <v>352643.55</v>
      </c>
      <c r="O46" s="136">
        <v>267803.84000000003</v>
      </c>
      <c r="P46" s="178">
        <f>SUM(Ikärakenne[[#This Row],[Ikä 0–5]:[Ikä 18-64]])</f>
        <v>8657568.6400000006</v>
      </c>
    </row>
    <row r="47" spans="1:30">
      <c r="A47" s="127">
        <v>143</v>
      </c>
      <c r="B47" s="124" t="s">
        <v>52</v>
      </c>
      <c r="C47" s="38">
        <f>SUM(Ikärakenne[[#This Row],[0–5-vuotiaat]:[16 vuotta täyttäneet]])</f>
        <v>6850</v>
      </c>
      <c r="D47" s="41">
        <v>235</v>
      </c>
      <c r="E47" s="41">
        <v>76</v>
      </c>
      <c r="F47" s="41">
        <v>435</v>
      </c>
      <c r="G47" s="41">
        <v>231</v>
      </c>
      <c r="H47" s="41">
        <v>5873</v>
      </c>
      <c r="I47" s="41">
        <v>3435</v>
      </c>
      <c r="J47" s="136">
        <v>1917419.0499999998</v>
      </c>
      <c r="K47" s="136">
        <v>657989.76</v>
      </c>
      <c r="L47" s="136">
        <v>3145532.8499999996</v>
      </c>
      <c r="M47" s="136">
        <v>2869853.91</v>
      </c>
      <c r="N47" s="136">
        <v>374991.05</v>
      </c>
      <c r="O47" s="136">
        <v>286753.8</v>
      </c>
      <c r="P47" s="178">
        <f>SUM(Ikärakenne[[#This Row],[Ikä 0–5]:[Ikä 18-64]])</f>
        <v>9252540.4200000018</v>
      </c>
    </row>
    <row r="48" spans="1:30">
      <c r="A48" s="127">
        <v>145</v>
      </c>
      <c r="B48" s="124" t="s">
        <v>53</v>
      </c>
      <c r="C48" s="38">
        <f>SUM(Ikärakenne[[#This Row],[0–5-vuotiaat]:[16 vuotta täyttäneet]])</f>
        <v>12343</v>
      </c>
      <c r="D48" s="41">
        <v>847</v>
      </c>
      <c r="E48" s="41">
        <v>145</v>
      </c>
      <c r="F48" s="41">
        <v>988</v>
      </c>
      <c r="G48" s="41">
        <v>523</v>
      </c>
      <c r="H48" s="41">
        <v>9840</v>
      </c>
      <c r="I48" s="41">
        <v>6666</v>
      </c>
      <c r="J48" s="136">
        <v>6910867.8099999996</v>
      </c>
      <c r="K48" s="136">
        <v>1255375.2</v>
      </c>
      <c r="L48" s="136">
        <v>7144336.6799999997</v>
      </c>
      <c r="M48" s="136">
        <v>6497548.0300000003</v>
      </c>
      <c r="N48" s="136">
        <v>628284</v>
      </c>
      <c r="O48" s="136">
        <v>556477.68000000005</v>
      </c>
      <c r="P48" s="178">
        <f>SUM(Ikärakenne[[#This Row],[Ikä 0–5]:[Ikä 18-64]])</f>
        <v>22992889.399999999</v>
      </c>
    </row>
    <row r="49" spans="1:16">
      <c r="A49" s="127">
        <v>146</v>
      </c>
      <c r="B49" s="124" t="s">
        <v>54</v>
      </c>
      <c r="C49" s="38">
        <f>SUM(Ikärakenne[[#This Row],[0–5-vuotiaat]:[16 vuotta täyttäneet]])</f>
        <v>4406</v>
      </c>
      <c r="D49" s="41">
        <v>101</v>
      </c>
      <c r="E49" s="41">
        <v>23</v>
      </c>
      <c r="F49" s="41">
        <v>177</v>
      </c>
      <c r="G49" s="41">
        <v>86</v>
      </c>
      <c r="H49" s="41">
        <v>4019</v>
      </c>
      <c r="I49" s="41">
        <v>1935</v>
      </c>
      <c r="J49" s="136">
        <v>824082.23</v>
      </c>
      <c r="K49" s="136">
        <v>199128.48</v>
      </c>
      <c r="L49" s="136">
        <v>1279906.47</v>
      </c>
      <c r="M49" s="136">
        <v>1068430.46</v>
      </c>
      <c r="N49" s="136">
        <v>256613.15</v>
      </c>
      <c r="O49" s="136">
        <v>161533.80000000002</v>
      </c>
      <c r="P49" s="178">
        <f>SUM(Ikärakenne[[#This Row],[Ikä 0–5]:[Ikä 18-64]])</f>
        <v>3789694.5899999994</v>
      </c>
    </row>
    <row r="50" spans="1:16">
      <c r="A50" s="127">
        <v>148</v>
      </c>
      <c r="B50" s="124" t="s">
        <v>55</v>
      </c>
      <c r="C50" s="38">
        <f>SUM(Ikärakenne[[#This Row],[0–5-vuotiaat]:[16 vuotta täyttäneet]])</f>
        <v>7127</v>
      </c>
      <c r="D50" s="41">
        <v>294</v>
      </c>
      <c r="E50" s="41">
        <v>48</v>
      </c>
      <c r="F50" s="41">
        <v>366</v>
      </c>
      <c r="G50" s="41">
        <v>199</v>
      </c>
      <c r="H50" s="41">
        <v>6220</v>
      </c>
      <c r="I50" s="41">
        <v>4110</v>
      </c>
      <c r="J50" s="136">
        <v>2398813.6199999996</v>
      </c>
      <c r="K50" s="136">
        <v>415572.47999999998</v>
      </c>
      <c r="L50" s="136">
        <v>2646586.2599999998</v>
      </c>
      <c r="M50" s="136">
        <v>2472298.39</v>
      </c>
      <c r="N50" s="136">
        <v>397147</v>
      </c>
      <c r="O50" s="136">
        <v>343102.8</v>
      </c>
      <c r="P50" s="178">
        <f>SUM(Ikärakenne[[#This Row],[Ikä 0–5]:[Ikä 18-64]])</f>
        <v>8673520.5500000007</v>
      </c>
    </row>
    <row r="51" spans="1:16">
      <c r="A51" s="127">
        <v>149</v>
      </c>
      <c r="B51" s="124" t="s">
        <v>56</v>
      </c>
      <c r="C51" s="38">
        <f>SUM(Ikärakenne[[#This Row],[0–5-vuotiaat]:[16 vuotta täyttäneet]])</f>
        <v>5379</v>
      </c>
      <c r="D51" s="41">
        <v>273</v>
      </c>
      <c r="E51" s="41">
        <v>40</v>
      </c>
      <c r="F51" s="41">
        <v>323</v>
      </c>
      <c r="G51" s="41">
        <v>204</v>
      </c>
      <c r="H51" s="41">
        <v>4539</v>
      </c>
      <c r="I51" s="41">
        <v>2974</v>
      </c>
      <c r="J51" s="136">
        <v>2227469.79</v>
      </c>
      <c r="K51" s="136">
        <v>346310.40000000002</v>
      </c>
      <c r="L51" s="136">
        <v>2335648.5299999998</v>
      </c>
      <c r="M51" s="136">
        <v>2534416.44</v>
      </c>
      <c r="N51" s="136">
        <v>289815.15000000002</v>
      </c>
      <c r="O51" s="136">
        <v>248269.52000000002</v>
      </c>
      <c r="P51" s="178">
        <f>SUM(Ikärakenne[[#This Row],[Ikä 0–5]:[Ikä 18-64]])</f>
        <v>7981929.8300000001</v>
      </c>
    </row>
    <row r="52" spans="1:16">
      <c r="A52" s="127">
        <v>151</v>
      </c>
      <c r="B52" s="124" t="s">
        <v>57</v>
      </c>
      <c r="C52" s="38">
        <f>SUM(Ikärakenne[[#This Row],[0–5-vuotiaat]:[16 vuotta täyttäneet]])</f>
        <v>1814</v>
      </c>
      <c r="D52" s="41">
        <v>64</v>
      </c>
      <c r="E52" s="41">
        <v>9</v>
      </c>
      <c r="F52" s="41">
        <v>90</v>
      </c>
      <c r="G52" s="41">
        <v>55</v>
      </c>
      <c r="H52" s="41">
        <v>1596</v>
      </c>
      <c r="I52" s="41">
        <v>908</v>
      </c>
      <c r="J52" s="136">
        <v>522190.72</v>
      </c>
      <c r="K52" s="136">
        <v>77919.839999999997</v>
      </c>
      <c r="L52" s="136">
        <v>650799.9</v>
      </c>
      <c r="M52" s="136">
        <v>683298.55</v>
      </c>
      <c r="N52" s="136">
        <v>101904.6</v>
      </c>
      <c r="O52" s="136">
        <v>75799.839999999997</v>
      </c>
      <c r="P52" s="178">
        <f>SUM(Ikärakenne[[#This Row],[Ikä 0–5]:[Ikä 18-64]])</f>
        <v>2111913.4500000002</v>
      </c>
    </row>
    <row r="53" spans="1:16">
      <c r="A53" s="127">
        <v>152</v>
      </c>
      <c r="B53" s="124" t="s">
        <v>58</v>
      </c>
      <c r="C53" s="38">
        <f>SUM(Ikärakenne[[#This Row],[0–5-vuotiaat]:[16 vuotta täyttäneet]])</f>
        <v>4357</v>
      </c>
      <c r="D53" s="41">
        <v>180</v>
      </c>
      <c r="E53" s="41">
        <v>32</v>
      </c>
      <c r="F53" s="41">
        <v>333</v>
      </c>
      <c r="G53" s="41">
        <v>177</v>
      </c>
      <c r="H53" s="41">
        <v>3635</v>
      </c>
      <c r="I53" s="41">
        <v>2219</v>
      </c>
      <c r="J53" s="136">
        <v>1468661.4</v>
      </c>
      <c r="K53" s="136">
        <v>277048.32000000001</v>
      </c>
      <c r="L53" s="136">
        <v>2407959.63</v>
      </c>
      <c r="M53" s="136">
        <v>2198978.9700000002</v>
      </c>
      <c r="N53" s="136">
        <v>232094.75</v>
      </c>
      <c r="O53" s="136">
        <v>185242.12</v>
      </c>
      <c r="P53" s="178">
        <f>SUM(Ikärakenne[[#This Row],[Ikä 0–5]:[Ikä 18-64]])</f>
        <v>6769985.1900000004</v>
      </c>
    </row>
    <row r="54" spans="1:16">
      <c r="A54" s="127">
        <v>153</v>
      </c>
      <c r="B54" s="124" t="s">
        <v>59</v>
      </c>
      <c r="C54" s="38">
        <f>SUM(Ikärakenne[[#This Row],[0–5-vuotiaat]:[16 vuotta täyttäneet]])</f>
        <v>24919</v>
      </c>
      <c r="D54" s="41">
        <v>825</v>
      </c>
      <c r="E54" s="41">
        <v>188</v>
      </c>
      <c r="F54" s="41">
        <v>1304</v>
      </c>
      <c r="G54" s="41">
        <v>697</v>
      </c>
      <c r="H54" s="41">
        <v>21905</v>
      </c>
      <c r="I54" s="41">
        <v>13249</v>
      </c>
      <c r="J54" s="136">
        <v>6731364.75</v>
      </c>
      <c r="K54" s="136">
        <v>1627658.8800000001</v>
      </c>
      <c r="L54" s="136">
        <v>9429367.4399999995</v>
      </c>
      <c r="M54" s="136">
        <v>8659256.1699999999</v>
      </c>
      <c r="N54" s="136">
        <v>1398634.25</v>
      </c>
      <c r="O54" s="136">
        <v>1106026.52</v>
      </c>
      <c r="P54" s="178">
        <f>SUM(Ikärakenne[[#This Row],[Ikä 0–5]:[Ikä 18-64]])</f>
        <v>28952308.010000002</v>
      </c>
    </row>
    <row r="55" spans="1:16">
      <c r="A55" s="127">
        <v>165</v>
      </c>
      <c r="B55" s="124" t="s">
        <v>60</v>
      </c>
      <c r="C55" s="38">
        <f>SUM(Ikärakenne[[#This Row],[0–5-vuotiaat]:[16 vuotta täyttäneet]])</f>
        <v>16123</v>
      </c>
      <c r="D55" s="41">
        <v>822</v>
      </c>
      <c r="E55" s="41">
        <v>163</v>
      </c>
      <c r="F55" s="41">
        <v>1068</v>
      </c>
      <c r="G55" s="41">
        <v>625</v>
      </c>
      <c r="H55" s="41">
        <v>13445</v>
      </c>
      <c r="I55" s="41">
        <v>8879</v>
      </c>
      <c r="J55" s="136">
        <v>6706887.0599999996</v>
      </c>
      <c r="K55" s="136">
        <v>1411214.8800000001</v>
      </c>
      <c r="L55" s="136">
        <v>7722825.4799999995</v>
      </c>
      <c r="M55" s="136">
        <v>7764756.25</v>
      </c>
      <c r="N55" s="136">
        <v>858463.25</v>
      </c>
      <c r="O55" s="136">
        <v>741218.92</v>
      </c>
      <c r="P55" s="178">
        <f>SUM(Ikärakenne[[#This Row],[Ikä 0–5]:[Ikä 18-64]])</f>
        <v>25205365.84</v>
      </c>
    </row>
    <row r="56" spans="1:16">
      <c r="A56" s="127">
        <v>167</v>
      </c>
      <c r="B56" s="124" t="s">
        <v>61</v>
      </c>
      <c r="C56" s="38">
        <f>SUM(Ikärakenne[[#This Row],[0–5-vuotiaat]:[16 vuotta täyttäneet]])</f>
        <v>78062</v>
      </c>
      <c r="D56" s="41">
        <v>3437</v>
      </c>
      <c r="E56" s="41">
        <v>640</v>
      </c>
      <c r="F56" s="41">
        <v>4436</v>
      </c>
      <c r="G56" s="41">
        <v>2264</v>
      </c>
      <c r="H56" s="41">
        <v>67285</v>
      </c>
      <c r="I56" s="41">
        <v>47403</v>
      </c>
      <c r="J56" s="136">
        <v>28043273.509999998</v>
      </c>
      <c r="K56" s="136">
        <v>5540966.4000000004</v>
      </c>
      <c r="L56" s="136">
        <v>32077203.959999997</v>
      </c>
      <c r="M56" s="136">
        <v>28127053.040000003</v>
      </c>
      <c r="N56" s="136">
        <v>4296147.25</v>
      </c>
      <c r="O56" s="136">
        <v>3957202.4400000004</v>
      </c>
      <c r="P56" s="178">
        <f>SUM(Ikärakenne[[#This Row],[Ikä 0–5]:[Ikä 18-64]])</f>
        <v>102041846.59999999</v>
      </c>
    </row>
    <row r="57" spans="1:16">
      <c r="A57" s="127">
        <v>169</v>
      </c>
      <c r="B57" s="124" t="s">
        <v>62</v>
      </c>
      <c r="C57" s="38">
        <f>SUM(Ikärakenne[[#This Row],[0–5-vuotiaat]:[16 vuotta täyttäneet]])</f>
        <v>4916</v>
      </c>
      <c r="D57" s="41">
        <v>215</v>
      </c>
      <c r="E57" s="41">
        <v>33</v>
      </c>
      <c r="F57" s="41">
        <v>313</v>
      </c>
      <c r="G57" s="41">
        <v>195</v>
      </c>
      <c r="H57" s="41">
        <v>4160</v>
      </c>
      <c r="I57" s="41">
        <v>2589</v>
      </c>
      <c r="J57" s="136">
        <v>1754234.45</v>
      </c>
      <c r="K57" s="136">
        <v>285706.08</v>
      </c>
      <c r="L57" s="136">
        <v>2263337.4299999997</v>
      </c>
      <c r="M57" s="136">
        <v>2422603.9500000002</v>
      </c>
      <c r="N57" s="136">
        <v>265616</v>
      </c>
      <c r="O57" s="136">
        <v>216129.72</v>
      </c>
      <c r="P57" s="178">
        <f>SUM(Ikärakenne[[#This Row],[Ikä 0–5]:[Ikä 18-64]])</f>
        <v>7207627.6299999999</v>
      </c>
    </row>
    <row r="58" spans="1:16">
      <c r="A58" s="127">
        <v>171</v>
      </c>
      <c r="B58" s="124" t="s">
        <v>63</v>
      </c>
      <c r="C58" s="38">
        <f>SUM(Ikärakenne[[#This Row],[0–5-vuotiaat]:[16 vuotta täyttäneet]])</f>
        <v>4590</v>
      </c>
      <c r="D58" s="41">
        <v>188</v>
      </c>
      <c r="E58" s="41">
        <v>41</v>
      </c>
      <c r="F58" s="41">
        <v>265</v>
      </c>
      <c r="G58" s="41">
        <v>157</v>
      </c>
      <c r="H58" s="41">
        <v>3939</v>
      </c>
      <c r="I58" s="41">
        <v>2333</v>
      </c>
      <c r="J58" s="136">
        <v>1533935.24</v>
      </c>
      <c r="K58" s="136">
        <v>354968.16000000003</v>
      </c>
      <c r="L58" s="136">
        <v>1916244.15</v>
      </c>
      <c r="M58" s="136">
        <v>1950506.77</v>
      </c>
      <c r="N58" s="136">
        <v>251505.15</v>
      </c>
      <c r="O58" s="136">
        <v>194758.84</v>
      </c>
      <c r="P58" s="178">
        <f>SUM(Ikärakenne[[#This Row],[Ikä 0–5]:[Ikä 18-64]])</f>
        <v>6201918.3100000005</v>
      </c>
    </row>
    <row r="59" spans="1:16">
      <c r="A59" s="127">
        <v>172</v>
      </c>
      <c r="B59" s="124" t="s">
        <v>64</v>
      </c>
      <c r="C59" s="38">
        <f>SUM(Ikärakenne[[#This Row],[0–5-vuotiaat]:[16 vuotta täyttäneet]])</f>
        <v>4079</v>
      </c>
      <c r="D59" s="41">
        <v>118</v>
      </c>
      <c r="E59" s="41">
        <v>23</v>
      </c>
      <c r="F59" s="41">
        <v>181</v>
      </c>
      <c r="G59" s="41">
        <v>116</v>
      </c>
      <c r="H59" s="41">
        <v>3641</v>
      </c>
      <c r="I59" s="41">
        <v>1888</v>
      </c>
      <c r="J59" s="136">
        <v>962789.1399999999</v>
      </c>
      <c r="K59" s="136">
        <v>199128.48</v>
      </c>
      <c r="L59" s="136">
        <v>1308830.9099999999</v>
      </c>
      <c r="M59" s="136">
        <v>1441138.76</v>
      </c>
      <c r="N59" s="136">
        <v>232477.85</v>
      </c>
      <c r="O59" s="136">
        <v>157610.24000000002</v>
      </c>
      <c r="P59" s="178">
        <f>SUM(Ikärakenne[[#This Row],[Ikä 0–5]:[Ikä 18-64]])</f>
        <v>4301975.38</v>
      </c>
    </row>
    <row r="60" spans="1:16">
      <c r="A60" s="127">
        <v>176</v>
      </c>
      <c r="B60" s="124" t="s">
        <v>65</v>
      </c>
      <c r="C60" s="38">
        <f>SUM(Ikärakenne[[#This Row],[0–5-vuotiaat]:[16 vuotta täyttäneet]])</f>
        <v>4259</v>
      </c>
      <c r="D60" s="41">
        <v>117</v>
      </c>
      <c r="E60" s="41">
        <v>22</v>
      </c>
      <c r="F60" s="41">
        <v>159</v>
      </c>
      <c r="G60" s="41">
        <v>115</v>
      </c>
      <c r="H60" s="41">
        <v>3846</v>
      </c>
      <c r="I60" s="41">
        <v>2050</v>
      </c>
      <c r="J60" s="136">
        <v>954629.90999999992</v>
      </c>
      <c r="K60" s="136">
        <v>190470.72</v>
      </c>
      <c r="L60" s="136">
        <v>1149746.49</v>
      </c>
      <c r="M60" s="136">
        <v>1428715.1500000001</v>
      </c>
      <c r="N60" s="136">
        <v>245567.1</v>
      </c>
      <c r="O60" s="136">
        <v>171134</v>
      </c>
      <c r="P60" s="178">
        <f>SUM(Ikärakenne[[#This Row],[Ikä 0–5]:[Ikä 18-64]])</f>
        <v>4140263.3700000006</v>
      </c>
    </row>
    <row r="61" spans="1:16">
      <c r="A61" s="127">
        <v>177</v>
      </c>
      <c r="B61" s="124" t="s">
        <v>66</v>
      </c>
      <c r="C61" s="38">
        <f>SUM(Ikärakenne[[#This Row],[0–5-vuotiaat]:[16 vuotta täyttäneet]])</f>
        <v>1708</v>
      </c>
      <c r="D61" s="41">
        <v>64</v>
      </c>
      <c r="E61" s="41">
        <v>14</v>
      </c>
      <c r="F61" s="41">
        <v>112</v>
      </c>
      <c r="G61" s="41">
        <v>62</v>
      </c>
      <c r="H61" s="41">
        <v>1456</v>
      </c>
      <c r="I61" s="41">
        <v>850</v>
      </c>
      <c r="J61" s="136">
        <v>522190.72</v>
      </c>
      <c r="K61" s="136">
        <v>121208.64</v>
      </c>
      <c r="L61" s="136">
        <v>809884.32</v>
      </c>
      <c r="M61" s="136">
        <v>770263.82000000007</v>
      </c>
      <c r="N61" s="136">
        <v>92965.6</v>
      </c>
      <c r="O61" s="136">
        <v>70958</v>
      </c>
      <c r="P61" s="178">
        <f>SUM(Ikärakenne[[#This Row],[Ikä 0–5]:[Ikä 18-64]])</f>
        <v>2387471.1</v>
      </c>
    </row>
    <row r="62" spans="1:16">
      <c r="A62" s="127">
        <v>178</v>
      </c>
      <c r="B62" s="124" t="s">
        <v>67</v>
      </c>
      <c r="C62" s="38">
        <f>SUM(Ikärakenne[[#This Row],[0–5-vuotiaat]:[16 vuotta täyttäneet]])</f>
        <v>5734</v>
      </c>
      <c r="D62" s="41">
        <v>203</v>
      </c>
      <c r="E62" s="41">
        <v>46</v>
      </c>
      <c r="F62" s="41">
        <v>288</v>
      </c>
      <c r="G62" s="41">
        <v>142</v>
      </c>
      <c r="H62" s="41">
        <v>5055</v>
      </c>
      <c r="I62" s="41">
        <v>2743</v>
      </c>
      <c r="J62" s="136">
        <v>1656323.69</v>
      </c>
      <c r="K62" s="136">
        <v>398256.96</v>
      </c>
      <c r="L62" s="136">
        <v>2082559.68</v>
      </c>
      <c r="M62" s="136">
        <v>1764152.62</v>
      </c>
      <c r="N62" s="136">
        <v>322761.75</v>
      </c>
      <c r="O62" s="136">
        <v>228985.64</v>
      </c>
      <c r="P62" s="178">
        <f>SUM(Ikärakenne[[#This Row],[Ikä 0–5]:[Ikä 18-64]])</f>
        <v>6453040.3399999999</v>
      </c>
    </row>
    <row r="63" spans="1:16">
      <c r="A63" s="127">
        <v>179</v>
      </c>
      <c r="B63" s="124" t="s">
        <v>68</v>
      </c>
      <c r="C63" s="38">
        <f>SUM(Ikärakenne[[#This Row],[0–5-vuotiaat]:[16 vuotta täyttäneet]])</f>
        <v>147746</v>
      </c>
      <c r="D63" s="41">
        <v>7365</v>
      </c>
      <c r="E63" s="41">
        <v>1329</v>
      </c>
      <c r="F63" s="41">
        <v>9120</v>
      </c>
      <c r="G63" s="41">
        <v>4790</v>
      </c>
      <c r="H63" s="41">
        <v>125142</v>
      </c>
      <c r="I63" s="41">
        <v>93446</v>
      </c>
      <c r="J63" s="136">
        <v>60092728.949999996</v>
      </c>
      <c r="K63" s="136">
        <v>11506163.040000001</v>
      </c>
      <c r="L63" s="136">
        <v>65947723.199999996</v>
      </c>
      <c r="M63" s="136">
        <v>59509091.900000006</v>
      </c>
      <c r="N63" s="136">
        <v>7990316.7000000002</v>
      </c>
      <c r="O63" s="136">
        <v>7800872.0800000001</v>
      </c>
      <c r="P63" s="178">
        <f>SUM(Ikärakenne[[#This Row],[Ikä 0–5]:[Ikä 18-64]])</f>
        <v>212846895.87</v>
      </c>
    </row>
    <row r="64" spans="1:16">
      <c r="A64" s="127">
        <v>181</v>
      </c>
      <c r="B64" s="124" t="s">
        <v>69</v>
      </c>
      <c r="C64" s="38">
        <f>SUM(Ikärakenne[[#This Row],[0–5-vuotiaat]:[16 vuotta täyttäneet]])</f>
        <v>1682</v>
      </c>
      <c r="D64" s="41">
        <v>68</v>
      </c>
      <c r="E64" s="41">
        <v>13</v>
      </c>
      <c r="F64" s="41">
        <v>121</v>
      </c>
      <c r="G64" s="41">
        <v>58</v>
      </c>
      <c r="H64" s="41">
        <v>1422</v>
      </c>
      <c r="I64" s="41">
        <v>842</v>
      </c>
      <c r="J64" s="136">
        <v>554827.64</v>
      </c>
      <c r="K64" s="136">
        <v>112550.88</v>
      </c>
      <c r="L64" s="136">
        <v>874964.30999999994</v>
      </c>
      <c r="M64" s="136">
        <v>720569.38</v>
      </c>
      <c r="N64" s="136">
        <v>90794.7</v>
      </c>
      <c r="O64" s="136">
        <v>70290.16</v>
      </c>
      <c r="P64" s="178">
        <f>SUM(Ikärakenne[[#This Row],[Ikä 0–5]:[Ikä 18-64]])</f>
        <v>2423997.0700000003</v>
      </c>
    </row>
    <row r="65" spans="1:16">
      <c r="A65" s="127">
        <v>182</v>
      </c>
      <c r="B65" s="124" t="s">
        <v>70</v>
      </c>
      <c r="C65" s="38">
        <f>SUM(Ikärakenne[[#This Row],[0–5-vuotiaat]:[16 vuotta täyttäneet]])</f>
        <v>19182</v>
      </c>
      <c r="D65" s="41">
        <v>605</v>
      </c>
      <c r="E65" s="41">
        <v>122</v>
      </c>
      <c r="F65" s="41">
        <v>1050</v>
      </c>
      <c r="G65" s="41">
        <v>630</v>
      </c>
      <c r="H65" s="41">
        <v>16775</v>
      </c>
      <c r="I65" s="41">
        <v>9699</v>
      </c>
      <c r="J65" s="136">
        <v>4936334.1499999994</v>
      </c>
      <c r="K65" s="136">
        <v>1056246.72</v>
      </c>
      <c r="L65" s="136">
        <v>7592665.5</v>
      </c>
      <c r="M65" s="136">
        <v>7826874.3000000007</v>
      </c>
      <c r="N65" s="136">
        <v>1071083.75</v>
      </c>
      <c r="O65" s="136">
        <v>809672.52</v>
      </c>
      <c r="P65" s="178">
        <f>SUM(Ikärakenne[[#This Row],[Ikä 0–5]:[Ikä 18-64]])</f>
        <v>23292876.940000001</v>
      </c>
    </row>
    <row r="66" spans="1:16">
      <c r="A66" s="127">
        <v>186</v>
      </c>
      <c r="B66" s="124" t="s">
        <v>71</v>
      </c>
      <c r="C66" s="38">
        <f>SUM(Ikärakenne[[#This Row],[0–5-vuotiaat]:[16 vuotta täyttäneet]])</f>
        <v>46490</v>
      </c>
      <c r="D66" s="41">
        <v>2696</v>
      </c>
      <c r="E66" s="41">
        <v>471</v>
      </c>
      <c r="F66" s="41">
        <v>3229</v>
      </c>
      <c r="G66" s="41">
        <v>1723</v>
      </c>
      <c r="H66" s="41">
        <v>38371</v>
      </c>
      <c r="I66" s="41">
        <v>28047</v>
      </c>
      <c r="J66" s="136">
        <v>21997284.079999998</v>
      </c>
      <c r="K66" s="136">
        <v>4077804.96</v>
      </c>
      <c r="L66" s="136">
        <v>23349254.189999998</v>
      </c>
      <c r="M66" s="136">
        <v>21405880.030000001</v>
      </c>
      <c r="N66" s="136">
        <v>2449988.35</v>
      </c>
      <c r="O66" s="136">
        <v>2341363.56</v>
      </c>
      <c r="P66" s="178">
        <f>SUM(Ikärakenne[[#This Row],[Ikä 0–5]:[Ikä 18-64]])</f>
        <v>75621575.169999987</v>
      </c>
    </row>
    <row r="67" spans="1:16">
      <c r="A67" s="127">
        <v>202</v>
      </c>
      <c r="B67" s="124" t="s">
        <v>72</v>
      </c>
      <c r="C67" s="38">
        <f>SUM(Ikärakenne[[#This Row],[0–5-vuotiaat]:[16 vuotta täyttäneet]])</f>
        <v>36339</v>
      </c>
      <c r="D67" s="41">
        <v>2438</v>
      </c>
      <c r="E67" s="41">
        <v>414</v>
      </c>
      <c r="F67" s="41">
        <v>2769</v>
      </c>
      <c r="G67" s="41">
        <v>1490</v>
      </c>
      <c r="H67" s="41">
        <v>29228</v>
      </c>
      <c r="I67" s="41">
        <v>20500</v>
      </c>
      <c r="J67" s="136">
        <v>19892202.739999998</v>
      </c>
      <c r="K67" s="136">
        <v>3584312.64</v>
      </c>
      <c r="L67" s="136">
        <v>20022943.59</v>
      </c>
      <c r="M67" s="136">
        <v>18511178.900000002</v>
      </c>
      <c r="N67" s="136">
        <v>1866207.8</v>
      </c>
      <c r="O67" s="136">
        <v>1711340</v>
      </c>
      <c r="P67" s="178">
        <f>SUM(Ikärakenne[[#This Row],[Ikä 0–5]:[Ikä 18-64]])</f>
        <v>65588185.670000002</v>
      </c>
    </row>
    <row r="68" spans="1:16">
      <c r="A68" s="127">
        <v>204</v>
      </c>
      <c r="B68" s="124" t="s">
        <v>73</v>
      </c>
      <c r="C68" s="38">
        <f>SUM(Ikärakenne[[#This Row],[0–5-vuotiaat]:[16 vuotta täyttäneet]])</f>
        <v>2628</v>
      </c>
      <c r="D68" s="41">
        <v>87</v>
      </c>
      <c r="E68" s="41">
        <v>10</v>
      </c>
      <c r="F68" s="41">
        <v>129</v>
      </c>
      <c r="G68" s="41">
        <v>62</v>
      </c>
      <c r="H68" s="41">
        <v>2340</v>
      </c>
      <c r="I68" s="41">
        <v>1274</v>
      </c>
      <c r="J68" s="136">
        <v>709853.01</v>
      </c>
      <c r="K68" s="136">
        <v>86577.600000000006</v>
      </c>
      <c r="L68" s="136">
        <v>932813.19</v>
      </c>
      <c r="M68" s="136">
        <v>770263.82000000007</v>
      </c>
      <c r="N68" s="136">
        <v>149409</v>
      </c>
      <c r="O68" s="136">
        <v>106353.52</v>
      </c>
      <c r="P68" s="178">
        <f>SUM(Ikärakenne[[#This Row],[Ikä 0–5]:[Ikä 18-64]])</f>
        <v>2755270.14</v>
      </c>
    </row>
    <row r="69" spans="1:16">
      <c r="A69" s="127">
        <v>205</v>
      </c>
      <c r="B69" s="124" t="s">
        <v>74</v>
      </c>
      <c r="C69" s="38">
        <f>SUM(Ikärakenne[[#This Row],[0–5-vuotiaat]:[16 vuotta täyttäneet]])</f>
        <v>36513</v>
      </c>
      <c r="D69" s="41">
        <v>1763</v>
      </c>
      <c r="E69" s="41">
        <v>327</v>
      </c>
      <c r="F69" s="41">
        <v>2454</v>
      </c>
      <c r="G69" s="41">
        <v>1345</v>
      </c>
      <c r="H69" s="41">
        <v>30624</v>
      </c>
      <c r="I69" s="41">
        <v>20713</v>
      </c>
      <c r="J69" s="136">
        <v>14384722.489999998</v>
      </c>
      <c r="K69" s="136">
        <v>2831087.52</v>
      </c>
      <c r="L69" s="136">
        <v>17745143.939999998</v>
      </c>
      <c r="M69" s="136">
        <v>16709755.450000001</v>
      </c>
      <c r="N69" s="136">
        <v>1955342.4000000001</v>
      </c>
      <c r="O69" s="136">
        <v>1729121.24</v>
      </c>
      <c r="P69" s="178">
        <f>SUM(Ikärakenne[[#This Row],[Ikä 0–5]:[Ikä 18-64]])</f>
        <v>55355173.039999999</v>
      </c>
    </row>
    <row r="70" spans="1:16">
      <c r="A70" s="127">
        <v>208</v>
      </c>
      <c r="B70" s="124" t="s">
        <v>75</v>
      </c>
      <c r="C70" s="38">
        <f>SUM(Ikärakenne[[#This Row],[0–5-vuotiaat]:[16 vuotta täyttäneet]])</f>
        <v>12372</v>
      </c>
      <c r="D70" s="41">
        <v>699</v>
      </c>
      <c r="E70" s="41">
        <v>137</v>
      </c>
      <c r="F70" s="41">
        <v>955</v>
      </c>
      <c r="G70" s="41">
        <v>504</v>
      </c>
      <c r="H70" s="41">
        <v>10077</v>
      </c>
      <c r="I70" s="41">
        <v>6326</v>
      </c>
      <c r="J70" s="136">
        <v>5703301.7699999996</v>
      </c>
      <c r="K70" s="136">
        <v>1186113.1200000001</v>
      </c>
      <c r="L70" s="136">
        <v>6905710.0499999998</v>
      </c>
      <c r="M70" s="136">
        <v>6261499.4400000004</v>
      </c>
      <c r="N70" s="136">
        <v>643416.45000000007</v>
      </c>
      <c r="O70" s="136">
        <v>528094.48</v>
      </c>
      <c r="P70" s="178">
        <f>SUM(Ikärakenne[[#This Row],[Ikä 0–5]:[Ikä 18-64]])</f>
        <v>21228135.309999999</v>
      </c>
    </row>
    <row r="71" spans="1:16">
      <c r="A71" s="127">
        <v>211</v>
      </c>
      <c r="B71" s="124" t="s">
        <v>76</v>
      </c>
      <c r="C71" s="38">
        <f>SUM(Ikärakenne[[#This Row],[0–5-vuotiaat]:[16 vuotta täyttäneet]])</f>
        <v>33473</v>
      </c>
      <c r="D71" s="41">
        <v>2042</v>
      </c>
      <c r="E71" s="41">
        <v>382</v>
      </c>
      <c r="F71" s="41">
        <v>2624</v>
      </c>
      <c r="G71" s="41">
        <v>1373</v>
      </c>
      <c r="H71" s="41">
        <v>27052</v>
      </c>
      <c r="I71" s="41">
        <v>19045</v>
      </c>
      <c r="J71" s="136">
        <v>16661147.659999998</v>
      </c>
      <c r="K71" s="136">
        <v>3307264.3200000003</v>
      </c>
      <c r="L71" s="136">
        <v>18974432.640000001</v>
      </c>
      <c r="M71" s="136">
        <v>17057616.530000001</v>
      </c>
      <c r="N71" s="136">
        <v>1727270.2</v>
      </c>
      <c r="O71" s="136">
        <v>1589876.6</v>
      </c>
      <c r="P71" s="178">
        <f>SUM(Ikärakenne[[#This Row],[Ikä 0–5]:[Ikä 18-64]])</f>
        <v>59317607.950000003</v>
      </c>
    </row>
    <row r="72" spans="1:16">
      <c r="A72" s="127">
        <v>213</v>
      </c>
      <c r="B72" s="124" t="s">
        <v>77</v>
      </c>
      <c r="C72" s="38">
        <f>SUM(Ikärakenne[[#This Row],[0–5-vuotiaat]:[16 vuotta täyttäneet]])</f>
        <v>5114</v>
      </c>
      <c r="D72" s="41">
        <v>167</v>
      </c>
      <c r="E72" s="41">
        <v>36</v>
      </c>
      <c r="F72" s="41">
        <v>260</v>
      </c>
      <c r="G72" s="41">
        <v>138</v>
      </c>
      <c r="H72" s="41">
        <v>4513</v>
      </c>
      <c r="I72" s="41">
        <v>2435</v>
      </c>
      <c r="J72" s="136">
        <v>1362591.41</v>
      </c>
      <c r="K72" s="136">
        <v>311679.35999999999</v>
      </c>
      <c r="L72" s="136">
        <v>1880088.5999999999</v>
      </c>
      <c r="M72" s="136">
        <v>1714458.1800000002</v>
      </c>
      <c r="N72" s="136">
        <v>288155.05</v>
      </c>
      <c r="O72" s="136">
        <v>203273.80000000002</v>
      </c>
      <c r="P72" s="178">
        <f>SUM(Ikärakenne[[#This Row],[Ikä 0–5]:[Ikä 18-64]])</f>
        <v>5760246.4000000004</v>
      </c>
    </row>
    <row r="73" spans="1:16">
      <c r="A73" s="127">
        <v>214</v>
      </c>
      <c r="B73" s="124" t="s">
        <v>78</v>
      </c>
      <c r="C73" s="38">
        <f>SUM(Ikärakenne[[#This Row],[0–5-vuotiaat]:[16 vuotta täyttäneet]])</f>
        <v>12394</v>
      </c>
      <c r="D73" s="41">
        <v>548</v>
      </c>
      <c r="E73" s="41">
        <v>115</v>
      </c>
      <c r="F73" s="41">
        <v>783</v>
      </c>
      <c r="G73" s="41">
        <v>384</v>
      </c>
      <c r="H73" s="41">
        <v>10564</v>
      </c>
      <c r="I73" s="41">
        <v>6496</v>
      </c>
      <c r="J73" s="136">
        <v>4471258.04</v>
      </c>
      <c r="K73" s="136">
        <v>995642.4</v>
      </c>
      <c r="L73" s="136">
        <v>5661959.1299999999</v>
      </c>
      <c r="M73" s="136">
        <v>4770666.24</v>
      </c>
      <c r="N73" s="136">
        <v>674511.4</v>
      </c>
      <c r="O73" s="136">
        <v>542286.08000000007</v>
      </c>
      <c r="P73" s="178">
        <f>SUM(Ikärakenne[[#This Row],[Ikä 0–5]:[Ikä 18-64]])</f>
        <v>17116323.289999999</v>
      </c>
    </row>
    <row r="74" spans="1:16">
      <c r="A74" s="127">
        <v>216</v>
      </c>
      <c r="B74" s="124" t="s">
        <v>79</v>
      </c>
      <c r="C74" s="38">
        <f>SUM(Ikärakenne[[#This Row],[0–5-vuotiaat]:[16 vuotta täyttäneet]])</f>
        <v>1217</v>
      </c>
      <c r="D74" s="41">
        <v>48</v>
      </c>
      <c r="E74" s="41">
        <v>5</v>
      </c>
      <c r="F74" s="41">
        <v>55</v>
      </c>
      <c r="G74" s="41">
        <v>42</v>
      </c>
      <c r="H74" s="41">
        <v>1067</v>
      </c>
      <c r="I74" s="41">
        <v>569</v>
      </c>
      <c r="J74" s="136">
        <v>391643.04</v>
      </c>
      <c r="K74" s="136">
        <v>43288.800000000003</v>
      </c>
      <c r="L74" s="136">
        <v>397711.05</v>
      </c>
      <c r="M74" s="136">
        <v>521791.62</v>
      </c>
      <c r="N74" s="136">
        <v>68127.95</v>
      </c>
      <c r="O74" s="136">
        <v>47500.12</v>
      </c>
      <c r="P74" s="178">
        <f>SUM(Ikärakenne[[#This Row],[Ikä 0–5]:[Ikä 18-64]])</f>
        <v>1470062.5799999998</v>
      </c>
    </row>
    <row r="75" spans="1:16">
      <c r="A75" s="127">
        <v>217</v>
      </c>
      <c r="B75" s="124" t="s">
        <v>80</v>
      </c>
      <c r="C75" s="38">
        <f>SUM(Ikärakenne[[#This Row],[0–5-vuotiaat]:[16 vuotta täyttäneet]])</f>
        <v>5246</v>
      </c>
      <c r="D75" s="41">
        <v>285</v>
      </c>
      <c r="E75" s="41">
        <v>64</v>
      </c>
      <c r="F75" s="41">
        <v>432</v>
      </c>
      <c r="G75" s="41">
        <v>209</v>
      </c>
      <c r="H75" s="41">
        <v>4256</v>
      </c>
      <c r="I75" s="41">
        <v>2719</v>
      </c>
      <c r="J75" s="136">
        <v>2325380.5499999998</v>
      </c>
      <c r="K75" s="136">
        <v>554096.64000000001</v>
      </c>
      <c r="L75" s="136">
        <v>3123839.52</v>
      </c>
      <c r="M75" s="136">
        <v>2596534.4900000002</v>
      </c>
      <c r="N75" s="136">
        <v>271745.60000000003</v>
      </c>
      <c r="O75" s="136">
        <v>226982.12000000002</v>
      </c>
      <c r="P75" s="178">
        <f>SUM(Ikärakenne[[#This Row],[Ikä 0–5]:[Ikä 18-64]])</f>
        <v>9098578.9199999981</v>
      </c>
    </row>
    <row r="76" spans="1:16">
      <c r="A76" s="127">
        <v>218</v>
      </c>
      <c r="B76" s="124" t="s">
        <v>81</v>
      </c>
      <c r="C76" s="38">
        <f>SUM(Ikärakenne[[#This Row],[0–5-vuotiaat]:[16 vuotta täyttäneet]])</f>
        <v>1188</v>
      </c>
      <c r="D76" s="41">
        <v>37</v>
      </c>
      <c r="E76" s="41">
        <v>13</v>
      </c>
      <c r="F76" s="41">
        <v>67</v>
      </c>
      <c r="G76" s="41">
        <v>28</v>
      </c>
      <c r="H76" s="41">
        <v>1043</v>
      </c>
      <c r="I76" s="41">
        <v>571</v>
      </c>
      <c r="J76" s="136">
        <v>301891.51</v>
      </c>
      <c r="K76" s="136">
        <v>112550.88</v>
      </c>
      <c r="L76" s="136">
        <v>484484.37</v>
      </c>
      <c r="M76" s="136">
        <v>347861.08</v>
      </c>
      <c r="N76" s="136">
        <v>66595.55</v>
      </c>
      <c r="O76" s="136">
        <v>47667.08</v>
      </c>
      <c r="P76" s="178">
        <f>SUM(Ikärakenne[[#This Row],[Ikä 0–5]:[Ikä 18-64]])</f>
        <v>1361050.4700000002</v>
      </c>
    </row>
    <row r="77" spans="1:16">
      <c r="A77" s="127">
        <v>224</v>
      </c>
      <c r="B77" s="124" t="s">
        <v>82</v>
      </c>
      <c r="C77" s="38">
        <f>SUM(Ikärakenne[[#This Row],[0–5-vuotiaat]:[16 vuotta täyttäneet]])</f>
        <v>8581</v>
      </c>
      <c r="D77" s="41">
        <v>318</v>
      </c>
      <c r="E77" s="41">
        <v>82</v>
      </c>
      <c r="F77" s="41">
        <v>557</v>
      </c>
      <c r="G77" s="41">
        <v>338</v>
      </c>
      <c r="H77" s="41">
        <v>7286</v>
      </c>
      <c r="I77" s="41">
        <v>4632</v>
      </c>
      <c r="J77" s="136">
        <v>2594635.1399999997</v>
      </c>
      <c r="K77" s="136">
        <v>709936.32000000007</v>
      </c>
      <c r="L77" s="136">
        <v>4027728.27</v>
      </c>
      <c r="M77" s="136">
        <v>4199180.1800000006</v>
      </c>
      <c r="N77" s="136">
        <v>465211.10000000003</v>
      </c>
      <c r="O77" s="136">
        <v>386679.36000000004</v>
      </c>
      <c r="P77" s="178">
        <f>SUM(Ikärakenne[[#This Row],[Ikä 0–5]:[Ikä 18-64]])</f>
        <v>12383370.369999999</v>
      </c>
    </row>
    <row r="78" spans="1:16">
      <c r="A78" s="127">
        <v>226</v>
      </c>
      <c r="B78" s="124" t="s">
        <v>83</v>
      </c>
      <c r="C78" s="38">
        <f>SUM(Ikärakenne[[#This Row],[0–5-vuotiaat]:[16 vuotta täyttäneet]])</f>
        <v>3625</v>
      </c>
      <c r="D78" s="41">
        <v>115</v>
      </c>
      <c r="E78" s="41">
        <v>18</v>
      </c>
      <c r="F78" s="41">
        <v>193</v>
      </c>
      <c r="G78" s="41">
        <v>110</v>
      </c>
      <c r="H78" s="41">
        <v>3189</v>
      </c>
      <c r="I78" s="41">
        <v>1718</v>
      </c>
      <c r="J78" s="136">
        <v>938311.45</v>
      </c>
      <c r="K78" s="136">
        <v>155839.67999999999</v>
      </c>
      <c r="L78" s="136">
        <v>1395604.23</v>
      </c>
      <c r="M78" s="136">
        <v>1366597.1</v>
      </c>
      <c r="N78" s="136">
        <v>203617.65</v>
      </c>
      <c r="O78" s="136">
        <v>143418.64000000001</v>
      </c>
      <c r="P78" s="178">
        <f>SUM(Ikärakenne[[#This Row],[Ikä 0–5]:[Ikä 18-64]])</f>
        <v>4203388.75</v>
      </c>
    </row>
    <row r="79" spans="1:16">
      <c r="A79" s="127">
        <v>230</v>
      </c>
      <c r="B79" s="124" t="s">
        <v>84</v>
      </c>
      <c r="C79" s="38">
        <f>SUM(Ikärakenne[[#This Row],[0–5-vuotiaat]:[16 vuotta täyttäneet]])</f>
        <v>2216</v>
      </c>
      <c r="D79" s="41">
        <v>88</v>
      </c>
      <c r="E79" s="41">
        <v>21</v>
      </c>
      <c r="F79" s="41">
        <v>128</v>
      </c>
      <c r="G79" s="41">
        <v>58</v>
      </c>
      <c r="H79" s="41">
        <v>1921</v>
      </c>
      <c r="I79" s="41">
        <v>1096</v>
      </c>
      <c r="J79" s="136">
        <v>718012.24</v>
      </c>
      <c r="K79" s="136">
        <v>181812.96</v>
      </c>
      <c r="L79" s="136">
        <v>925582.08</v>
      </c>
      <c r="M79" s="136">
        <v>720569.38</v>
      </c>
      <c r="N79" s="136">
        <v>122655.85</v>
      </c>
      <c r="O79" s="136">
        <v>91494.080000000002</v>
      </c>
      <c r="P79" s="178">
        <f>SUM(Ikärakenne[[#This Row],[Ikä 0–5]:[Ikä 18-64]])</f>
        <v>2760126.59</v>
      </c>
    </row>
    <row r="80" spans="1:16">
      <c r="A80" s="127">
        <v>231</v>
      </c>
      <c r="B80" s="124" t="s">
        <v>85</v>
      </c>
      <c r="C80" s="38">
        <f>SUM(Ikärakenne[[#This Row],[0–5-vuotiaat]:[16 vuotta täyttäneet]])</f>
        <v>1208</v>
      </c>
      <c r="D80" s="41">
        <v>39</v>
      </c>
      <c r="E80" s="41">
        <v>14</v>
      </c>
      <c r="F80" s="41">
        <v>74</v>
      </c>
      <c r="G80" s="41">
        <v>29</v>
      </c>
      <c r="H80" s="41">
        <v>1052</v>
      </c>
      <c r="I80" s="41">
        <v>520</v>
      </c>
      <c r="J80" s="136">
        <v>318209.96999999997</v>
      </c>
      <c r="K80" s="136">
        <v>121208.64</v>
      </c>
      <c r="L80" s="136">
        <v>535102.14</v>
      </c>
      <c r="M80" s="136">
        <v>360284.69</v>
      </c>
      <c r="N80" s="136">
        <v>67170.2</v>
      </c>
      <c r="O80" s="136">
        <v>43409.599999999999</v>
      </c>
      <c r="P80" s="178">
        <f>SUM(Ikärakenne[[#This Row],[Ikä 0–5]:[Ikä 18-64]])</f>
        <v>1445385.24</v>
      </c>
    </row>
    <row r="81" spans="1:16">
      <c r="A81" s="127">
        <v>232</v>
      </c>
      <c r="B81" s="124" t="s">
        <v>86</v>
      </c>
      <c r="C81" s="38">
        <f>SUM(Ikärakenne[[#This Row],[0–5-vuotiaat]:[16 vuotta täyttäneet]])</f>
        <v>12618</v>
      </c>
      <c r="D81" s="41">
        <v>534</v>
      </c>
      <c r="E81" s="41">
        <v>128</v>
      </c>
      <c r="F81" s="41">
        <v>825</v>
      </c>
      <c r="G81" s="41">
        <v>483</v>
      </c>
      <c r="H81" s="41">
        <v>10648</v>
      </c>
      <c r="I81" s="41">
        <v>6580</v>
      </c>
      <c r="J81" s="136">
        <v>4357028.8199999994</v>
      </c>
      <c r="K81" s="136">
        <v>1108193.28</v>
      </c>
      <c r="L81" s="136">
        <v>5965665.75</v>
      </c>
      <c r="M81" s="136">
        <v>6000603.6299999999</v>
      </c>
      <c r="N81" s="136">
        <v>679874.8</v>
      </c>
      <c r="O81" s="136">
        <v>549298.4</v>
      </c>
      <c r="P81" s="178">
        <f>SUM(Ikärakenne[[#This Row],[Ikä 0–5]:[Ikä 18-64]])</f>
        <v>18660664.68</v>
      </c>
    </row>
    <row r="82" spans="1:16">
      <c r="A82" s="127">
        <v>233</v>
      </c>
      <c r="B82" s="124" t="s">
        <v>87</v>
      </c>
      <c r="C82" s="38">
        <f>SUM(Ikärakenne[[#This Row],[0–5-vuotiaat]:[16 vuotta täyttäneet]])</f>
        <v>15165</v>
      </c>
      <c r="D82" s="41">
        <v>653</v>
      </c>
      <c r="E82" s="41">
        <v>134</v>
      </c>
      <c r="F82" s="41">
        <v>983</v>
      </c>
      <c r="G82" s="41">
        <v>572</v>
      </c>
      <c r="H82" s="41">
        <v>12823</v>
      </c>
      <c r="I82" s="41">
        <v>7756</v>
      </c>
      <c r="J82" s="136">
        <v>5327977.1899999995</v>
      </c>
      <c r="K82" s="136">
        <v>1160139.8400000001</v>
      </c>
      <c r="L82" s="136">
        <v>7108181.1299999999</v>
      </c>
      <c r="M82" s="136">
        <v>7106304.9199999999</v>
      </c>
      <c r="N82" s="136">
        <v>818748.55</v>
      </c>
      <c r="O82" s="136">
        <v>647470.88</v>
      </c>
      <c r="P82" s="178">
        <f>SUM(Ikärakenne[[#This Row],[Ikä 0–5]:[Ikä 18-64]])</f>
        <v>22168822.509999998</v>
      </c>
    </row>
    <row r="83" spans="1:16">
      <c r="A83" s="127">
        <v>235</v>
      </c>
      <c r="B83" s="124" t="s">
        <v>88</v>
      </c>
      <c r="C83" s="38">
        <f>SUM(Ikärakenne[[#This Row],[0–5-vuotiaat]:[16 vuotta täyttäneet]])</f>
        <v>10270</v>
      </c>
      <c r="D83" s="41">
        <v>570</v>
      </c>
      <c r="E83" s="41">
        <v>104</v>
      </c>
      <c r="F83" s="41">
        <v>806</v>
      </c>
      <c r="G83" s="41">
        <v>461</v>
      </c>
      <c r="H83" s="41">
        <v>8329</v>
      </c>
      <c r="I83" s="41">
        <v>5608</v>
      </c>
      <c r="J83" s="136">
        <v>4650761.0999999996</v>
      </c>
      <c r="K83" s="136">
        <v>900407.04</v>
      </c>
      <c r="L83" s="136">
        <v>5828274.6600000001</v>
      </c>
      <c r="M83" s="136">
        <v>5727284.21</v>
      </c>
      <c r="N83" s="136">
        <v>531806.65</v>
      </c>
      <c r="O83" s="136">
        <v>468155.84</v>
      </c>
      <c r="P83" s="178">
        <f>SUM(Ikärakenne[[#This Row],[Ikä 0–5]:[Ikä 18-64]])</f>
        <v>18106689.5</v>
      </c>
    </row>
    <row r="84" spans="1:16">
      <c r="A84" s="127">
        <v>236</v>
      </c>
      <c r="B84" s="124" t="s">
        <v>89</v>
      </c>
      <c r="C84" s="38">
        <f>SUM(Ikärakenne[[#This Row],[0–5-vuotiaat]:[16 vuotta täyttäneet]])</f>
        <v>4137</v>
      </c>
      <c r="D84" s="41">
        <v>212</v>
      </c>
      <c r="E84" s="41">
        <v>44</v>
      </c>
      <c r="F84" s="41">
        <v>353</v>
      </c>
      <c r="G84" s="41">
        <v>162</v>
      </c>
      <c r="H84" s="41">
        <v>3366</v>
      </c>
      <c r="I84" s="41">
        <v>2175</v>
      </c>
      <c r="J84" s="136">
        <v>1729756.76</v>
      </c>
      <c r="K84" s="136">
        <v>380941.44</v>
      </c>
      <c r="L84" s="136">
        <v>2552581.83</v>
      </c>
      <c r="M84" s="136">
        <v>2012624.82</v>
      </c>
      <c r="N84" s="136">
        <v>214919.1</v>
      </c>
      <c r="O84" s="136">
        <v>181569</v>
      </c>
      <c r="P84" s="178">
        <f>SUM(Ikärakenne[[#This Row],[Ikä 0–5]:[Ikä 18-64]])</f>
        <v>7072392.9500000002</v>
      </c>
    </row>
    <row r="85" spans="1:16">
      <c r="A85" s="127">
        <v>239</v>
      </c>
      <c r="B85" s="124" t="s">
        <v>90</v>
      </c>
      <c r="C85" s="38">
        <f>SUM(Ikärakenne[[#This Row],[0–5-vuotiaat]:[16 vuotta täyttäneet]])</f>
        <v>2035</v>
      </c>
      <c r="D85" s="41">
        <v>72</v>
      </c>
      <c r="E85" s="41">
        <v>20</v>
      </c>
      <c r="F85" s="41">
        <v>91</v>
      </c>
      <c r="G85" s="41">
        <v>53</v>
      </c>
      <c r="H85" s="41">
        <v>1799</v>
      </c>
      <c r="I85" s="41">
        <v>916</v>
      </c>
      <c r="J85" s="136">
        <v>587464.55999999994</v>
      </c>
      <c r="K85" s="136">
        <v>173155.20000000001</v>
      </c>
      <c r="L85" s="136">
        <v>658031.01</v>
      </c>
      <c r="M85" s="136">
        <v>658451.33000000007</v>
      </c>
      <c r="N85" s="136">
        <v>114866.15000000001</v>
      </c>
      <c r="O85" s="136">
        <v>76467.680000000008</v>
      </c>
      <c r="P85" s="178">
        <f>SUM(Ikärakenne[[#This Row],[Ikä 0–5]:[Ikä 18-64]])</f>
        <v>2268435.9300000002</v>
      </c>
    </row>
    <row r="86" spans="1:16">
      <c r="A86" s="127">
        <v>240</v>
      </c>
      <c r="B86" s="124" t="s">
        <v>91</v>
      </c>
      <c r="C86" s="38">
        <f>SUM(Ikärakenne[[#This Row],[0–5-vuotiaat]:[16 vuotta täyttäneet]])</f>
        <v>19371</v>
      </c>
      <c r="D86" s="41">
        <v>797</v>
      </c>
      <c r="E86" s="41">
        <v>170</v>
      </c>
      <c r="F86" s="41">
        <v>1176</v>
      </c>
      <c r="G86" s="41">
        <v>679</v>
      </c>
      <c r="H86" s="41">
        <v>16549</v>
      </c>
      <c r="I86" s="41">
        <v>10154</v>
      </c>
      <c r="J86" s="136">
        <v>6502906.3099999996</v>
      </c>
      <c r="K86" s="136">
        <v>1471819.2</v>
      </c>
      <c r="L86" s="136">
        <v>8503785.3599999994</v>
      </c>
      <c r="M86" s="136">
        <v>8435631.1899999995</v>
      </c>
      <c r="N86" s="136">
        <v>1056653.6500000001</v>
      </c>
      <c r="O86" s="136">
        <v>847655.92</v>
      </c>
      <c r="P86" s="178">
        <f>SUM(Ikärakenne[[#This Row],[Ikä 0–5]:[Ikä 18-64]])</f>
        <v>26818451.629999999</v>
      </c>
    </row>
    <row r="87" spans="1:16">
      <c r="A87" s="127">
        <v>241</v>
      </c>
      <c r="B87" s="124" t="s">
        <v>92</v>
      </c>
      <c r="C87" s="38">
        <f>SUM(Ikärakenne[[#This Row],[0–5-vuotiaat]:[16 vuotta täyttäneet]])</f>
        <v>7691</v>
      </c>
      <c r="D87" s="41">
        <v>385</v>
      </c>
      <c r="E87" s="41">
        <v>75</v>
      </c>
      <c r="F87" s="41">
        <v>565</v>
      </c>
      <c r="G87" s="41">
        <v>287</v>
      </c>
      <c r="H87" s="41">
        <v>6379</v>
      </c>
      <c r="I87" s="41">
        <v>4056</v>
      </c>
      <c r="J87" s="136">
        <v>3141303.55</v>
      </c>
      <c r="K87" s="136">
        <v>649332</v>
      </c>
      <c r="L87" s="136">
        <v>4085577.15</v>
      </c>
      <c r="M87" s="136">
        <v>3565576.0700000003</v>
      </c>
      <c r="N87" s="136">
        <v>407299.15</v>
      </c>
      <c r="O87" s="136">
        <v>338594.88</v>
      </c>
      <c r="P87" s="178">
        <f>SUM(Ikärakenne[[#This Row],[Ikä 0–5]:[Ikä 18-64]])</f>
        <v>12187682.800000001</v>
      </c>
    </row>
    <row r="88" spans="1:16">
      <c r="A88" s="127">
        <v>244</v>
      </c>
      <c r="B88" s="124" t="s">
        <v>93</v>
      </c>
      <c r="C88" s="38">
        <f>SUM(Ikärakenne[[#This Row],[0–5-vuotiaat]:[16 vuotta täyttäneet]])</f>
        <v>19514</v>
      </c>
      <c r="D88" s="41">
        <v>1512</v>
      </c>
      <c r="E88" s="41">
        <v>307</v>
      </c>
      <c r="F88" s="41">
        <v>1899</v>
      </c>
      <c r="G88" s="41">
        <v>1033</v>
      </c>
      <c r="H88" s="41">
        <v>14763</v>
      </c>
      <c r="I88" s="41">
        <v>10860</v>
      </c>
      <c r="J88" s="136">
        <v>12336755.76</v>
      </c>
      <c r="K88" s="136">
        <v>2657932.3200000003</v>
      </c>
      <c r="L88" s="136">
        <v>13731877.889999999</v>
      </c>
      <c r="M88" s="136">
        <v>12833589.130000001</v>
      </c>
      <c r="N88" s="136">
        <v>942617.55</v>
      </c>
      <c r="O88" s="136">
        <v>906592.8</v>
      </c>
      <c r="P88" s="178">
        <f>SUM(Ikärakenne[[#This Row],[Ikä 0–5]:[Ikä 18-64]])</f>
        <v>43409365.449999996</v>
      </c>
    </row>
    <row r="89" spans="1:16">
      <c r="A89" s="127">
        <v>245</v>
      </c>
      <c r="B89" s="124" t="s">
        <v>94</v>
      </c>
      <c r="C89" s="38">
        <f>SUM(Ikärakenne[[#This Row],[0–5-vuotiaat]:[16 vuotta täyttäneet]])</f>
        <v>38211</v>
      </c>
      <c r="D89" s="41">
        <v>2134</v>
      </c>
      <c r="E89" s="41">
        <v>410</v>
      </c>
      <c r="F89" s="41">
        <v>2525</v>
      </c>
      <c r="G89" s="41">
        <v>1363</v>
      </c>
      <c r="H89" s="41">
        <v>31779</v>
      </c>
      <c r="I89" s="41">
        <v>22972</v>
      </c>
      <c r="J89" s="136">
        <v>17411796.82</v>
      </c>
      <c r="K89" s="136">
        <v>3549681.6</v>
      </c>
      <c r="L89" s="136">
        <v>18258552.75</v>
      </c>
      <c r="M89" s="136">
        <v>16933380.43</v>
      </c>
      <c r="N89" s="136">
        <v>2029089.1500000001</v>
      </c>
      <c r="O89" s="136">
        <v>1917702.56</v>
      </c>
      <c r="P89" s="178">
        <f>SUM(Ikärakenne[[#This Row],[Ikä 0–5]:[Ikä 18-64]])</f>
        <v>60100203.310000002</v>
      </c>
    </row>
    <row r="90" spans="1:16">
      <c r="A90" s="127">
        <v>249</v>
      </c>
      <c r="B90" s="124" t="s">
        <v>95</v>
      </c>
      <c r="C90" s="38">
        <f>SUM(Ikärakenne[[#This Row],[0–5-vuotiaat]:[16 vuotta täyttäneet]])</f>
        <v>9184</v>
      </c>
      <c r="D90" s="41">
        <v>325</v>
      </c>
      <c r="E90" s="41">
        <v>63</v>
      </c>
      <c r="F90" s="41">
        <v>560</v>
      </c>
      <c r="G90" s="41">
        <v>300</v>
      </c>
      <c r="H90" s="41">
        <v>7936</v>
      </c>
      <c r="I90" s="41">
        <v>4412</v>
      </c>
      <c r="J90" s="136">
        <v>2651749.75</v>
      </c>
      <c r="K90" s="136">
        <v>545438.88</v>
      </c>
      <c r="L90" s="136">
        <v>4049421.5999999996</v>
      </c>
      <c r="M90" s="136">
        <v>3727083</v>
      </c>
      <c r="N90" s="136">
        <v>506713.60000000003</v>
      </c>
      <c r="O90" s="136">
        <v>368313.76</v>
      </c>
      <c r="P90" s="178">
        <f>SUM(Ikärakenne[[#This Row],[Ikä 0–5]:[Ikä 18-64]])</f>
        <v>11848720.59</v>
      </c>
    </row>
    <row r="91" spans="1:16">
      <c r="A91" s="127">
        <v>250</v>
      </c>
      <c r="B91" s="124" t="s">
        <v>96</v>
      </c>
      <c r="C91" s="38">
        <f>SUM(Ikärakenne[[#This Row],[0–5-vuotiaat]:[16 vuotta täyttäneet]])</f>
        <v>1749</v>
      </c>
      <c r="D91" s="41">
        <v>58</v>
      </c>
      <c r="E91" s="41">
        <v>9</v>
      </c>
      <c r="F91" s="41">
        <v>106</v>
      </c>
      <c r="G91" s="41">
        <v>49</v>
      </c>
      <c r="H91" s="41">
        <v>1527</v>
      </c>
      <c r="I91" s="41">
        <v>844</v>
      </c>
      <c r="J91" s="136">
        <v>473235.33999999997</v>
      </c>
      <c r="K91" s="136">
        <v>77919.839999999997</v>
      </c>
      <c r="L91" s="136">
        <v>766497.65999999992</v>
      </c>
      <c r="M91" s="136">
        <v>608756.89</v>
      </c>
      <c r="N91" s="136">
        <v>97498.95</v>
      </c>
      <c r="O91" s="136">
        <v>70457.12000000001</v>
      </c>
      <c r="P91" s="178">
        <f>SUM(Ikärakenne[[#This Row],[Ikä 0–5]:[Ikä 18-64]])</f>
        <v>2094365.8</v>
      </c>
    </row>
    <row r="92" spans="1:16">
      <c r="A92" s="127">
        <v>256</v>
      </c>
      <c r="B92" s="124" t="s">
        <v>97</v>
      </c>
      <c r="C92" s="38">
        <f>SUM(Ikärakenne[[#This Row],[0–5-vuotiaat]:[16 vuotta täyttäneet]])</f>
        <v>1523</v>
      </c>
      <c r="D92" s="41">
        <v>93</v>
      </c>
      <c r="E92" s="41">
        <v>21</v>
      </c>
      <c r="F92" s="41">
        <v>116</v>
      </c>
      <c r="G92" s="41">
        <v>56</v>
      </c>
      <c r="H92" s="41">
        <v>1237</v>
      </c>
      <c r="I92" s="41">
        <v>665</v>
      </c>
      <c r="J92" s="136">
        <v>758808.39</v>
      </c>
      <c r="K92" s="136">
        <v>181812.96</v>
      </c>
      <c r="L92" s="136">
        <v>838808.76</v>
      </c>
      <c r="M92" s="136">
        <v>695722.16</v>
      </c>
      <c r="N92" s="136">
        <v>78982.45</v>
      </c>
      <c r="O92" s="136">
        <v>55514.200000000004</v>
      </c>
      <c r="P92" s="178">
        <f>SUM(Ikärakenne[[#This Row],[Ikä 0–5]:[Ikä 18-64]])</f>
        <v>2609648.9200000004</v>
      </c>
    </row>
    <row r="93" spans="1:16">
      <c r="A93" s="127">
        <v>257</v>
      </c>
      <c r="B93" s="124" t="s">
        <v>98</v>
      </c>
      <c r="C93" s="38">
        <f>SUM(Ikärakenne[[#This Row],[0–5-vuotiaat]:[16 vuotta täyttäneet]])</f>
        <v>41154</v>
      </c>
      <c r="D93" s="41">
        <v>2406</v>
      </c>
      <c r="E93" s="41">
        <v>449</v>
      </c>
      <c r="F93" s="41">
        <v>3153</v>
      </c>
      <c r="G93" s="41">
        <v>1781</v>
      </c>
      <c r="H93" s="41">
        <v>33365</v>
      </c>
      <c r="I93" s="41">
        <v>24763</v>
      </c>
      <c r="J93" s="136">
        <v>19631107.379999999</v>
      </c>
      <c r="K93" s="136">
        <v>3887334.24</v>
      </c>
      <c r="L93" s="136">
        <v>22799689.829999998</v>
      </c>
      <c r="M93" s="136">
        <v>22126449.41</v>
      </c>
      <c r="N93" s="136">
        <v>2130355.25</v>
      </c>
      <c r="O93" s="136">
        <v>2067215.24</v>
      </c>
      <c r="P93" s="178">
        <f>SUM(Ikärakenne[[#This Row],[Ikä 0–5]:[Ikä 18-64]])</f>
        <v>72642151.349999994</v>
      </c>
    </row>
    <row r="94" spans="1:16">
      <c r="A94" s="127">
        <v>260</v>
      </c>
      <c r="B94" s="124" t="s">
        <v>99</v>
      </c>
      <c r="C94" s="38">
        <f>SUM(Ikärakenne[[#This Row],[0–5-vuotiaat]:[16 vuotta täyttäneet]])</f>
        <v>9689</v>
      </c>
      <c r="D94" s="41">
        <v>270</v>
      </c>
      <c r="E94" s="41">
        <v>68</v>
      </c>
      <c r="F94" s="41">
        <v>510</v>
      </c>
      <c r="G94" s="41">
        <v>259</v>
      </c>
      <c r="H94" s="41">
        <v>8582</v>
      </c>
      <c r="I94" s="41">
        <v>4509</v>
      </c>
      <c r="J94" s="136">
        <v>2202992.1</v>
      </c>
      <c r="K94" s="136">
        <v>588727.68000000005</v>
      </c>
      <c r="L94" s="136">
        <v>3687866.0999999996</v>
      </c>
      <c r="M94" s="136">
        <v>3217714.99</v>
      </c>
      <c r="N94" s="136">
        <v>547960.70000000007</v>
      </c>
      <c r="O94" s="136">
        <v>376411.32</v>
      </c>
      <c r="P94" s="178">
        <f>SUM(Ikärakenne[[#This Row],[Ikä 0–5]:[Ikä 18-64]])</f>
        <v>10621672.890000001</v>
      </c>
    </row>
    <row r="95" spans="1:16">
      <c r="A95" s="127">
        <v>261</v>
      </c>
      <c r="B95" s="124" t="s">
        <v>100</v>
      </c>
      <c r="C95" s="38">
        <f>SUM(Ikärakenne[[#This Row],[0–5-vuotiaat]:[16 vuotta täyttäneet]])</f>
        <v>6822</v>
      </c>
      <c r="D95" s="41">
        <v>343</v>
      </c>
      <c r="E95" s="41">
        <v>68</v>
      </c>
      <c r="F95" s="41">
        <v>442</v>
      </c>
      <c r="G95" s="41">
        <v>223</v>
      </c>
      <c r="H95" s="41">
        <v>5746</v>
      </c>
      <c r="I95" s="41">
        <v>4137</v>
      </c>
      <c r="J95" s="136">
        <v>2798615.8899999997</v>
      </c>
      <c r="K95" s="136">
        <v>588727.68000000005</v>
      </c>
      <c r="L95" s="136">
        <v>3196150.6199999996</v>
      </c>
      <c r="M95" s="136">
        <v>2770465.0300000003</v>
      </c>
      <c r="N95" s="136">
        <v>366882.10000000003</v>
      </c>
      <c r="O95" s="136">
        <v>345356.76</v>
      </c>
      <c r="P95" s="178">
        <f>SUM(Ikärakenne[[#This Row],[Ikä 0–5]:[Ikä 18-64]])</f>
        <v>10066198.079999998</v>
      </c>
    </row>
    <row r="96" spans="1:16">
      <c r="A96" s="127">
        <v>263</v>
      </c>
      <c r="B96" s="124" t="s">
        <v>101</v>
      </c>
      <c r="C96" s="38">
        <f>SUM(Ikärakenne[[#This Row],[0–5-vuotiaat]:[16 vuotta täyttäneet]])</f>
        <v>7475</v>
      </c>
      <c r="D96" s="41">
        <v>369</v>
      </c>
      <c r="E96" s="41">
        <v>70</v>
      </c>
      <c r="F96" s="41">
        <v>455</v>
      </c>
      <c r="G96" s="41">
        <v>232</v>
      </c>
      <c r="H96" s="41">
        <v>6349</v>
      </c>
      <c r="I96" s="41">
        <v>3690</v>
      </c>
      <c r="J96" s="136">
        <v>3010755.8699999996</v>
      </c>
      <c r="K96" s="136">
        <v>606043.20000000007</v>
      </c>
      <c r="L96" s="136">
        <v>3290155.05</v>
      </c>
      <c r="M96" s="136">
        <v>2882277.52</v>
      </c>
      <c r="N96" s="136">
        <v>405383.65</v>
      </c>
      <c r="O96" s="136">
        <v>308041.2</v>
      </c>
      <c r="P96" s="178">
        <f>SUM(Ikärakenne[[#This Row],[Ikä 0–5]:[Ikä 18-64]])</f>
        <v>10502656.489999998</v>
      </c>
    </row>
    <row r="97" spans="1:16">
      <c r="A97" s="127">
        <v>265</v>
      </c>
      <c r="B97" s="124" t="s">
        <v>102</v>
      </c>
      <c r="C97" s="38">
        <f>SUM(Ikärakenne[[#This Row],[0–5-vuotiaat]:[16 vuotta täyttäneet]])</f>
        <v>1035</v>
      </c>
      <c r="D97" s="41">
        <v>53</v>
      </c>
      <c r="E97" s="41">
        <v>8</v>
      </c>
      <c r="F97" s="41">
        <v>53</v>
      </c>
      <c r="G97" s="41">
        <v>30</v>
      </c>
      <c r="H97" s="41">
        <v>891</v>
      </c>
      <c r="I97" s="41">
        <v>461</v>
      </c>
      <c r="J97" s="136">
        <v>432439.19</v>
      </c>
      <c r="K97" s="136">
        <v>69262.080000000002</v>
      </c>
      <c r="L97" s="136">
        <v>383248.82999999996</v>
      </c>
      <c r="M97" s="136">
        <v>372708.30000000005</v>
      </c>
      <c r="N97" s="136">
        <v>56890.35</v>
      </c>
      <c r="O97" s="136">
        <v>38484.28</v>
      </c>
      <c r="P97" s="178">
        <f>SUM(Ikärakenne[[#This Row],[Ikä 0–5]:[Ikä 18-64]])</f>
        <v>1353033.03</v>
      </c>
    </row>
    <row r="98" spans="1:16">
      <c r="A98" s="127">
        <v>271</v>
      </c>
      <c r="B98" s="124" t="s">
        <v>103</v>
      </c>
      <c r="C98" s="38">
        <f>SUM(Ikärakenne[[#This Row],[0–5-vuotiaat]:[16 vuotta täyttäneet]])</f>
        <v>6766</v>
      </c>
      <c r="D98" s="41">
        <v>262</v>
      </c>
      <c r="E98" s="41">
        <v>66</v>
      </c>
      <c r="F98" s="41">
        <v>354</v>
      </c>
      <c r="G98" s="41">
        <v>212</v>
      </c>
      <c r="H98" s="41">
        <v>5872</v>
      </c>
      <c r="I98" s="41">
        <v>3496</v>
      </c>
      <c r="J98" s="136">
        <v>2137718.2599999998</v>
      </c>
      <c r="K98" s="136">
        <v>571412.16</v>
      </c>
      <c r="L98" s="136">
        <v>2559812.94</v>
      </c>
      <c r="M98" s="136">
        <v>2633805.3200000003</v>
      </c>
      <c r="N98" s="136">
        <v>374927.2</v>
      </c>
      <c r="O98" s="136">
        <v>291846.08</v>
      </c>
      <c r="P98" s="178">
        <f>SUM(Ikärakenne[[#This Row],[Ikä 0–5]:[Ikä 18-64]])</f>
        <v>8569521.959999999</v>
      </c>
    </row>
    <row r="99" spans="1:16">
      <c r="A99" s="127">
        <v>272</v>
      </c>
      <c r="B99" s="124" t="s">
        <v>104</v>
      </c>
      <c r="C99" s="38">
        <f>SUM(Ikärakenne[[#This Row],[0–5-vuotiaat]:[16 vuotta täyttäneet]])</f>
        <v>48295</v>
      </c>
      <c r="D99" s="41">
        <v>2985</v>
      </c>
      <c r="E99" s="41">
        <v>560</v>
      </c>
      <c r="F99" s="41">
        <v>3829</v>
      </c>
      <c r="G99" s="41">
        <v>1924</v>
      </c>
      <c r="H99" s="41">
        <v>38997</v>
      </c>
      <c r="I99" s="41">
        <v>26560</v>
      </c>
      <c r="J99" s="136">
        <v>24355301.549999997</v>
      </c>
      <c r="K99" s="136">
        <v>4848345.6000000006</v>
      </c>
      <c r="L99" s="136">
        <v>27687920.189999998</v>
      </c>
      <c r="M99" s="136">
        <v>23903025.640000001</v>
      </c>
      <c r="N99" s="136">
        <v>2489958.4500000002</v>
      </c>
      <c r="O99" s="136">
        <v>2217228.8000000003</v>
      </c>
      <c r="P99" s="178">
        <f>SUM(Ikärakenne[[#This Row],[Ikä 0–5]:[Ikä 18-64]])</f>
        <v>85501780.229999989</v>
      </c>
    </row>
    <row r="100" spans="1:16">
      <c r="A100" s="127">
        <v>273</v>
      </c>
      <c r="B100" s="124" t="s">
        <v>105</v>
      </c>
      <c r="C100" s="38">
        <f>SUM(Ikärakenne[[#This Row],[0–5-vuotiaat]:[16 vuotta täyttäneet]])</f>
        <v>4011</v>
      </c>
      <c r="D100" s="41">
        <v>186</v>
      </c>
      <c r="E100" s="41">
        <v>44</v>
      </c>
      <c r="F100" s="41">
        <v>287</v>
      </c>
      <c r="G100" s="41">
        <v>135</v>
      </c>
      <c r="H100" s="41">
        <v>3359</v>
      </c>
      <c r="I100" s="41">
        <v>2167</v>
      </c>
      <c r="J100" s="136">
        <v>1517616.78</v>
      </c>
      <c r="K100" s="136">
        <v>380941.44</v>
      </c>
      <c r="L100" s="136">
        <v>2075328.5699999998</v>
      </c>
      <c r="M100" s="136">
        <v>1677187.35</v>
      </c>
      <c r="N100" s="136">
        <v>214472.15</v>
      </c>
      <c r="O100" s="136">
        <v>180901.16</v>
      </c>
      <c r="P100" s="178">
        <f>SUM(Ikärakenne[[#This Row],[Ikä 0–5]:[Ikä 18-64]])</f>
        <v>6046447.4500000011</v>
      </c>
    </row>
    <row r="101" spans="1:16">
      <c r="A101" s="127">
        <v>275</v>
      </c>
      <c r="B101" s="124" t="s">
        <v>106</v>
      </c>
      <c r="C101" s="38">
        <f>SUM(Ikärakenne[[#This Row],[0–5-vuotiaat]:[16 vuotta täyttäneet]])</f>
        <v>2499</v>
      </c>
      <c r="D101" s="41">
        <v>93</v>
      </c>
      <c r="E101" s="41">
        <v>23</v>
      </c>
      <c r="F101" s="41">
        <v>133</v>
      </c>
      <c r="G101" s="41">
        <v>92</v>
      </c>
      <c r="H101" s="41">
        <v>2158</v>
      </c>
      <c r="I101" s="41">
        <v>1195</v>
      </c>
      <c r="J101" s="136">
        <v>758808.39</v>
      </c>
      <c r="K101" s="136">
        <v>199128.48</v>
      </c>
      <c r="L101" s="136">
        <v>961737.63</v>
      </c>
      <c r="M101" s="136">
        <v>1142972.1200000001</v>
      </c>
      <c r="N101" s="136">
        <v>137788.30000000002</v>
      </c>
      <c r="O101" s="136">
        <v>99758.6</v>
      </c>
      <c r="P101" s="178">
        <f>SUM(Ikärakenne[[#This Row],[Ikä 0–5]:[Ikä 18-64]])</f>
        <v>3300193.52</v>
      </c>
    </row>
    <row r="102" spans="1:16">
      <c r="A102" s="127">
        <v>276</v>
      </c>
      <c r="B102" s="124" t="s">
        <v>107</v>
      </c>
      <c r="C102" s="38">
        <f>SUM(Ikärakenne[[#This Row],[0–5-vuotiaat]:[16 vuotta täyttäneet]])</f>
        <v>15136</v>
      </c>
      <c r="D102" s="41">
        <v>1022</v>
      </c>
      <c r="E102" s="41">
        <v>183</v>
      </c>
      <c r="F102" s="41">
        <v>1380</v>
      </c>
      <c r="G102" s="41">
        <v>703</v>
      </c>
      <c r="H102" s="41">
        <v>11848</v>
      </c>
      <c r="I102" s="41">
        <v>8538</v>
      </c>
      <c r="J102" s="136">
        <v>8338733.0599999996</v>
      </c>
      <c r="K102" s="136">
        <v>1584370.08</v>
      </c>
      <c r="L102" s="136">
        <v>9978931.7999999989</v>
      </c>
      <c r="M102" s="136">
        <v>8733797.8300000001</v>
      </c>
      <c r="N102" s="136">
        <v>756494.8</v>
      </c>
      <c r="O102" s="136">
        <v>712752.24</v>
      </c>
      <c r="P102" s="178">
        <f>SUM(Ikärakenne[[#This Row],[Ikä 0–5]:[Ikä 18-64]])</f>
        <v>30105079.809999995</v>
      </c>
    </row>
    <row r="103" spans="1:16">
      <c r="A103" s="127">
        <v>280</v>
      </c>
      <c r="B103" s="124" t="s">
        <v>108</v>
      </c>
      <c r="C103" s="38">
        <f>SUM(Ikärakenne[[#This Row],[0–5-vuotiaat]:[16 vuotta täyttäneet]])</f>
        <v>2015</v>
      </c>
      <c r="D103" s="41">
        <v>80</v>
      </c>
      <c r="E103" s="41">
        <v>23</v>
      </c>
      <c r="F103" s="41">
        <v>130</v>
      </c>
      <c r="G103" s="41">
        <v>75</v>
      </c>
      <c r="H103" s="41">
        <v>1707</v>
      </c>
      <c r="I103" s="41">
        <v>1051</v>
      </c>
      <c r="J103" s="136">
        <v>652738.39999999991</v>
      </c>
      <c r="K103" s="136">
        <v>199128.48</v>
      </c>
      <c r="L103" s="136">
        <v>940044.29999999993</v>
      </c>
      <c r="M103" s="136">
        <v>931770.75</v>
      </c>
      <c r="N103" s="136">
        <v>108991.95</v>
      </c>
      <c r="O103" s="136">
        <v>87737.48000000001</v>
      </c>
      <c r="P103" s="178">
        <f>SUM(Ikärakenne[[#This Row],[Ikä 0–5]:[Ikä 18-64]])</f>
        <v>2920411.36</v>
      </c>
    </row>
    <row r="104" spans="1:16">
      <c r="A104" s="127">
        <v>284</v>
      </c>
      <c r="B104" s="124" t="s">
        <v>109</v>
      </c>
      <c r="C104" s="38">
        <f>SUM(Ikärakenne[[#This Row],[0–5-vuotiaat]:[16 vuotta täyttäneet]])</f>
        <v>2207</v>
      </c>
      <c r="D104" s="41">
        <v>91</v>
      </c>
      <c r="E104" s="41">
        <v>14</v>
      </c>
      <c r="F104" s="41">
        <v>126</v>
      </c>
      <c r="G104" s="41">
        <v>71</v>
      </c>
      <c r="H104" s="41">
        <v>1905</v>
      </c>
      <c r="I104" s="41">
        <v>1113</v>
      </c>
      <c r="J104" s="136">
        <v>742489.92999999993</v>
      </c>
      <c r="K104" s="136">
        <v>121208.64</v>
      </c>
      <c r="L104" s="136">
        <v>911119.86</v>
      </c>
      <c r="M104" s="136">
        <v>882076.31</v>
      </c>
      <c r="N104" s="136">
        <v>121634.25</v>
      </c>
      <c r="O104" s="136">
        <v>92913.24</v>
      </c>
      <c r="P104" s="178">
        <f>SUM(Ikärakenne[[#This Row],[Ikä 0–5]:[Ikä 18-64]])</f>
        <v>2871442.2300000004</v>
      </c>
    </row>
    <row r="105" spans="1:16">
      <c r="A105" s="127">
        <v>285</v>
      </c>
      <c r="B105" s="124" t="s">
        <v>110</v>
      </c>
      <c r="C105" s="38">
        <f>SUM(Ikärakenne[[#This Row],[0–5-vuotiaat]:[16 vuotta täyttäneet]])</f>
        <v>50500</v>
      </c>
      <c r="D105" s="41">
        <v>1911</v>
      </c>
      <c r="E105" s="41">
        <v>374</v>
      </c>
      <c r="F105" s="41">
        <v>2787</v>
      </c>
      <c r="G105" s="41">
        <v>1608</v>
      </c>
      <c r="H105" s="41">
        <v>43820</v>
      </c>
      <c r="I105" s="41">
        <v>28188</v>
      </c>
      <c r="J105" s="136">
        <v>15592288.529999999</v>
      </c>
      <c r="K105" s="136">
        <v>3238002.24</v>
      </c>
      <c r="L105" s="136">
        <v>20153103.57</v>
      </c>
      <c r="M105" s="136">
        <v>19977164.880000003</v>
      </c>
      <c r="N105" s="136">
        <v>2797907</v>
      </c>
      <c r="O105" s="136">
        <v>2353134.2400000002</v>
      </c>
      <c r="P105" s="178">
        <f>SUM(Ikärakenne[[#This Row],[Ikä 0–5]:[Ikä 18-64]])</f>
        <v>64111600.460000008</v>
      </c>
    </row>
    <row r="106" spans="1:16">
      <c r="A106" s="127">
        <v>286</v>
      </c>
      <c r="B106" s="124" t="s">
        <v>111</v>
      </c>
      <c r="C106" s="38">
        <f>SUM(Ikärakenne[[#This Row],[0–5-vuotiaat]:[16 vuotta täyttäneet]])</f>
        <v>78880</v>
      </c>
      <c r="D106" s="41">
        <v>3063</v>
      </c>
      <c r="E106" s="41">
        <v>628</v>
      </c>
      <c r="F106" s="41">
        <v>4423</v>
      </c>
      <c r="G106" s="41">
        <v>2413</v>
      </c>
      <c r="H106" s="41">
        <v>68353</v>
      </c>
      <c r="I106" s="41">
        <v>42941</v>
      </c>
      <c r="J106" s="136">
        <v>24991721.489999998</v>
      </c>
      <c r="K106" s="136">
        <v>5437073.2800000003</v>
      </c>
      <c r="L106" s="136">
        <v>31983199.529999997</v>
      </c>
      <c r="M106" s="136">
        <v>29978170.93</v>
      </c>
      <c r="N106" s="136">
        <v>4364339.05</v>
      </c>
      <c r="O106" s="136">
        <v>3584714.68</v>
      </c>
      <c r="P106" s="178">
        <f>SUM(Ikärakenne[[#This Row],[Ikä 0–5]:[Ikä 18-64]])</f>
        <v>100339218.95999999</v>
      </c>
    </row>
    <row r="107" spans="1:16">
      <c r="A107" s="127">
        <v>287</v>
      </c>
      <c r="B107" s="124" t="s">
        <v>112</v>
      </c>
      <c r="C107" s="38">
        <f>SUM(Ikärakenne[[#This Row],[0–5-vuotiaat]:[16 vuotta täyttäneet]])</f>
        <v>6199</v>
      </c>
      <c r="D107" s="41">
        <v>249</v>
      </c>
      <c r="E107" s="41">
        <v>48</v>
      </c>
      <c r="F107" s="41">
        <v>325</v>
      </c>
      <c r="G107" s="41">
        <v>193</v>
      </c>
      <c r="H107" s="41">
        <v>5384</v>
      </c>
      <c r="I107" s="41">
        <v>2949</v>
      </c>
      <c r="J107" s="136">
        <v>2031648.2699999998</v>
      </c>
      <c r="K107" s="136">
        <v>415572.47999999998</v>
      </c>
      <c r="L107" s="136">
        <v>2350110.75</v>
      </c>
      <c r="M107" s="136">
        <v>2397756.73</v>
      </c>
      <c r="N107" s="136">
        <v>343768.4</v>
      </c>
      <c r="O107" s="136">
        <v>246182.52000000002</v>
      </c>
      <c r="P107" s="178">
        <f>SUM(Ikärakenne[[#This Row],[Ikä 0–5]:[Ikä 18-64]])</f>
        <v>7785039.1500000004</v>
      </c>
    </row>
    <row r="108" spans="1:16">
      <c r="A108" s="127">
        <v>288</v>
      </c>
      <c r="B108" s="124" t="s">
        <v>113</v>
      </c>
      <c r="C108" s="38">
        <f>SUM(Ikärakenne[[#This Row],[0–5-vuotiaat]:[16 vuotta täyttäneet]])</f>
        <v>6368</v>
      </c>
      <c r="D108" s="41">
        <v>354</v>
      </c>
      <c r="E108" s="41">
        <v>75</v>
      </c>
      <c r="F108" s="41">
        <v>441</v>
      </c>
      <c r="G108" s="41">
        <v>276</v>
      </c>
      <c r="H108" s="41">
        <v>5222</v>
      </c>
      <c r="I108" s="41">
        <v>3371</v>
      </c>
      <c r="J108" s="136">
        <v>2888367.42</v>
      </c>
      <c r="K108" s="136">
        <v>649332</v>
      </c>
      <c r="L108" s="136">
        <v>3188919.51</v>
      </c>
      <c r="M108" s="136">
        <v>3428916.3600000003</v>
      </c>
      <c r="N108" s="136">
        <v>333424.7</v>
      </c>
      <c r="O108" s="136">
        <v>281411.08</v>
      </c>
      <c r="P108" s="178">
        <f>SUM(Ikärakenne[[#This Row],[Ikä 0–5]:[Ikä 18-64]])</f>
        <v>10770371.069999998</v>
      </c>
    </row>
    <row r="109" spans="1:16">
      <c r="A109" s="127">
        <v>290</v>
      </c>
      <c r="B109" s="124" t="s">
        <v>114</v>
      </c>
      <c r="C109" s="38">
        <f>SUM(Ikärakenne[[#This Row],[0–5-vuotiaat]:[16 vuotta täyttäneet]])</f>
        <v>7582</v>
      </c>
      <c r="D109" s="41">
        <v>211</v>
      </c>
      <c r="E109" s="41">
        <v>50</v>
      </c>
      <c r="F109" s="41">
        <v>337</v>
      </c>
      <c r="G109" s="41">
        <v>222</v>
      </c>
      <c r="H109" s="41">
        <v>6762</v>
      </c>
      <c r="I109" s="41">
        <v>3592</v>
      </c>
      <c r="J109" s="136">
        <v>1721597.5299999998</v>
      </c>
      <c r="K109" s="136">
        <v>432888</v>
      </c>
      <c r="L109" s="136">
        <v>2436884.0699999998</v>
      </c>
      <c r="M109" s="136">
        <v>2758041.42</v>
      </c>
      <c r="N109" s="136">
        <v>431753.7</v>
      </c>
      <c r="O109" s="136">
        <v>299860.16000000003</v>
      </c>
      <c r="P109" s="178">
        <f>SUM(Ikärakenne[[#This Row],[Ikä 0–5]:[Ikä 18-64]])</f>
        <v>8081024.8799999999</v>
      </c>
    </row>
    <row r="110" spans="1:16">
      <c r="A110" s="127">
        <v>291</v>
      </c>
      <c r="B110" s="124" t="s">
        <v>115</v>
      </c>
      <c r="C110" s="38">
        <f>SUM(Ikärakenne[[#This Row],[0–5-vuotiaat]:[16 vuotta täyttäneet]])</f>
        <v>2092</v>
      </c>
      <c r="D110" s="41">
        <v>56</v>
      </c>
      <c r="E110" s="41">
        <v>7</v>
      </c>
      <c r="F110" s="41">
        <v>78</v>
      </c>
      <c r="G110" s="41">
        <v>47</v>
      </c>
      <c r="H110" s="41">
        <v>1904</v>
      </c>
      <c r="I110" s="41">
        <v>909</v>
      </c>
      <c r="J110" s="136">
        <v>456916.88</v>
      </c>
      <c r="K110" s="136">
        <v>60604.32</v>
      </c>
      <c r="L110" s="136">
        <v>564026.57999999996</v>
      </c>
      <c r="M110" s="136">
        <v>583909.67000000004</v>
      </c>
      <c r="N110" s="136">
        <v>121570.40000000001</v>
      </c>
      <c r="O110" s="136">
        <v>75883.320000000007</v>
      </c>
      <c r="P110" s="178">
        <f>SUM(Ikärakenne[[#This Row],[Ikä 0–5]:[Ikä 18-64]])</f>
        <v>1862911.1700000002</v>
      </c>
    </row>
    <row r="111" spans="1:16">
      <c r="A111" s="127">
        <v>297</v>
      </c>
      <c r="B111" s="124" t="s">
        <v>116</v>
      </c>
      <c r="C111" s="38">
        <f>SUM(Ikärakenne[[#This Row],[0–5-vuotiaat]:[16 vuotta täyttäneet]])</f>
        <v>124021</v>
      </c>
      <c r="D111" s="41">
        <v>6217</v>
      </c>
      <c r="E111" s="41">
        <v>1081</v>
      </c>
      <c r="F111" s="41">
        <v>7556</v>
      </c>
      <c r="G111" s="41">
        <v>3690</v>
      </c>
      <c r="H111" s="41">
        <v>105477</v>
      </c>
      <c r="I111" s="41">
        <v>75100</v>
      </c>
      <c r="J111" s="136">
        <v>50725932.909999996</v>
      </c>
      <c r="K111" s="136">
        <v>9359038.5600000005</v>
      </c>
      <c r="L111" s="136">
        <v>54638267.159999996</v>
      </c>
      <c r="M111" s="136">
        <v>45843120.899999999</v>
      </c>
      <c r="N111" s="136">
        <v>6734706.4500000002</v>
      </c>
      <c r="O111" s="136">
        <v>6269348</v>
      </c>
      <c r="P111" s="178">
        <f>SUM(Ikärakenne[[#This Row],[Ikä 0–5]:[Ikä 18-64]])</f>
        <v>173570413.97999999</v>
      </c>
    </row>
    <row r="112" spans="1:16">
      <c r="A112" s="124">
        <v>300</v>
      </c>
      <c r="B112" s="124" t="s">
        <v>117</v>
      </c>
      <c r="C112" s="38">
        <f>SUM(Ikärakenne[[#This Row],[0–5-vuotiaat]:[16 vuotta täyttäneet]])</f>
        <v>3381</v>
      </c>
      <c r="D112" s="38">
        <v>123</v>
      </c>
      <c r="E112" s="38">
        <v>33</v>
      </c>
      <c r="F112" s="38">
        <v>185</v>
      </c>
      <c r="G112" s="38">
        <v>123</v>
      </c>
      <c r="H112" s="38">
        <v>2917</v>
      </c>
      <c r="I112" s="41">
        <v>1654</v>
      </c>
      <c r="J112" s="136">
        <v>1003585.2899999999</v>
      </c>
      <c r="K112" s="136">
        <v>285706.08</v>
      </c>
      <c r="L112" s="136">
        <v>1337755.3499999999</v>
      </c>
      <c r="M112" s="136">
        <v>1528104.03</v>
      </c>
      <c r="N112" s="136">
        <v>186250.45</v>
      </c>
      <c r="O112" s="136">
        <v>138075.92000000001</v>
      </c>
      <c r="P112" s="178">
        <f>SUM(Ikärakenne[[#This Row],[Ikä 0–5]:[Ikä 18-64]])</f>
        <v>4479477.12</v>
      </c>
    </row>
    <row r="113" spans="1:16">
      <c r="A113" s="127">
        <v>301</v>
      </c>
      <c r="B113" s="124" t="s">
        <v>118</v>
      </c>
      <c r="C113" s="38">
        <f>SUM(Ikärakenne[[#This Row],[0–5-vuotiaat]:[16 vuotta täyttäneet]])</f>
        <v>19759</v>
      </c>
      <c r="D113" s="41">
        <v>847</v>
      </c>
      <c r="E113" s="41">
        <v>195</v>
      </c>
      <c r="F113" s="41">
        <v>1282</v>
      </c>
      <c r="G113" s="41">
        <v>721</v>
      </c>
      <c r="H113" s="41">
        <v>16714</v>
      </c>
      <c r="I113" s="41">
        <v>9970</v>
      </c>
      <c r="J113" s="136">
        <v>6910867.8099999996</v>
      </c>
      <c r="K113" s="136">
        <v>1688263.2</v>
      </c>
      <c r="L113" s="136">
        <v>9270283.0199999996</v>
      </c>
      <c r="M113" s="136">
        <v>8957422.8100000005</v>
      </c>
      <c r="N113" s="136">
        <v>1067188.9000000001</v>
      </c>
      <c r="O113" s="136">
        <v>832295.60000000009</v>
      </c>
      <c r="P113" s="178">
        <f>SUM(Ikärakenne[[#This Row],[Ikä 0–5]:[Ikä 18-64]])</f>
        <v>28726321.340000004</v>
      </c>
    </row>
    <row r="114" spans="1:16">
      <c r="A114" s="127">
        <v>304</v>
      </c>
      <c r="B114" s="124" t="s">
        <v>119</v>
      </c>
      <c r="C114" s="38">
        <f>SUM(Ikärakenne[[#This Row],[0–5-vuotiaat]:[16 vuotta täyttäneet]])</f>
        <v>949</v>
      </c>
      <c r="D114" s="38">
        <v>20</v>
      </c>
      <c r="E114" s="135">
        <v>6</v>
      </c>
      <c r="F114" s="135">
        <v>35</v>
      </c>
      <c r="G114" s="135">
        <v>18</v>
      </c>
      <c r="H114" s="135">
        <v>870</v>
      </c>
      <c r="I114" s="41">
        <v>459</v>
      </c>
      <c r="J114" s="136">
        <v>163184.59999999998</v>
      </c>
      <c r="K114" s="136">
        <v>51946.559999999998</v>
      </c>
      <c r="L114" s="136">
        <v>253088.84999999998</v>
      </c>
      <c r="M114" s="136">
        <v>223624.98</v>
      </c>
      <c r="N114" s="136">
        <v>55549.5</v>
      </c>
      <c r="O114" s="136">
        <v>38317.32</v>
      </c>
      <c r="P114" s="178">
        <f>SUM(Ikärakenne[[#This Row],[Ikä 0–5]:[Ikä 18-64]])</f>
        <v>785711.80999999994</v>
      </c>
    </row>
    <row r="115" spans="1:16">
      <c r="A115" s="127">
        <v>305</v>
      </c>
      <c r="B115" s="124" t="s">
        <v>120</v>
      </c>
      <c r="C115" s="38">
        <f>SUM(Ikärakenne[[#This Row],[0–5-vuotiaat]:[16 vuotta täyttäneet]])</f>
        <v>15019</v>
      </c>
      <c r="D115" s="41">
        <v>624</v>
      </c>
      <c r="E115" s="41">
        <v>133</v>
      </c>
      <c r="F115" s="41">
        <v>994</v>
      </c>
      <c r="G115" s="41">
        <v>540</v>
      </c>
      <c r="H115" s="41">
        <v>12728</v>
      </c>
      <c r="I115" s="41">
        <v>7791</v>
      </c>
      <c r="J115" s="136">
        <v>5091359.5199999996</v>
      </c>
      <c r="K115" s="136">
        <v>1151482.08</v>
      </c>
      <c r="L115" s="136">
        <v>7187723.3399999999</v>
      </c>
      <c r="M115" s="136">
        <v>6708749.4000000004</v>
      </c>
      <c r="N115" s="136">
        <v>812682.8</v>
      </c>
      <c r="O115" s="136">
        <v>650392.68000000005</v>
      </c>
      <c r="P115" s="178">
        <f>SUM(Ikärakenne[[#This Row],[Ikä 0–5]:[Ikä 18-64]])</f>
        <v>21602389.82</v>
      </c>
    </row>
    <row r="116" spans="1:16">
      <c r="A116" s="127">
        <v>309</v>
      </c>
      <c r="B116" s="124" t="s">
        <v>121</v>
      </c>
      <c r="C116" s="38">
        <f>SUM(Ikärakenne[[#This Row],[0–5-vuotiaat]:[16 vuotta täyttäneet]])</f>
        <v>6409</v>
      </c>
      <c r="D116" s="41">
        <v>206</v>
      </c>
      <c r="E116" s="41">
        <v>49</v>
      </c>
      <c r="F116" s="41">
        <v>408</v>
      </c>
      <c r="G116" s="41">
        <v>205</v>
      </c>
      <c r="H116" s="41">
        <v>5541</v>
      </c>
      <c r="I116" s="41">
        <v>3175</v>
      </c>
      <c r="J116" s="136">
        <v>1680801.38</v>
      </c>
      <c r="K116" s="136">
        <v>424230.24</v>
      </c>
      <c r="L116" s="136">
        <v>2950292.88</v>
      </c>
      <c r="M116" s="136">
        <v>2546840.0500000003</v>
      </c>
      <c r="N116" s="136">
        <v>353792.85000000003</v>
      </c>
      <c r="O116" s="136">
        <v>265049</v>
      </c>
      <c r="P116" s="178">
        <f>SUM(Ikärakenne[[#This Row],[Ikä 0–5]:[Ikä 18-64]])</f>
        <v>8221006.4000000004</v>
      </c>
    </row>
    <row r="117" spans="1:16">
      <c r="A117" s="127">
        <v>312</v>
      </c>
      <c r="B117" s="124" t="s">
        <v>122</v>
      </c>
      <c r="C117" s="38">
        <f>SUM(Ikärakenne[[#This Row],[0–5-vuotiaat]:[16 vuotta täyttäneet]])</f>
        <v>1174</v>
      </c>
      <c r="D117" s="41">
        <v>53</v>
      </c>
      <c r="E117" s="41">
        <v>6</v>
      </c>
      <c r="F117" s="41">
        <v>93</v>
      </c>
      <c r="G117" s="41">
        <v>45</v>
      </c>
      <c r="H117" s="41">
        <v>977</v>
      </c>
      <c r="I117" s="41">
        <v>503</v>
      </c>
      <c r="J117" s="136">
        <v>432439.19</v>
      </c>
      <c r="K117" s="136">
        <v>51946.559999999998</v>
      </c>
      <c r="L117" s="136">
        <v>672493.23</v>
      </c>
      <c r="M117" s="136">
        <v>559062.45000000007</v>
      </c>
      <c r="N117" s="136">
        <v>62381.450000000004</v>
      </c>
      <c r="O117" s="136">
        <v>41990.44</v>
      </c>
      <c r="P117" s="178">
        <f>SUM(Ikärakenne[[#This Row],[Ikä 0–5]:[Ikä 18-64]])</f>
        <v>1820313.32</v>
      </c>
    </row>
    <row r="118" spans="1:16">
      <c r="A118" s="127">
        <v>316</v>
      </c>
      <c r="B118" s="124" t="s">
        <v>123</v>
      </c>
      <c r="C118" s="38">
        <f>SUM(Ikärakenne[[#This Row],[0–5-vuotiaat]:[16 vuotta täyttäneet]])</f>
        <v>4114</v>
      </c>
      <c r="D118" s="41">
        <v>150</v>
      </c>
      <c r="E118" s="41">
        <v>30</v>
      </c>
      <c r="F118" s="41">
        <v>246</v>
      </c>
      <c r="G118" s="41">
        <v>127</v>
      </c>
      <c r="H118" s="41">
        <v>3561</v>
      </c>
      <c r="I118" s="41">
        <v>2262</v>
      </c>
      <c r="J118" s="136">
        <v>1223884.5</v>
      </c>
      <c r="K118" s="136">
        <v>259732.80000000002</v>
      </c>
      <c r="L118" s="136">
        <v>1778853.0599999998</v>
      </c>
      <c r="M118" s="136">
        <v>1577798.47</v>
      </c>
      <c r="N118" s="136">
        <v>227369.85</v>
      </c>
      <c r="O118" s="136">
        <v>188831.76</v>
      </c>
      <c r="P118" s="178">
        <f>SUM(Ikärakenne[[#This Row],[Ikä 0–5]:[Ikä 18-64]])</f>
        <v>5256470.4399999995</v>
      </c>
    </row>
    <row r="119" spans="1:16">
      <c r="A119" s="127">
        <v>317</v>
      </c>
      <c r="B119" s="124" t="s">
        <v>124</v>
      </c>
      <c r="C119" s="38">
        <f>SUM(Ikärakenne[[#This Row],[0–5-vuotiaat]:[16 vuotta täyttäneet]])</f>
        <v>2440</v>
      </c>
      <c r="D119" s="41">
        <v>128</v>
      </c>
      <c r="E119" s="41">
        <v>22</v>
      </c>
      <c r="F119" s="41">
        <v>182</v>
      </c>
      <c r="G119" s="41">
        <v>118</v>
      </c>
      <c r="H119" s="41">
        <v>1990</v>
      </c>
      <c r="I119" s="41">
        <v>1174</v>
      </c>
      <c r="J119" s="136">
        <v>1044381.44</v>
      </c>
      <c r="K119" s="136">
        <v>190470.72</v>
      </c>
      <c r="L119" s="136">
        <v>1316062.02</v>
      </c>
      <c r="M119" s="136">
        <v>1465985.98</v>
      </c>
      <c r="N119" s="136">
        <v>127061.5</v>
      </c>
      <c r="O119" s="136">
        <v>98005.52</v>
      </c>
      <c r="P119" s="178">
        <f>SUM(Ikärakenne[[#This Row],[Ikä 0–5]:[Ikä 18-64]])</f>
        <v>4241967.18</v>
      </c>
    </row>
    <row r="120" spans="1:16">
      <c r="A120" s="127">
        <v>320</v>
      </c>
      <c r="B120" s="124" t="s">
        <v>125</v>
      </c>
      <c r="C120" s="38">
        <f>SUM(Ikärakenne[[#This Row],[0–5-vuotiaat]:[16 vuotta täyttäneet]])</f>
        <v>7030</v>
      </c>
      <c r="D120" s="41">
        <v>240</v>
      </c>
      <c r="E120" s="41">
        <v>40</v>
      </c>
      <c r="F120" s="41">
        <v>300</v>
      </c>
      <c r="G120" s="41">
        <v>169</v>
      </c>
      <c r="H120" s="41">
        <v>6281</v>
      </c>
      <c r="I120" s="41">
        <v>3265</v>
      </c>
      <c r="J120" s="136">
        <v>1958215.2</v>
      </c>
      <c r="K120" s="136">
        <v>346310.40000000002</v>
      </c>
      <c r="L120" s="136">
        <v>2169333</v>
      </c>
      <c r="M120" s="136">
        <v>2099590.0900000003</v>
      </c>
      <c r="N120" s="136">
        <v>401041.85000000003</v>
      </c>
      <c r="O120" s="136">
        <v>272562.2</v>
      </c>
      <c r="P120" s="178">
        <f>SUM(Ikärakenne[[#This Row],[Ikä 0–5]:[Ikä 18-64]])</f>
        <v>7247052.7399999993</v>
      </c>
    </row>
    <row r="121" spans="1:16">
      <c r="A121" s="127">
        <v>322</v>
      </c>
      <c r="B121" s="124" t="s">
        <v>126</v>
      </c>
      <c r="C121" s="38">
        <f>SUM(Ikärakenne[[#This Row],[0–5-vuotiaat]:[16 vuotta täyttäneet]])</f>
        <v>6462</v>
      </c>
      <c r="D121" s="41">
        <v>241</v>
      </c>
      <c r="E121" s="41">
        <v>46</v>
      </c>
      <c r="F121" s="41">
        <v>338</v>
      </c>
      <c r="G121" s="41">
        <v>185</v>
      </c>
      <c r="H121" s="41">
        <v>5652</v>
      </c>
      <c r="I121" s="41">
        <v>3191</v>
      </c>
      <c r="J121" s="136">
        <v>1966374.43</v>
      </c>
      <c r="K121" s="136">
        <v>398256.96</v>
      </c>
      <c r="L121" s="136">
        <v>2444115.1799999997</v>
      </c>
      <c r="M121" s="136">
        <v>2298367.85</v>
      </c>
      <c r="N121" s="136">
        <v>360880.2</v>
      </c>
      <c r="O121" s="136">
        <v>266384.68</v>
      </c>
      <c r="P121" s="178">
        <f>SUM(Ikärakenne[[#This Row],[Ikä 0–5]:[Ikä 18-64]])</f>
        <v>7734379.2999999998</v>
      </c>
    </row>
    <row r="122" spans="1:16">
      <c r="A122" s="127">
        <v>398</v>
      </c>
      <c r="B122" s="124" t="s">
        <v>127</v>
      </c>
      <c r="C122" s="38">
        <f>SUM(Ikärakenne[[#This Row],[0–5-vuotiaat]:[16 vuotta täyttäneet]])</f>
        <v>120693</v>
      </c>
      <c r="D122" s="41">
        <v>5666</v>
      </c>
      <c r="E122" s="41">
        <v>1039</v>
      </c>
      <c r="F122" s="41">
        <v>7133</v>
      </c>
      <c r="G122" s="41">
        <v>3930</v>
      </c>
      <c r="H122" s="41">
        <v>102925</v>
      </c>
      <c r="I122" s="41">
        <v>69442</v>
      </c>
      <c r="J122" s="136">
        <v>46230197.18</v>
      </c>
      <c r="K122" s="136">
        <v>8995412.6400000006</v>
      </c>
      <c r="L122" s="136">
        <v>51579507.629999995</v>
      </c>
      <c r="M122" s="136">
        <v>48824787.300000004</v>
      </c>
      <c r="N122" s="136">
        <v>6571761.25</v>
      </c>
      <c r="O122" s="136">
        <v>5797018.1600000001</v>
      </c>
      <c r="P122" s="178">
        <f>SUM(Ikärakenne[[#This Row],[Ikä 0–5]:[Ikä 18-64]])</f>
        <v>167998684.16</v>
      </c>
    </row>
    <row r="123" spans="1:16">
      <c r="A123" s="127">
        <v>399</v>
      </c>
      <c r="B123" s="124" t="s">
        <v>128</v>
      </c>
      <c r="C123" s="38">
        <f>SUM(Ikärakenne[[#This Row],[0–5-vuotiaat]:[16 vuotta täyttäneet]])</f>
        <v>7682</v>
      </c>
      <c r="D123" s="38">
        <v>372</v>
      </c>
      <c r="E123" s="135">
        <v>104</v>
      </c>
      <c r="F123" s="135">
        <v>682</v>
      </c>
      <c r="G123" s="135">
        <v>380</v>
      </c>
      <c r="H123" s="135">
        <v>6144</v>
      </c>
      <c r="I123" s="41">
        <v>4032</v>
      </c>
      <c r="J123" s="136">
        <v>3035233.56</v>
      </c>
      <c r="K123" s="136">
        <v>900407.04</v>
      </c>
      <c r="L123" s="136">
        <v>4931617.0199999996</v>
      </c>
      <c r="M123" s="136">
        <v>4720971.8</v>
      </c>
      <c r="N123" s="136">
        <v>392294.40000000002</v>
      </c>
      <c r="O123" s="136">
        <v>336591.36000000004</v>
      </c>
      <c r="P123" s="178">
        <f>SUM(Ikärakenne[[#This Row],[Ikä 0–5]:[Ikä 18-64]])</f>
        <v>14317115.179999998</v>
      </c>
    </row>
    <row r="124" spans="1:16">
      <c r="A124" s="127">
        <v>400</v>
      </c>
      <c r="B124" s="124" t="s">
        <v>129</v>
      </c>
      <c r="C124" s="38">
        <f>SUM(Ikärakenne[[#This Row],[0–5-vuotiaat]:[16 vuotta täyttäneet]])</f>
        <v>8441</v>
      </c>
      <c r="D124" s="41">
        <v>397</v>
      </c>
      <c r="E124" s="41">
        <v>90</v>
      </c>
      <c r="F124" s="41">
        <v>632</v>
      </c>
      <c r="G124" s="41">
        <v>343</v>
      </c>
      <c r="H124" s="41">
        <v>6979</v>
      </c>
      <c r="I124" s="41">
        <v>4609</v>
      </c>
      <c r="J124" s="136">
        <v>3239214.31</v>
      </c>
      <c r="K124" s="136">
        <v>779198.4</v>
      </c>
      <c r="L124" s="136">
        <v>4570061.5199999996</v>
      </c>
      <c r="M124" s="136">
        <v>4261298.2300000004</v>
      </c>
      <c r="N124" s="136">
        <v>445609.15</v>
      </c>
      <c r="O124" s="136">
        <v>384759.32</v>
      </c>
      <c r="P124" s="178">
        <f>SUM(Ikärakenne[[#This Row],[Ikä 0–5]:[Ikä 18-64]])</f>
        <v>13680140.930000002</v>
      </c>
    </row>
    <row r="125" spans="1:16">
      <c r="A125" s="127">
        <v>402</v>
      </c>
      <c r="B125" s="124" t="s">
        <v>130</v>
      </c>
      <c r="C125" s="38">
        <f>SUM(Ikärakenne[[#This Row],[0–5-vuotiaat]:[16 vuotta täyttäneet]])</f>
        <v>8975</v>
      </c>
      <c r="D125" s="41">
        <v>375</v>
      </c>
      <c r="E125" s="41">
        <v>78</v>
      </c>
      <c r="F125" s="41">
        <v>556</v>
      </c>
      <c r="G125" s="41">
        <v>358</v>
      </c>
      <c r="H125" s="41">
        <v>7608</v>
      </c>
      <c r="I125" s="41">
        <v>4699</v>
      </c>
      <c r="J125" s="136">
        <v>3059711.25</v>
      </c>
      <c r="K125" s="136">
        <v>675305.28</v>
      </c>
      <c r="L125" s="136">
        <v>4020497.1599999997</v>
      </c>
      <c r="M125" s="136">
        <v>4447652.38</v>
      </c>
      <c r="N125" s="136">
        <v>485770.8</v>
      </c>
      <c r="O125" s="136">
        <v>392272.52</v>
      </c>
      <c r="P125" s="178">
        <f>SUM(Ikärakenne[[#This Row],[Ikä 0–5]:[Ikä 18-64]])</f>
        <v>13081209.390000001</v>
      </c>
    </row>
    <row r="126" spans="1:16">
      <c r="A126" s="127">
        <v>403</v>
      </c>
      <c r="B126" s="124" t="s">
        <v>131</v>
      </c>
      <c r="C126" s="38">
        <f>SUM(Ikärakenne[[#This Row],[0–5-vuotiaat]:[16 vuotta täyttäneet]])</f>
        <v>2789</v>
      </c>
      <c r="D126" s="41">
        <v>109</v>
      </c>
      <c r="E126" s="41">
        <v>22</v>
      </c>
      <c r="F126" s="41">
        <v>187</v>
      </c>
      <c r="G126" s="41">
        <v>85</v>
      </c>
      <c r="H126" s="41">
        <v>2386</v>
      </c>
      <c r="I126" s="41">
        <v>1256</v>
      </c>
      <c r="J126" s="136">
        <v>889356.07</v>
      </c>
      <c r="K126" s="136">
        <v>190470.72</v>
      </c>
      <c r="L126" s="136">
        <v>1352217.5699999998</v>
      </c>
      <c r="M126" s="136">
        <v>1056006.8500000001</v>
      </c>
      <c r="N126" s="136">
        <v>152346.1</v>
      </c>
      <c r="O126" s="136">
        <v>104850.88</v>
      </c>
      <c r="P126" s="178">
        <f>SUM(Ikärakenne[[#This Row],[Ikä 0–5]:[Ikä 18-64]])</f>
        <v>3745248.19</v>
      </c>
    </row>
    <row r="127" spans="1:16">
      <c r="A127" s="127">
        <v>405</v>
      </c>
      <c r="B127" s="124" t="s">
        <v>132</v>
      </c>
      <c r="C127" s="38">
        <f>SUM(Ikärakenne[[#This Row],[0–5-vuotiaat]:[16 vuotta täyttäneet]])</f>
        <v>72988</v>
      </c>
      <c r="D127" s="41">
        <v>3044</v>
      </c>
      <c r="E127" s="41">
        <v>618</v>
      </c>
      <c r="F127" s="41">
        <v>4236</v>
      </c>
      <c r="G127" s="41">
        <v>2281</v>
      </c>
      <c r="H127" s="41">
        <v>62809</v>
      </c>
      <c r="I127" s="41">
        <v>42925</v>
      </c>
      <c r="J127" s="136">
        <v>24836696.119999997</v>
      </c>
      <c r="K127" s="136">
        <v>5350495.68</v>
      </c>
      <c r="L127" s="136">
        <v>30630981.959999997</v>
      </c>
      <c r="M127" s="136">
        <v>28338254.41</v>
      </c>
      <c r="N127" s="136">
        <v>4010354.65</v>
      </c>
      <c r="O127" s="136">
        <v>3583379</v>
      </c>
      <c r="P127" s="178">
        <f>SUM(Ikärakenne[[#This Row],[Ikä 0–5]:[Ikä 18-64]])</f>
        <v>96750161.819999993</v>
      </c>
    </row>
    <row r="128" spans="1:16">
      <c r="A128" s="127">
        <v>407</v>
      </c>
      <c r="B128" s="124" t="s">
        <v>133</v>
      </c>
      <c r="C128" s="38">
        <f>SUM(Ikärakenne[[#This Row],[0–5-vuotiaat]:[16 vuotta täyttäneet]])</f>
        <v>2449</v>
      </c>
      <c r="D128" s="41">
        <v>98</v>
      </c>
      <c r="E128" s="41">
        <v>29</v>
      </c>
      <c r="F128" s="41">
        <v>142</v>
      </c>
      <c r="G128" s="41">
        <v>82</v>
      </c>
      <c r="H128" s="41">
        <v>2098</v>
      </c>
      <c r="I128" s="41">
        <v>1284</v>
      </c>
      <c r="J128" s="136">
        <v>799604.53999999992</v>
      </c>
      <c r="K128" s="136">
        <v>251075.04</v>
      </c>
      <c r="L128" s="136">
        <v>1026817.62</v>
      </c>
      <c r="M128" s="136">
        <v>1018736.02</v>
      </c>
      <c r="N128" s="136">
        <v>133957.30000000002</v>
      </c>
      <c r="O128" s="136">
        <v>107188.32</v>
      </c>
      <c r="P128" s="178">
        <f>SUM(Ikärakenne[[#This Row],[Ikä 0–5]:[Ikä 18-64]])</f>
        <v>3337378.8399999994</v>
      </c>
    </row>
    <row r="129" spans="1:16">
      <c r="A129" s="127">
        <v>408</v>
      </c>
      <c r="B129" s="124" t="s">
        <v>134</v>
      </c>
      <c r="C129" s="38">
        <f>SUM(Ikärakenne[[#This Row],[0–5-vuotiaat]:[16 vuotta täyttäneet]])</f>
        <v>14024</v>
      </c>
      <c r="D129" s="41">
        <v>709</v>
      </c>
      <c r="E129" s="41">
        <v>143</v>
      </c>
      <c r="F129" s="41">
        <v>1125</v>
      </c>
      <c r="G129" s="41">
        <v>560</v>
      </c>
      <c r="H129" s="41">
        <v>11487</v>
      </c>
      <c r="I129" s="41">
        <v>7544</v>
      </c>
      <c r="J129" s="136">
        <v>5784894.0699999994</v>
      </c>
      <c r="K129" s="136">
        <v>1238059.68</v>
      </c>
      <c r="L129" s="136">
        <v>8134998.75</v>
      </c>
      <c r="M129" s="136">
        <v>6957221.6000000006</v>
      </c>
      <c r="N129" s="136">
        <v>733444.95000000007</v>
      </c>
      <c r="O129" s="136">
        <v>629773.12</v>
      </c>
      <c r="P129" s="178">
        <f>SUM(Ikärakenne[[#This Row],[Ikä 0–5]:[Ikä 18-64]])</f>
        <v>23478392.170000002</v>
      </c>
    </row>
    <row r="130" spans="1:16">
      <c r="A130" s="127">
        <v>410</v>
      </c>
      <c r="B130" s="124" t="s">
        <v>135</v>
      </c>
      <c r="C130" s="38">
        <f>SUM(Ikärakenne[[#This Row],[0–5-vuotiaat]:[16 vuotta täyttäneet]])</f>
        <v>18762</v>
      </c>
      <c r="D130" s="41">
        <v>1203</v>
      </c>
      <c r="E130" s="41">
        <v>219</v>
      </c>
      <c r="F130" s="41">
        <v>1917</v>
      </c>
      <c r="G130" s="41">
        <v>945</v>
      </c>
      <c r="H130" s="41">
        <v>14478</v>
      </c>
      <c r="I130" s="41">
        <v>9847</v>
      </c>
      <c r="J130" s="136">
        <v>9815553.6899999995</v>
      </c>
      <c r="K130" s="136">
        <v>1896049.44</v>
      </c>
      <c r="L130" s="136">
        <v>13862037.869999999</v>
      </c>
      <c r="M130" s="136">
        <v>11740311.450000001</v>
      </c>
      <c r="N130" s="136">
        <v>924420.3</v>
      </c>
      <c r="O130" s="136">
        <v>822027.56</v>
      </c>
      <c r="P130" s="178">
        <f>SUM(Ikärakenne[[#This Row],[Ikä 0–5]:[Ikä 18-64]])</f>
        <v>39060400.310000002</v>
      </c>
    </row>
    <row r="131" spans="1:16">
      <c r="A131" s="127">
        <v>416</v>
      </c>
      <c r="B131" s="124" t="s">
        <v>136</v>
      </c>
      <c r="C131" s="38">
        <f>SUM(Ikärakenne[[#This Row],[0–5-vuotiaat]:[16 vuotta täyttäneet]])</f>
        <v>2862</v>
      </c>
      <c r="D131" s="41">
        <v>140</v>
      </c>
      <c r="E131" s="41">
        <v>31</v>
      </c>
      <c r="F131" s="41">
        <v>230</v>
      </c>
      <c r="G131" s="41">
        <v>113</v>
      </c>
      <c r="H131" s="41">
        <v>2348</v>
      </c>
      <c r="I131" s="41">
        <v>1519</v>
      </c>
      <c r="J131" s="136">
        <v>1142292.2</v>
      </c>
      <c r="K131" s="136">
        <v>268390.56</v>
      </c>
      <c r="L131" s="136">
        <v>1663155.2999999998</v>
      </c>
      <c r="M131" s="136">
        <v>1403867.9300000002</v>
      </c>
      <c r="N131" s="136">
        <v>149919.80000000002</v>
      </c>
      <c r="O131" s="136">
        <v>126806.12000000001</v>
      </c>
      <c r="P131" s="178">
        <f>SUM(Ikärakenne[[#This Row],[Ikä 0–5]:[Ikä 18-64]])</f>
        <v>4754431.91</v>
      </c>
    </row>
    <row r="132" spans="1:16">
      <c r="A132" s="127">
        <v>418</v>
      </c>
      <c r="B132" s="124" t="s">
        <v>137</v>
      </c>
      <c r="C132" s="38">
        <f>SUM(Ikärakenne[[#This Row],[0–5-vuotiaat]:[16 vuotta täyttäneet]])</f>
        <v>24711</v>
      </c>
      <c r="D132" s="41">
        <v>1691</v>
      </c>
      <c r="E132" s="41">
        <v>297</v>
      </c>
      <c r="F132" s="41">
        <v>2258</v>
      </c>
      <c r="G132" s="41">
        <v>1217</v>
      </c>
      <c r="H132" s="41">
        <v>19248</v>
      </c>
      <c r="I132" s="41">
        <v>14121</v>
      </c>
      <c r="J132" s="136">
        <v>13797257.93</v>
      </c>
      <c r="K132" s="136">
        <v>2571354.7200000002</v>
      </c>
      <c r="L132" s="136">
        <v>16327846.379999999</v>
      </c>
      <c r="M132" s="136">
        <v>15119533.370000001</v>
      </c>
      <c r="N132" s="136">
        <v>1228984.8</v>
      </c>
      <c r="O132" s="136">
        <v>1178821.08</v>
      </c>
      <c r="P132" s="178">
        <f>SUM(Ikärakenne[[#This Row],[Ikä 0–5]:[Ikä 18-64]])</f>
        <v>50223798.280000001</v>
      </c>
    </row>
    <row r="133" spans="1:16">
      <c r="A133" s="127">
        <v>420</v>
      </c>
      <c r="B133" s="124" t="s">
        <v>138</v>
      </c>
      <c r="C133" s="38">
        <f>SUM(Ikärakenne[[#This Row],[0–5-vuotiaat]:[16 vuotta täyttäneet]])</f>
        <v>9049</v>
      </c>
      <c r="D133" s="41">
        <v>414</v>
      </c>
      <c r="E133" s="41">
        <v>76</v>
      </c>
      <c r="F133" s="41">
        <v>475</v>
      </c>
      <c r="G133" s="41">
        <v>305</v>
      </c>
      <c r="H133" s="41">
        <v>7779</v>
      </c>
      <c r="I133" s="41">
        <v>4576</v>
      </c>
      <c r="J133" s="136">
        <v>3377921.2199999997</v>
      </c>
      <c r="K133" s="136">
        <v>657989.76</v>
      </c>
      <c r="L133" s="136">
        <v>3434777.25</v>
      </c>
      <c r="M133" s="136">
        <v>3789201.0500000003</v>
      </c>
      <c r="N133" s="136">
        <v>496689.15</v>
      </c>
      <c r="O133" s="136">
        <v>382004.48000000004</v>
      </c>
      <c r="P133" s="178">
        <f>SUM(Ikärakenne[[#This Row],[Ikä 0–5]:[Ikä 18-64]])</f>
        <v>12138582.91</v>
      </c>
    </row>
    <row r="134" spans="1:16">
      <c r="A134" s="127">
        <v>421</v>
      </c>
      <c r="B134" s="124" t="s">
        <v>139</v>
      </c>
      <c r="C134" s="38">
        <f>SUM(Ikärakenne[[#This Row],[0–5-vuotiaat]:[16 vuotta täyttäneet]])</f>
        <v>682</v>
      </c>
      <c r="D134" s="41">
        <v>38</v>
      </c>
      <c r="E134" s="41">
        <v>10</v>
      </c>
      <c r="F134" s="41">
        <v>44</v>
      </c>
      <c r="G134" s="41">
        <v>26</v>
      </c>
      <c r="H134" s="41">
        <v>564</v>
      </c>
      <c r="I134" s="41">
        <v>325</v>
      </c>
      <c r="J134" s="136">
        <v>310050.74</v>
      </c>
      <c r="K134" s="136">
        <v>86577.600000000006</v>
      </c>
      <c r="L134" s="136">
        <v>318168.83999999997</v>
      </c>
      <c r="M134" s="136">
        <v>323013.86</v>
      </c>
      <c r="N134" s="136">
        <v>36011.4</v>
      </c>
      <c r="O134" s="136">
        <v>27131</v>
      </c>
      <c r="P134" s="178">
        <f>SUM(Ikärakenne[[#This Row],[Ikä 0–5]:[Ikä 18-64]])</f>
        <v>1100953.44</v>
      </c>
    </row>
    <row r="135" spans="1:16">
      <c r="A135" s="127">
        <v>422</v>
      </c>
      <c r="B135" s="124" t="s">
        <v>140</v>
      </c>
      <c r="C135" s="38">
        <f>SUM(Ikärakenne[[#This Row],[0–5-vuotiaat]:[16 vuotta täyttäneet]])</f>
        <v>10228</v>
      </c>
      <c r="D135" s="41">
        <v>268</v>
      </c>
      <c r="E135" s="41">
        <v>57</v>
      </c>
      <c r="F135" s="41">
        <v>476</v>
      </c>
      <c r="G135" s="41">
        <v>241</v>
      </c>
      <c r="H135" s="41">
        <v>9186</v>
      </c>
      <c r="I135" s="41">
        <v>4804</v>
      </c>
      <c r="J135" s="136">
        <v>2186673.6399999997</v>
      </c>
      <c r="K135" s="136">
        <v>493492.32</v>
      </c>
      <c r="L135" s="136">
        <v>3442008.36</v>
      </c>
      <c r="M135" s="136">
        <v>2994090.0100000002</v>
      </c>
      <c r="N135" s="136">
        <v>586526.1</v>
      </c>
      <c r="O135" s="136">
        <v>401037.92000000004</v>
      </c>
      <c r="P135" s="178">
        <f>SUM(Ikärakenne[[#This Row],[Ikä 0–5]:[Ikä 18-64]])</f>
        <v>10103828.35</v>
      </c>
    </row>
    <row r="136" spans="1:16">
      <c r="A136" s="127">
        <v>423</v>
      </c>
      <c r="B136" s="124" t="s">
        <v>141</v>
      </c>
      <c r="C136" s="38">
        <f>SUM(Ikärakenne[[#This Row],[0–5-vuotiaat]:[16 vuotta täyttäneet]])</f>
        <v>20637</v>
      </c>
      <c r="D136" s="41">
        <v>1271</v>
      </c>
      <c r="E136" s="41">
        <v>250</v>
      </c>
      <c r="F136" s="41">
        <v>1765</v>
      </c>
      <c r="G136" s="41">
        <v>879</v>
      </c>
      <c r="H136" s="41">
        <v>16472</v>
      </c>
      <c r="I136" s="41">
        <v>11696</v>
      </c>
      <c r="J136" s="136">
        <v>10370381.33</v>
      </c>
      <c r="K136" s="136">
        <v>2164440</v>
      </c>
      <c r="L136" s="136">
        <v>12762909.149999999</v>
      </c>
      <c r="M136" s="136">
        <v>10920353.190000001</v>
      </c>
      <c r="N136" s="136">
        <v>1051737.2</v>
      </c>
      <c r="O136" s="136">
        <v>976382.08000000007</v>
      </c>
      <c r="P136" s="178">
        <f>SUM(Ikärakenne[[#This Row],[Ikä 0–5]:[Ikä 18-64]])</f>
        <v>38246202.950000003</v>
      </c>
    </row>
    <row r="137" spans="1:16">
      <c r="A137" s="124">
        <v>425</v>
      </c>
      <c r="B137" s="124" t="s">
        <v>142</v>
      </c>
      <c r="C137" s="38">
        <f>SUM(Ikärakenne[[#This Row],[0–5-vuotiaat]:[16 vuotta täyttäneet]])</f>
        <v>10256</v>
      </c>
      <c r="D137" s="38">
        <v>949</v>
      </c>
      <c r="E137" s="38">
        <v>195</v>
      </c>
      <c r="F137" s="38">
        <v>1381</v>
      </c>
      <c r="G137" s="38">
        <v>721</v>
      </c>
      <c r="H137" s="38">
        <v>7010</v>
      </c>
      <c r="I137" s="41">
        <v>5376</v>
      </c>
      <c r="J137" s="136">
        <v>7743109.2699999996</v>
      </c>
      <c r="K137" s="136">
        <v>1688263.2</v>
      </c>
      <c r="L137" s="136">
        <v>9986162.9100000001</v>
      </c>
      <c r="M137" s="136">
        <v>8957422.8100000005</v>
      </c>
      <c r="N137" s="136">
        <v>447588.5</v>
      </c>
      <c r="O137" s="136">
        <v>448788.48000000004</v>
      </c>
      <c r="P137" s="178">
        <f>SUM(Ikärakenne[[#This Row],[Ikä 0–5]:[Ikä 18-64]])</f>
        <v>29271335.169999998</v>
      </c>
    </row>
    <row r="138" spans="1:16">
      <c r="A138" s="127">
        <v>426</v>
      </c>
      <c r="B138" s="124" t="s">
        <v>143</v>
      </c>
      <c r="C138" s="38">
        <f>SUM(Ikärakenne[[#This Row],[0–5-vuotiaat]:[16 vuotta täyttäneet]])</f>
        <v>11969</v>
      </c>
      <c r="D138" s="41">
        <v>650</v>
      </c>
      <c r="E138" s="41">
        <v>132</v>
      </c>
      <c r="F138" s="41">
        <v>961</v>
      </c>
      <c r="G138" s="41">
        <v>497</v>
      </c>
      <c r="H138" s="41">
        <v>9729</v>
      </c>
      <c r="I138" s="41">
        <v>6557</v>
      </c>
      <c r="J138" s="136">
        <v>5303499.5</v>
      </c>
      <c r="K138" s="136">
        <v>1142824.32</v>
      </c>
      <c r="L138" s="136">
        <v>6949096.71</v>
      </c>
      <c r="M138" s="136">
        <v>6174534.1699999999</v>
      </c>
      <c r="N138" s="136">
        <v>621196.65</v>
      </c>
      <c r="O138" s="136">
        <v>547378.36</v>
      </c>
      <c r="P138" s="178">
        <f>SUM(Ikärakenne[[#This Row],[Ikä 0–5]:[Ikä 18-64]])</f>
        <v>20738529.710000001</v>
      </c>
    </row>
    <row r="139" spans="1:16">
      <c r="A139" s="127">
        <v>430</v>
      </c>
      <c r="B139" s="124" t="s">
        <v>144</v>
      </c>
      <c r="C139" s="38">
        <f>SUM(Ikärakenne[[#This Row],[0–5-vuotiaat]:[16 vuotta täyttäneet]])</f>
        <v>15420</v>
      </c>
      <c r="D139" s="41">
        <v>641</v>
      </c>
      <c r="E139" s="41">
        <v>147</v>
      </c>
      <c r="F139" s="41">
        <v>891</v>
      </c>
      <c r="G139" s="41">
        <v>503</v>
      </c>
      <c r="H139" s="41">
        <v>13238</v>
      </c>
      <c r="I139" s="41">
        <v>7863</v>
      </c>
      <c r="J139" s="136">
        <v>5230066.43</v>
      </c>
      <c r="K139" s="136">
        <v>1272690.72</v>
      </c>
      <c r="L139" s="136">
        <v>6442919.0099999998</v>
      </c>
      <c r="M139" s="136">
        <v>6249075.8300000001</v>
      </c>
      <c r="N139" s="136">
        <v>845246.3</v>
      </c>
      <c r="O139" s="136">
        <v>656403.24</v>
      </c>
      <c r="P139" s="178">
        <f>SUM(Ikärakenne[[#This Row],[Ikä 0–5]:[Ikä 18-64]])</f>
        <v>20696401.530000001</v>
      </c>
    </row>
    <row r="140" spans="1:16">
      <c r="A140" s="127">
        <v>433</v>
      </c>
      <c r="B140" s="124" t="s">
        <v>145</v>
      </c>
      <c r="C140" s="38">
        <f>SUM(Ikärakenne[[#This Row],[0–5-vuotiaat]:[16 vuotta täyttäneet]])</f>
        <v>7692</v>
      </c>
      <c r="D140" s="41">
        <v>347</v>
      </c>
      <c r="E140" s="41">
        <v>78</v>
      </c>
      <c r="F140" s="41">
        <v>515</v>
      </c>
      <c r="G140" s="41">
        <v>309</v>
      </c>
      <c r="H140" s="41">
        <v>6443</v>
      </c>
      <c r="I140" s="41">
        <v>4142</v>
      </c>
      <c r="J140" s="136">
        <v>2831252.81</v>
      </c>
      <c r="K140" s="136">
        <v>675305.28</v>
      </c>
      <c r="L140" s="136">
        <v>3724021.65</v>
      </c>
      <c r="M140" s="136">
        <v>3838895.49</v>
      </c>
      <c r="N140" s="136">
        <v>411385.55</v>
      </c>
      <c r="O140" s="136">
        <v>345774.16000000003</v>
      </c>
      <c r="P140" s="178">
        <f>SUM(Ikärakenne[[#This Row],[Ikä 0–5]:[Ikä 18-64]])</f>
        <v>11826634.940000001</v>
      </c>
    </row>
    <row r="141" spans="1:16">
      <c r="A141" s="127">
        <v>434</v>
      </c>
      <c r="B141" s="124" t="s">
        <v>146</v>
      </c>
      <c r="C141" s="38">
        <f>SUM(Ikärakenne[[#This Row],[0–5-vuotiaat]:[16 vuotta täyttäneet]])</f>
        <v>14458</v>
      </c>
      <c r="D141" s="41">
        <v>577</v>
      </c>
      <c r="E141" s="41">
        <v>119</v>
      </c>
      <c r="F141" s="41">
        <v>867</v>
      </c>
      <c r="G141" s="41">
        <v>442</v>
      </c>
      <c r="H141" s="41">
        <v>12453</v>
      </c>
      <c r="I141" s="41">
        <v>7668</v>
      </c>
      <c r="J141" s="136">
        <v>4707875.71</v>
      </c>
      <c r="K141" s="136">
        <v>1030273.4400000001</v>
      </c>
      <c r="L141" s="136">
        <v>6269372.3700000001</v>
      </c>
      <c r="M141" s="136">
        <v>5491235.6200000001</v>
      </c>
      <c r="N141" s="136">
        <v>795124.05</v>
      </c>
      <c r="O141" s="136">
        <v>640124.64</v>
      </c>
      <c r="P141" s="178">
        <f>SUM(Ikärakenne[[#This Row],[Ikä 0–5]:[Ikä 18-64]])</f>
        <v>18934005.830000002</v>
      </c>
    </row>
    <row r="142" spans="1:16">
      <c r="A142" s="127">
        <v>435</v>
      </c>
      <c r="B142" s="124" t="s">
        <v>147</v>
      </c>
      <c r="C142" s="38">
        <f>SUM(Ikärakenne[[#This Row],[0–5-vuotiaat]:[16 vuotta täyttäneet]])</f>
        <v>702</v>
      </c>
      <c r="D142" s="41">
        <v>13</v>
      </c>
      <c r="E142" s="41">
        <v>3</v>
      </c>
      <c r="F142" s="41">
        <v>34</v>
      </c>
      <c r="G142" s="41">
        <v>16</v>
      </c>
      <c r="H142" s="41">
        <v>636</v>
      </c>
      <c r="I142" s="41">
        <v>327</v>
      </c>
      <c r="J142" s="136">
        <v>106069.98999999999</v>
      </c>
      <c r="K142" s="136">
        <v>25973.279999999999</v>
      </c>
      <c r="L142" s="136">
        <v>245857.74</v>
      </c>
      <c r="M142" s="136">
        <v>198777.76</v>
      </c>
      <c r="N142" s="136">
        <v>40608.6</v>
      </c>
      <c r="O142" s="136">
        <v>27297.960000000003</v>
      </c>
      <c r="P142" s="178">
        <f>SUM(Ikärakenne[[#This Row],[Ikä 0–5]:[Ikä 18-64]])</f>
        <v>644585.32999999996</v>
      </c>
    </row>
    <row r="143" spans="1:16">
      <c r="A143" s="127">
        <v>436</v>
      </c>
      <c r="B143" s="124" t="s">
        <v>148</v>
      </c>
      <c r="C143" s="38">
        <f>SUM(Ikärakenne[[#This Row],[0–5-vuotiaat]:[16 vuotta täyttäneet]])</f>
        <v>2033</v>
      </c>
      <c r="D143" s="41">
        <v>146</v>
      </c>
      <c r="E143" s="41">
        <v>21</v>
      </c>
      <c r="F143" s="41">
        <v>223</v>
      </c>
      <c r="G143" s="41">
        <v>132</v>
      </c>
      <c r="H143" s="41">
        <v>1511</v>
      </c>
      <c r="I143" s="41">
        <v>1023</v>
      </c>
      <c r="J143" s="136">
        <v>1191247.5799999998</v>
      </c>
      <c r="K143" s="136">
        <v>181812.96</v>
      </c>
      <c r="L143" s="136">
        <v>1612537.53</v>
      </c>
      <c r="M143" s="136">
        <v>1639916.52</v>
      </c>
      <c r="N143" s="136">
        <v>96477.35</v>
      </c>
      <c r="O143" s="136">
        <v>85400.040000000008</v>
      </c>
      <c r="P143" s="178">
        <f>SUM(Ikärakenne[[#This Row],[Ikä 0–5]:[Ikä 18-64]])</f>
        <v>4807391.9799999995</v>
      </c>
    </row>
    <row r="144" spans="1:16">
      <c r="A144" s="127">
        <v>440</v>
      </c>
      <c r="B144" s="124" t="s">
        <v>149</v>
      </c>
      <c r="C144" s="38">
        <f>SUM(Ikärakenne[[#This Row],[0–5-vuotiaat]:[16 vuotta täyttäneet]])</f>
        <v>5843</v>
      </c>
      <c r="D144" s="41">
        <v>730</v>
      </c>
      <c r="E144" s="41">
        <v>106</v>
      </c>
      <c r="F144" s="41">
        <v>681</v>
      </c>
      <c r="G144" s="41">
        <v>311</v>
      </c>
      <c r="H144" s="41">
        <v>4015</v>
      </c>
      <c r="I144" s="41">
        <v>2978</v>
      </c>
      <c r="J144" s="136">
        <v>5956237.8999999994</v>
      </c>
      <c r="K144" s="136">
        <v>917722.56</v>
      </c>
      <c r="L144" s="136">
        <v>4924385.91</v>
      </c>
      <c r="M144" s="136">
        <v>3863742.71</v>
      </c>
      <c r="N144" s="136">
        <v>256357.75</v>
      </c>
      <c r="O144" s="136">
        <v>248603.44</v>
      </c>
      <c r="P144" s="178">
        <f>SUM(Ikärakenne[[#This Row],[Ikä 0–5]:[Ikä 18-64]])</f>
        <v>16167050.269999998</v>
      </c>
    </row>
    <row r="145" spans="1:16">
      <c r="A145" s="127">
        <v>441</v>
      </c>
      <c r="B145" s="124" t="s">
        <v>150</v>
      </c>
      <c r="C145" s="38">
        <f>SUM(Ikärakenne[[#This Row],[0–5-vuotiaat]:[16 vuotta täyttäneet]])</f>
        <v>4396</v>
      </c>
      <c r="D145" s="41">
        <v>152</v>
      </c>
      <c r="E145" s="41">
        <v>36</v>
      </c>
      <c r="F145" s="41">
        <v>222</v>
      </c>
      <c r="G145" s="41">
        <v>136</v>
      </c>
      <c r="H145" s="41">
        <v>3850</v>
      </c>
      <c r="I145" s="41">
        <v>2173</v>
      </c>
      <c r="J145" s="136">
        <v>1240202.96</v>
      </c>
      <c r="K145" s="136">
        <v>311679.35999999999</v>
      </c>
      <c r="L145" s="136">
        <v>1605306.42</v>
      </c>
      <c r="M145" s="136">
        <v>1689610.96</v>
      </c>
      <c r="N145" s="136">
        <v>245822.5</v>
      </c>
      <c r="O145" s="136">
        <v>181402.04</v>
      </c>
      <c r="P145" s="178">
        <f>SUM(Ikärakenne[[#This Row],[Ikä 0–5]:[Ikä 18-64]])</f>
        <v>5274024.2399999993</v>
      </c>
    </row>
    <row r="146" spans="1:16">
      <c r="A146" s="127">
        <v>444</v>
      </c>
      <c r="B146" s="124" t="s">
        <v>151</v>
      </c>
      <c r="C146" s="38">
        <f>SUM(Ikärakenne[[#This Row],[0–5-vuotiaat]:[16 vuotta täyttäneet]])</f>
        <v>45645</v>
      </c>
      <c r="D146" s="41">
        <v>2022</v>
      </c>
      <c r="E146" s="41">
        <v>413</v>
      </c>
      <c r="F146" s="41">
        <v>3065</v>
      </c>
      <c r="G146" s="41">
        <v>1725</v>
      </c>
      <c r="H146" s="41">
        <v>38420</v>
      </c>
      <c r="I146" s="41">
        <v>25260</v>
      </c>
      <c r="J146" s="136">
        <v>16497963.059999999</v>
      </c>
      <c r="K146" s="136">
        <v>3575654.88</v>
      </c>
      <c r="L146" s="136">
        <v>22163352.149999999</v>
      </c>
      <c r="M146" s="136">
        <v>21430727.25</v>
      </c>
      <c r="N146" s="136">
        <v>2453117</v>
      </c>
      <c r="O146" s="136">
        <v>2108704.8000000003</v>
      </c>
      <c r="P146" s="178">
        <f>SUM(Ikärakenne[[#This Row],[Ikä 0–5]:[Ikä 18-64]])</f>
        <v>68229519.140000001</v>
      </c>
    </row>
    <row r="147" spans="1:16">
      <c r="A147" s="127">
        <v>445</v>
      </c>
      <c r="B147" s="124" t="s">
        <v>152</v>
      </c>
      <c r="C147" s="38">
        <f>SUM(Ikärakenne[[#This Row],[0–5-vuotiaat]:[16 vuotta täyttäneet]])</f>
        <v>14999</v>
      </c>
      <c r="D147" s="41">
        <v>655</v>
      </c>
      <c r="E147" s="41">
        <v>140</v>
      </c>
      <c r="F147" s="41">
        <v>997</v>
      </c>
      <c r="G147" s="41">
        <v>550</v>
      </c>
      <c r="H147" s="41">
        <v>12657</v>
      </c>
      <c r="I147" s="41">
        <v>7877</v>
      </c>
      <c r="J147" s="136">
        <v>5344295.6499999994</v>
      </c>
      <c r="K147" s="136">
        <v>1212086.4000000001</v>
      </c>
      <c r="L147" s="136">
        <v>7209416.6699999999</v>
      </c>
      <c r="M147" s="136">
        <v>6832985.5</v>
      </c>
      <c r="N147" s="136">
        <v>808149.45000000007</v>
      </c>
      <c r="O147" s="136">
        <v>657571.96000000008</v>
      </c>
      <c r="P147" s="178">
        <f>SUM(Ikärakenne[[#This Row],[Ikä 0–5]:[Ikä 18-64]])</f>
        <v>22064505.629999999</v>
      </c>
    </row>
    <row r="148" spans="1:16">
      <c r="A148" s="127">
        <v>475</v>
      </c>
      <c r="B148" s="124" t="s">
        <v>153</v>
      </c>
      <c r="C148" s="38">
        <f>SUM(Ikärakenne[[#This Row],[0–5-vuotiaat]:[16 vuotta täyttäneet]])</f>
        <v>5456</v>
      </c>
      <c r="D148" s="41">
        <v>333</v>
      </c>
      <c r="E148" s="41">
        <v>50</v>
      </c>
      <c r="F148" s="41">
        <v>336</v>
      </c>
      <c r="G148" s="41">
        <v>206</v>
      </c>
      <c r="H148" s="41">
        <v>4531</v>
      </c>
      <c r="I148" s="41">
        <v>2823</v>
      </c>
      <c r="J148" s="136">
        <v>2717023.59</v>
      </c>
      <c r="K148" s="136">
        <v>432888</v>
      </c>
      <c r="L148" s="136">
        <v>2429652.96</v>
      </c>
      <c r="M148" s="136">
        <v>2559263.66</v>
      </c>
      <c r="N148" s="136">
        <v>289304.35000000003</v>
      </c>
      <c r="O148" s="136">
        <v>235664.04</v>
      </c>
      <c r="P148" s="178">
        <f>SUM(Ikärakenne[[#This Row],[Ikä 0–5]:[Ikä 18-64]])</f>
        <v>8663796.5999999996</v>
      </c>
    </row>
    <row r="149" spans="1:16">
      <c r="A149" s="127">
        <v>480</v>
      </c>
      <c r="B149" s="124" t="s">
        <v>154</v>
      </c>
      <c r="C149" s="38">
        <f>SUM(Ikärakenne[[#This Row],[0–5-vuotiaat]:[16 vuotta täyttäneet]])</f>
        <v>1930</v>
      </c>
      <c r="D149" s="41">
        <v>94</v>
      </c>
      <c r="E149" s="41">
        <v>15</v>
      </c>
      <c r="F149" s="41">
        <v>144</v>
      </c>
      <c r="G149" s="41">
        <v>71</v>
      </c>
      <c r="H149" s="41">
        <v>1606</v>
      </c>
      <c r="I149" s="41">
        <v>1010</v>
      </c>
      <c r="J149" s="136">
        <v>766967.62</v>
      </c>
      <c r="K149" s="136">
        <v>129866.40000000001</v>
      </c>
      <c r="L149" s="136">
        <v>1041279.84</v>
      </c>
      <c r="M149" s="136">
        <v>882076.31</v>
      </c>
      <c r="N149" s="136">
        <v>102543.1</v>
      </c>
      <c r="O149" s="136">
        <v>84314.8</v>
      </c>
      <c r="P149" s="178">
        <f>SUM(Ikärakenne[[#This Row],[Ikä 0–5]:[Ikä 18-64]])</f>
        <v>3007048.07</v>
      </c>
    </row>
    <row r="150" spans="1:16">
      <c r="A150" s="127">
        <v>481</v>
      </c>
      <c r="B150" s="124" t="s">
        <v>155</v>
      </c>
      <c r="C150" s="38">
        <f>SUM(Ikärakenne[[#This Row],[0–5-vuotiaat]:[16 vuotta täyttäneet]])</f>
        <v>9619</v>
      </c>
      <c r="D150" s="41">
        <v>572</v>
      </c>
      <c r="E150" s="41">
        <v>117</v>
      </c>
      <c r="F150" s="41">
        <v>806</v>
      </c>
      <c r="G150" s="41">
        <v>444</v>
      </c>
      <c r="H150" s="41">
        <v>7680</v>
      </c>
      <c r="I150" s="41">
        <v>5527</v>
      </c>
      <c r="J150" s="136">
        <v>4667079.5599999996</v>
      </c>
      <c r="K150" s="136">
        <v>1012957.92</v>
      </c>
      <c r="L150" s="136">
        <v>5828274.6600000001</v>
      </c>
      <c r="M150" s="136">
        <v>5516082.8399999999</v>
      </c>
      <c r="N150" s="136">
        <v>490368</v>
      </c>
      <c r="O150" s="136">
        <v>461393.96</v>
      </c>
      <c r="P150" s="178">
        <f>SUM(Ikärakenne[[#This Row],[Ikä 0–5]:[Ikä 18-64]])</f>
        <v>17976156.940000001</v>
      </c>
    </row>
    <row r="151" spans="1:16">
      <c r="A151" s="127">
        <v>483</v>
      </c>
      <c r="B151" s="124" t="s">
        <v>156</v>
      </c>
      <c r="C151" s="38">
        <f>SUM(Ikärakenne[[#This Row],[0–5-vuotiaat]:[16 vuotta täyttäneet]])</f>
        <v>1055</v>
      </c>
      <c r="D151" s="41">
        <v>94</v>
      </c>
      <c r="E151" s="41">
        <v>21</v>
      </c>
      <c r="F151" s="41">
        <v>126</v>
      </c>
      <c r="G151" s="41">
        <v>38</v>
      </c>
      <c r="H151" s="41">
        <v>776</v>
      </c>
      <c r="I151" s="41">
        <v>476</v>
      </c>
      <c r="J151" s="136">
        <v>766967.62</v>
      </c>
      <c r="K151" s="136">
        <v>181812.96</v>
      </c>
      <c r="L151" s="136">
        <v>911119.86</v>
      </c>
      <c r="M151" s="136">
        <v>472097.18000000005</v>
      </c>
      <c r="N151" s="136">
        <v>49547.6</v>
      </c>
      <c r="O151" s="136">
        <v>39736.480000000003</v>
      </c>
      <c r="P151" s="178">
        <f>SUM(Ikärakenne[[#This Row],[Ikä 0–5]:[Ikä 18-64]])</f>
        <v>2421281.7000000002</v>
      </c>
    </row>
    <row r="152" spans="1:16">
      <c r="A152" s="127">
        <v>484</v>
      </c>
      <c r="B152" s="124" t="s">
        <v>157</v>
      </c>
      <c r="C152" s="38">
        <f>SUM(Ikärakenne[[#This Row],[0–5-vuotiaat]:[16 vuotta täyttäneet]])</f>
        <v>2966</v>
      </c>
      <c r="D152" s="41">
        <v>139</v>
      </c>
      <c r="E152" s="41">
        <v>33</v>
      </c>
      <c r="F152" s="41">
        <v>210</v>
      </c>
      <c r="G152" s="41">
        <v>84</v>
      </c>
      <c r="H152" s="41">
        <v>2500</v>
      </c>
      <c r="I152" s="41">
        <v>1364</v>
      </c>
      <c r="J152" s="136">
        <v>1134132.97</v>
      </c>
      <c r="K152" s="136">
        <v>285706.08</v>
      </c>
      <c r="L152" s="136">
        <v>1518533.0999999999</v>
      </c>
      <c r="M152" s="136">
        <v>1043583.24</v>
      </c>
      <c r="N152" s="136">
        <v>159625</v>
      </c>
      <c r="O152" s="136">
        <v>113866.72</v>
      </c>
      <c r="P152" s="178">
        <f>SUM(Ikärakenne[[#This Row],[Ikä 0–5]:[Ikä 18-64]])</f>
        <v>4255447.1099999994</v>
      </c>
    </row>
    <row r="153" spans="1:16">
      <c r="A153" s="127">
        <v>489</v>
      </c>
      <c r="B153" s="124" t="s">
        <v>158</v>
      </c>
      <c r="C153" s="38">
        <f>SUM(Ikärakenne[[#This Row],[0–5-vuotiaat]:[16 vuotta täyttäneet]])</f>
        <v>1752</v>
      </c>
      <c r="D153" s="41">
        <v>46</v>
      </c>
      <c r="E153" s="41">
        <v>8</v>
      </c>
      <c r="F153" s="41">
        <v>72</v>
      </c>
      <c r="G153" s="41">
        <v>47</v>
      </c>
      <c r="H153" s="41">
        <v>1579</v>
      </c>
      <c r="I153" s="41">
        <v>862</v>
      </c>
      <c r="J153" s="136">
        <v>375324.57999999996</v>
      </c>
      <c r="K153" s="136">
        <v>69262.080000000002</v>
      </c>
      <c r="L153" s="136">
        <v>520639.92</v>
      </c>
      <c r="M153" s="136">
        <v>583909.67000000004</v>
      </c>
      <c r="N153" s="136">
        <v>100819.15000000001</v>
      </c>
      <c r="O153" s="136">
        <v>71959.760000000009</v>
      </c>
      <c r="P153" s="178">
        <f>SUM(Ikärakenne[[#This Row],[Ikä 0–5]:[Ikä 18-64]])</f>
        <v>1721915.16</v>
      </c>
    </row>
    <row r="154" spans="1:16">
      <c r="A154" s="127">
        <v>491</v>
      </c>
      <c r="B154" s="124" t="s">
        <v>159</v>
      </c>
      <c r="C154" s="38">
        <f>SUM(Ikärakenne[[#This Row],[0–5-vuotiaat]:[16 vuotta täyttäneet]])</f>
        <v>51919</v>
      </c>
      <c r="D154" s="41">
        <v>2281</v>
      </c>
      <c r="E154" s="41">
        <v>446</v>
      </c>
      <c r="F154" s="41">
        <v>3104</v>
      </c>
      <c r="G154" s="41">
        <v>1625</v>
      </c>
      <c r="H154" s="41">
        <v>44463</v>
      </c>
      <c r="I154" s="41">
        <v>28541</v>
      </c>
      <c r="J154" s="136">
        <v>18611203.629999999</v>
      </c>
      <c r="K154" s="136">
        <v>3861360.96</v>
      </c>
      <c r="L154" s="136">
        <v>22445365.439999998</v>
      </c>
      <c r="M154" s="136">
        <v>20188366.25</v>
      </c>
      <c r="N154" s="136">
        <v>2838962.5500000003</v>
      </c>
      <c r="O154" s="136">
        <v>2382602.6800000002</v>
      </c>
      <c r="P154" s="178">
        <f>SUM(Ikärakenne[[#This Row],[Ikä 0–5]:[Ikä 18-64]])</f>
        <v>70327861.510000005</v>
      </c>
    </row>
    <row r="155" spans="1:16">
      <c r="A155" s="127">
        <v>494</v>
      </c>
      <c r="B155" s="124" t="s">
        <v>160</v>
      </c>
      <c r="C155" s="38">
        <f>SUM(Ikärakenne[[#This Row],[0–5-vuotiaat]:[16 vuotta täyttäneet]])</f>
        <v>8827</v>
      </c>
      <c r="D155" s="41">
        <v>622</v>
      </c>
      <c r="E155" s="41">
        <v>135</v>
      </c>
      <c r="F155" s="41">
        <v>876</v>
      </c>
      <c r="G155" s="41">
        <v>456</v>
      </c>
      <c r="H155" s="41">
        <v>6738</v>
      </c>
      <c r="I155" s="41">
        <v>4676</v>
      </c>
      <c r="J155" s="136">
        <v>5075041.0599999996</v>
      </c>
      <c r="K155" s="136">
        <v>1168797.6000000001</v>
      </c>
      <c r="L155" s="136">
        <v>6334452.3599999994</v>
      </c>
      <c r="M155" s="136">
        <v>5665166.1600000001</v>
      </c>
      <c r="N155" s="136">
        <v>430221.3</v>
      </c>
      <c r="O155" s="136">
        <v>390352.48000000004</v>
      </c>
      <c r="P155" s="178">
        <f>SUM(Ikärakenne[[#This Row],[Ikä 0–5]:[Ikä 18-64]])</f>
        <v>19064030.960000001</v>
      </c>
    </row>
    <row r="156" spans="1:16">
      <c r="A156" s="127">
        <v>495</v>
      </c>
      <c r="B156" s="124" t="s">
        <v>161</v>
      </c>
      <c r="C156" s="38">
        <f>SUM(Ikärakenne[[#This Row],[0–5-vuotiaat]:[16 vuotta täyttäneet]])</f>
        <v>1430</v>
      </c>
      <c r="D156" s="41">
        <v>55</v>
      </c>
      <c r="E156" s="41">
        <v>13</v>
      </c>
      <c r="F156" s="41">
        <v>76</v>
      </c>
      <c r="G156" s="41">
        <v>54</v>
      </c>
      <c r="H156" s="41">
        <v>1232</v>
      </c>
      <c r="I156" s="41">
        <v>644</v>
      </c>
      <c r="J156" s="136">
        <v>448757.64999999997</v>
      </c>
      <c r="K156" s="136">
        <v>112550.88</v>
      </c>
      <c r="L156" s="136">
        <v>549564.36</v>
      </c>
      <c r="M156" s="136">
        <v>670874.94000000006</v>
      </c>
      <c r="N156" s="136">
        <v>78663.199999999997</v>
      </c>
      <c r="O156" s="136">
        <v>53761.120000000003</v>
      </c>
      <c r="P156" s="178">
        <f>SUM(Ikärakenne[[#This Row],[Ikä 0–5]:[Ikä 18-64]])</f>
        <v>1914172.1500000001</v>
      </c>
    </row>
    <row r="157" spans="1:16">
      <c r="A157" s="127">
        <v>498</v>
      </c>
      <c r="B157" s="124" t="s">
        <v>162</v>
      </c>
      <c r="C157" s="38">
        <f>SUM(Ikärakenne[[#This Row],[0–5-vuotiaat]:[16 vuotta täyttäneet]])</f>
        <v>2325</v>
      </c>
      <c r="D157" s="41">
        <v>105</v>
      </c>
      <c r="E157" s="41">
        <v>23</v>
      </c>
      <c r="F157" s="41">
        <v>148</v>
      </c>
      <c r="G157" s="41">
        <v>93</v>
      </c>
      <c r="H157" s="41">
        <v>1956</v>
      </c>
      <c r="I157" s="41">
        <v>1261</v>
      </c>
      <c r="J157" s="136">
        <v>856719.14999999991</v>
      </c>
      <c r="K157" s="136">
        <v>199128.48</v>
      </c>
      <c r="L157" s="136">
        <v>1070204.28</v>
      </c>
      <c r="M157" s="136">
        <v>1155395.73</v>
      </c>
      <c r="N157" s="136">
        <v>124890.6</v>
      </c>
      <c r="O157" s="136">
        <v>105268.28</v>
      </c>
      <c r="P157" s="178">
        <f>SUM(Ikärakenne[[#This Row],[Ikä 0–5]:[Ikä 18-64]])</f>
        <v>3511606.52</v>
      </c>
    </row>
    <row r="158" spans="1:16">
      <c r="A158" s="127">
        <v>499</v>
      </c>
      <c r="B158" s="124" t="s">
        <v>163</v>
      </c>
      <c r="C158" s="38">
        <f>SUM(Ikärakenne[[#This Row],[0–5-vuotiaat]:[16 vuotta täyttäneet]])</f>
        <v>19763</v>
      </c>
      <c r="D158" s="41">
        <v>1270</v>
      </c>
      <c r="E158" s="41">
        <v>241</v>
      </c>
      <c r="F158" s="41">
        <v>1656</v>
      </c>
      <c r="G158" s="41">
        <v>804</v>
      </c>
      <c r="H158" s="41">
        <v>15792</v>
      </c>
      <c r="I158" s="41">
        <v>10730</v>
      </c>
      <c r="J158" s="136">
        <v>10362222.1</v>
      </c>
      <c r="K158" s="136">
        <v>2086520.1600000001</v>
      </c>
      <c r="L158" s="136">
        <v>11974718.16</v>
      </c>
      <c r="M158" s="136">
        <v>9988582.4400000013</v>
      </c>
      <c r="N158" s="136">
        <v>1008319.2000000001</v>
      </c>
      <c r="O158" s="136">
        <v>895740.4</v>
      </c>
      <c r="P158" s="178">
        <f>SUM(Ikärakenne[[#This Row],[Ikä 0–5]:[Ikä 18-64]])</f>
        <v>36316102.460000001</v>
      </c>
    </row>
    <row r="159" spans="1:16">
      <c r="A159" s="127">
        <v>500</v>
      </c>
      <c r="B159" s="124" t="s">
        <v>164</v>
      </c>
      <c r="C159" s="38">
        <f>SUM(Ikärakenne[[#This Row],[0–5-vuotiaat]:[16 vuotta täyttäneet]])</f>
        <v>10551</v>
      </c>
      <c r="D159" s="41">
        <v>668</v>
      </c>
      <c r="E159" s="41">
        <v>138</v>
      </c>
      <c r="F159" s="41">
        <v>1021</v>
      </c>
      <c r="G159" s="41">
        <v>498</v>
      </c>
      <c r="H159" s="41">
        <v>8226</v>
      </c>
      <c r="I159" s="41">
        <v>5800</v>
      </c>
      <c r="J159" s="136">
        <v>5450365.6399999997</v>
      </c>
      <c r="K159" s="136">
        <v>1194770.8800000001</v>
      </c>
      <c r="L159" s="136">
        <v>7382963.3099999996</v>
      </c>
      <c r="M159" s="136">
        <v>6186957.7800000003</v>
      </c>
      <c r="N159" s="136">
        <v>525230.1</v>
      </c>
      <c r="O159" s="136">
        <v>484184</v>
      </c>
      <c r="P159" s="178">
        <f>SUM(Ikärakenne[[#This Row],[Ikä 0–5]:[Ikä 18-64]])</f>
        <v>21224471.710000001</v>
      </c>
    </row>
    <row r="160" spans="1:16">
      <c r="A160" s="127">
        <v>503</v>
      </c>
      <c r="B160" s="124" t="s">
        <v>165</v>
      </c>
      <c r="C160" s="38">
        <f>SUM(Ikärakenne[[#This Row],[0–5-vuotiaat]:[16 vuotta täyttäneet]])</f>
        <v>7515</v>
      </c>
      <c r="D160" s="41">
        <v>389</v>
      </c>
      <c r="E160" s="41">
        <v>76</v>
      </c>
      <c r="F160" s="41">
        <v>471</v>
      </c>
      <c r="G160" s="41">
        <v>266</v>
      </c>
      <c r="H160" s="41">
        <v>6313</v>
      </c>
      <c r="I160" s="41">
        <v>4018</v>
      </c>
      <c r="J160" s="136">
        <v>3173940.4699999997</v>
      </c>
      <c r="K160" s="136">
        <v>657989.76</v>
      </c>
      <c r="L160" s="136">
        <v>3405852.81</v>
      </c>
      <c r="M160" s="136">
        <v>3304680.2600000002</v>
      </c>
      <c r="N160" s="136">
        <v>403085.05</v>
      </c>
      <c r="O160" s="136">
        <v>335422.64</v>
      </c>
      <c r="P160" s="178">
        <f>SUM(Ikärakenne[[#This Row],[Ikä 0–5]:[Ikä 18-64]])</f>
        <v>11280970.99</v>
      </c>
    </row>
    <row r="161" spans="1:16">
      <c r="A161" s="127">
        <v>504</v>
      </c>
      <c r="B161" s="124" t="s">
        <v>166</v>
      </c>
      <c r="C161" s="38">
        <f>SUM(Ikärakenne[[#This Row],[0–5-vuotiaat]:[16 vuotta täyttäneet]])</f>
        <v>1715</v>
      </c>
      <c r="D161" s="41">
        <v>69</v>
      </c>
      <c r="E161" s="41">
        <v>12</v>
      </c>
      <c r="F161" s="41">
        <v>113</v>
      </c>
      <c r="G161" s="41">
        <v>62</v>
      </c>
      <c r="H161" s="41">
        <v>1459</v>
      </c>
      <c r="I161" s="41">
        <v>889</v>
      </c>
      <c r="J161" s="136">
        <v>562986.87</v>
      </c>
      <c r="K161" s="136">
        <v>103893.12</v>
      </c>
      <c r="L161" s="136">
        <v>817115.42999999993</v>
      </c>
      <c r="M161" s="136">
        <v>770263.82000000007</v>
      </c>
      <c r="N161" s="136">
        <v>93157.150000000009</v>
      </c>
      <c r="O161" s="136">
        <v>74213.72</v>
      </c>
      <c r="P161" s="178">
        <f>SUM(Ikärakenne[[#This Row],[Ikä 0–5]:[Ikä 18-64]])</f>
        <v>2421630.1100000003</v>
      </c>
    </row>
    <row r="162" spans="1:16">
      <c r="A162" s="127">
        <v>505</v>
      </c>
      <c r="B162" s="124" t="s">
        <v>167</v>
      </c>
      <c r="C162" s="38">
        <f>SUM(Ikärakenne[[#This Row],[0–5-vuotiaat]:[16 vuotta täyttäneet]])</f>
        <v>20957</v>
      </c>
      <c r="D162" s="41">
        <v>1155</v>
      </c>
      <c r="E162" s="41">
        <v>232</v>
      </c>
      <c r="F162" s="41">
        <v>1714</v>
      </c>
      <c r="G162" s="41">
        <v>973</v>
      </c>
      <c r="H162" s="41">
        <v>16883</v>
      </c>
      <c r="I162" s="41">
        <v>11920</v>
      </c>
      <c r="J162" s="136">
        <v>9423910.6500000004</v>
      </c>
      <c r="K162" s="136">
        <v>2008600.32</v>
      </c>
      <c r="L162" s="136">
        <v>12394122.539999999</v>
      </c>
      <c r="M162" s="136">
        <v>12088172.530000001</v>
      </c>
      <c r="N162" s="136">
        <v>1077979.55</v>
      </c>
      <c r="O162" s="136">
        <v>995081.60000000009</v>
      </c>
      <c r="P162" s="178">
        <f>SUM(Ikärakenne[[#This Row],[Ikä 0–5]:[Ikä 18-64]])</f>
        <v>37987867.189999998</v>
      </c>
    </row>
    <row r="163" spans="1:16">
      <c r="A163" s="127">
        <v>507</v>
      </c>
      <c r="B163" s="124" t="s">
        <v>168</v>
      </c>
      <c r="C163" s="38">
        <f>SUM(Ikärakenne[[#This Row],[0–5-vuotiaat]:[16 vuotta täyttäneet]])</f>
        <v>7099</v>
      </c>
      <c r="D163" s="41">
        <v>223</v>
      </c>
      <c r="E163" s="41">
        <v>41</v>
      </c>
      <c r="F163" s="41">
        <v>334</v>
      </c>
      <c r="G163" s="41">
        <v>205</v>
      </c>
      <c r="H163" s="41">
        <v>6296</v>
      </c>
      <c r="I163" s="41">
        <v>3386</v>
      </c>
      <c r="J163" s="136">
        <v>1819508.2899999998</v>
      </c>
      <c r="K163" s="136">
        <v>354968.16000000003</v>
      </c>
      <c r="L163" s="136">
        <v>2415190.7399999998</v>
      </c>
      <c r="M163" s="136">
        <v>2546840.0500000003</v>
      </c>
      <c r="N163" s="136">
        <v>401999.60000000003</v>
      </c>
      <c r="O163" s="136">
        <v>282663.28000000003</v>
      </c>
      <c r="P163" s="178">
        <f>SUM(Ikärakenne[[#This Row],[Ikä 0–5]:[Ikä 18-64]])</f>
        <v>7821170.1200000001</v>
      </c>
    </row>
    <row r="164" spans="1:16">
      <c r="A164" s="127">
        <v>508</v>
      </c>
      <c r="B164" s="124" t="s">
        <v>169</v>
      </c>
      <c r="C164" s="38">
        <f>SUM(Ikärakenne[[#This Row],[0–5-vuotiaat]:[16 vuotta täyttäneet]])</f>
        <v>9271</v>
      </c>
      <c r="D164" s="41">
        <v>309</v>
      </c>
      <c r="E164" s="41">
        <v>61</v>
      </c>
      <c r="F164" s="41">
        <v>475</v>
      </c>
      <c r="G164" s="41">
        <v>269</v>
      </c>
      <c r="H164" s="41">
        <v>8157</v>
      </c>
      <c r="I164" s="41">
        <v>4452</v>
      </c>
      <c r="J164" s="136">
        <v>2521202.0699999998</v>
      </c>
      <c r="K164" s="136">
        <v>528123.36</v>
      </c>
      <c r="L164" s="136">
        <v>3434777.25</v>
      </c>
      <c r="M164" s="136">
        <v>3341951.0900000003</v>
      </c>
      <c r="N164" s="136">
        <v>520824.45</v>
      </c>
      <c r="O164" s="136">
        <v>371652.96</v>
      </c>
      <c r="P164" s="178">
        <f>SUM(Ikärakenne[[#This Row],[Ikä 0–5]:[Ikä 18-64]])</f>
        <v>10718531.18</v>
      </c>
    </row>
    <row r="165" spans="1:16">
      <c r="A165" s="127">
        <v>529</v>
      </c>
      <c r="B165" s="124" t="s">
        <v>170</v>
      </c>
      <c r="C165" s="38">
        <f>SUM(Ikärakenne[[#This Row],[0–5-vuotiaat]:[16 vuotta täyttäneet]])</f>
        <v>19999</v>
      </c>
      <c r="D165" s="41">
        <v>981</v>
      </c>
      <c r="E165" s="41">
        <v>179</v>
      </c>
      <c r="F165" s="41">
        <v>1262</v>
      </c>
      <c r="G165" s="41">
        <v>728</v>
      </c>
      <c r="H165" s="41">
        <v>16849</v>
      </c>
      <c r="I165" s="41">
        <v>10792</v>
      </c>
      <c r="J165" s="136">
        <v>8004204.6299999999</v>
      </c>
      <c r="K165" s="136">
        <v>1549739.04</v>
      </c>
      <c r="L165" s="136">
        <v>9125660.8200000003</v>
      </c>
      <c r="M165" s="136">
        <v>9044388.0800000001</v>
      </c>
      <c r="N165" s="136">
        <v>1075808.6500000001</v>
      </c>
      <c r="O165" s="136">
        <v>900916.16</v>
      </c>
      <c r="P165" s="178">
        <f>SUM(Ikärakenne[[#This Row],[Ikä 0–5]:[Ikä 18-64]])</f>
        <v>29700717.379999999</v>
      </c>
    </row>
    <row r="166" spans="1:16">
      <c r="A166" s="127">
        <v>531</v>
      </c>
      <c r="B166" s="124" t="s">
        <v>171</v>
      </c>
      <c r="C166" s="38">
        <f>SUM(Ikärakenne[[#This Row],[0–5-vuotiaat]:[16 vuotta täyttäneet]])</f>
        <v>4966</v>
      </c>
      <c r="D166" s="41">
        <v>197</v>
      </c>
      <c r="E166" s="41">
        <v>24</v>
      </c>
      <c r="F166" s="41">
        <v>339</v>
      </c>
      <c r="G166" s="41">
        <v>179</v>
      </c>
      <c r="H166" s="41">
        <v>4227</v>
      </c>
      <c r="I166" s="41">
        <v>2587</v>
      </c>
      <c r="J166" s="136">
        <v>1607368.3099999998</v>
      </c>
      <c r="K166" s="136">
        <v>207786.23999999999</v>
      </c>
      <c r="L166" s="136">
        <v>2451346.29</v>
      </c>
      <c r="M166" s="136">
        <v>2223826.19</v>
      </c>
      <c r="N166" s="136">
        <v>269893.95</v>
      </c>
      <c r="O166" s="136">
        <v>215962.76</v>
      </c>
      <c r="P166" s="178">
        <f>SUM(Ikärakenne[[#This Row],[Ikä 0–5]:[Ikä 18-64]])</f>
        <v>6976183.7399999993</v>
      </c>
    </row>
    <row r="167" spans="1:16">
      <c r="A167" s="127">
        <v>535</v>
      </c>
      <c r="B167" s="124" t="s">
        <v>172</v>
      </c>
      <c r="C167" s="38">
        <f>SUM(Ikärakenne[[#This Row],[0–5-vuotiaat]:[16 vuotta täyttäneet]])</f>
        <v>10454</v>
      </c>
      <c r="D167" s="41">
        <v>701</v>
      </c>
      <c r="E167" s="41">
        <v>138</v>
      </c>
      <c r="F167" s="41">
        <v>1013</v>
      </c>
      <c r="G167" s="41">
        <v>553</v>
      </c>
      <c r="H167" s="41">
        <v>8049</v>
      </c>
      <c r="I167" s="41">
        <v>5214</v>
      </c>
      <c r="J167" s="136">
        <v>5719620.2299999995</v>
      </c>
      <c r="K167" s="136">
        <v>1194770.8800000001</v>
      </c>
      <c r="L167" s="136">
        <v>7325114.4299999997</v>
      </c>
      <c r="M167" s="136">
        <v>6870256.3300000001</v>
      </c>
      <c r="N167" s="136">
        <v>513928.65</v>
      </c>
      <c r="O167" s="136">
        <v>435264.72000000003</v>
      </c>
      <c r="P167" s="178">
        <f>SUM(Ikärakenne[[#This Row],[Ikä 0–5]:[Ikä 18-64]])</f>
        <v>22058955.239999995</v>
      </c>
    </row>
    <row r="168" spans="1:16">
      <c r="A168" s="127">
        <v>536</v>
      </c>
      <c r="B168" s="124" t="s">
        <v>173</v>
      </c>
      <c r="C168" s="38">
        <f>SUM(Ikärakenne[[#This Row],[0–5-vuotiaat]:[16 vuotta täyttäneet]])</f>
        <v>35647</v>
      </c>
      <c r="D168" s="41">
        <v>2003</v>
      </c>
      <c r="E168" s="41">
        <v>373</v>
      </c>
      <c r="F168" s="41">
        <v>2690</v>
      </c>
      <c r="G168" s="41">
        <v>1492</v>
      </c>
      <c r="H168" s="41">
        <v>29089</v>
      </c>
      <c r="I168" s="41">
        <v>20527</v>
      </c>
      <c r="J168" s="136">
        <v>16342937.689999999</v>
      </c>
      <c r="K168" s="136">
        <v>3229344.48</v>
      </c>
      <c r="L168" s="136">
        <v>19451685.899999999</v>
      </c>
      <c r="M168" s="136">
        <v>18536026.120000001</v>
      </c>
      <c r="N168" s="136">
        <v>1857332.6500000001</v>
      </c>
      <c r="O168" s="136">
        <v>1713593.9600000002</v>
      </c>
      <c r="P168" s="178">
        <f>SUM(Ikärakenne[[#This Row],[Ikä 0–5]:[Ikä 18-64]])</f>
        <v>61130920.799999997</v>
      </c>
    </row>
    <row r="169" spans="1:16">
      <c r="A169" s="127">
        <v>538</v>
      </c>
      <c r="B169" s="124" t="s">
        <v>174</v>
      </c>
      <c r="C169" s="38">
        <f>SUM(Ikärakenne[[#This Row],[0–5-vuotiaat]:[16 vuotta täyttäneet]])</f>
        <v>4695</v>
      </c>
      <c r="D169" s="41">
        <v>278</v>
      </c>
      <c r="E169" s="41">
        <v>51</v>
      </c>
      <c r="F169" s="41">
        <v>392</v>
      </c>
      <c r="G169" s="41">
        <v>210</v>
      </c>
      <c r="H169" s="41">
        <v>3764</v>
      </c>
      <c r="I169" s="41">
        <v>2631</v>
      </c>
      <c r="J169" s="136">
        <v>2268265.94</v>
      </c>
      <c r="K169" s="136">
        <v>441545.76</v>
      </c>
      <c r="L169" s="136">
        <v>2834595.1199999996</v>
      </c>
      <c r="M169" s="136">
        <v>2608958.1</v>
      </c>
      <c r="N169" s="136">
        <v>240331.4</v>
      </c>
      <c r="O169" s="136">
        <v>219635.88</v>
      </c>
      <c r="P169" s="178">
        <f>SUM(Ikärakenne[[#This Row],[Ikä 0–5]:[Ikä 18-64]])</f>
        <v>8613332.2000000011</v>
      </c>
    </row>
    <row r="170" spans="1:16">
      <c r="A170" s="127">
        <v>541</v>
      </c>
      <c r="B170" s="124" t="s">
        <v>175</v>
      </c>
      <c r="C170" s="38">
        <f>SUM(Ikärakenne[[#This Row],[0–5-vuotiaat]:[16 vuotta täyttäneet]])</f>
        <v>9130</v>
      </c>
      <c r="D170" s="41">
        <v>329</v>
      </c>
      <c r="E170" s="41">
        <v>59</v>
      </c>
      <c r="F170" s="41">
        <v>474</v>
      </c>
      <c r="G170" s="41">
        <v>242</v>
      </c>
      <c r="H170" s="41">
        <v>8026</v>
      </c>
      <c r="I170" s="41">
        <v>4397</v>
      </c>
      <c r="J170" s="136">
        <v>2684386.67</v>
      </c>
      <c r="K170" s="136">
        <v>510807.84</v>
      </c>
      <c r="L170" s="136">
        <v>3427546.1399999997</v>
      </c>
      <c r="M170" s="136">
        <v>3006513.62</v>
      </c>
      <c r="N170" s="136">
        <v>512460.10000000003</v>
      </c>
      <c r="O170" s="136">
        <v>367061.56</v>
      </c>
      <c r="P170" s="178">
        <f>SUM(Ikärakenne[[#This Row],[Ikä 0–5]:[Ikä 18-64]])</f>
        <v>10508775.93</v>
      </c>
    </row>
    <row r="171" spans="1:16">
      <c r="A171" s="127">
        <v>543</v>
      </c>
      <c r="B171" s="124" t="s">
        <v>176</v>
      </c>
      <c r="C171" s="38">
        <f>SUM(Ikärakenne[[#This Row],[0–5-vuotiaat]:[16 vuotta täyttäneet]])</f>
        <v>44785</v>
      </c>
      <c r="D171" s="41">
        <v>2840</v>
      </c>
      <c r="E171" s="41">
        <v>522</v>
      </c>
      <c r="F171" s="41">
        <v>3744</v>
      </c>
      <c r="G171" s="41">
        <v>2008</v>
      </c>
      <c r="H171" s="41">
        <v>35671</v>
      </c>
      <c r="I171" s="41">
        <v>26341</v>
      </c>
      <c r="J171" s="136">
        <v>23172213.199999999</v>
      </c>
      <c r="K171" s="136">
        <v>4519350.72</v>
      </c>
      <c r="L171" s="136">
        <v>27073275.84</v>
      </c>
      <c r="M171" s="136">
        <v>24946608.880000003</v>
      </c>
      <c r="N171" s="136">
        <v>2277593.35</v>
      </c>
      <c r="O171" s="136">
        <v>2198946.6800000002</v>
      </c>
      <c r="P171" s="178">
        <f>SUM(Ikärakenne[[#This Row],[Ikä 0–5]:[Ikä 18-64]])</f>
        <v>84187988.670000002</v>
      </c>
    </row>
    <row r="172" spans="1:16">
      <c r="A172" s="127">
        <v>545</v>
      </c>
      <c r="B172" s="124" t="s">
        <v>177</v>
      </c>
      <c r="C172" s="38">
        <f>SUM(Ikärakenne[[#This Row],[0–5-vuotiaat]:[16 vuotta täyttäneet]])</f>
        <v>9621</v>
      </c>
      <c r="D172" s="41">
        <v>545</v>
      </c>
      <c r="E172" s="41">
        <v>106</v>
      </c>
      <c r="F172" s="41">
        <v>669</v>
      </c>
      <c r="G172" s="41">
        <v>324</v>
      </c>
      <c r="H172" s="41">
        <v>7977</v>
      </c>
      <c r="I172" s="41">
        <v>5096</v>
      </c>
      <c r="J172" s="136">
        <v>4446780.3499999996</v>
      </c>
      <c r="K172" s="136">
        <v>917722.56</v>
      </c>
      <c r="L172" s="136">
        <v>4837612.59</v>
      </c>
      <c r="M172" s="136">
        <v>4025249.64</v>
      </c>
      <c r="N172" s="136">
        <v>509331.45</v>
      </c>
      <c r="O172" s="136">
        <v>425414.08</v>
      </c>
      <c r="P172" s="178">
        <f>SUM(Ikärakenne[[#This Row],[Ikä 0–5]:[Ikä 18-64]])</f>
        <v>15162110.67</v>
      </c>
    </row>
    <row r="173" spans="1:16">
      <c r="A173" s="127">
        <v>560</v>
      </c>
      <c r="B173" s="124" t="s">
        <v>178</v>
      </c>
      <c r="C173" s="38">
        <f>SUM(Ikärakenne[[#This Row],[0–5-vuotiaat]:[16 vuotta täyttäneet]])</f>
        <v>15669</v>
      </c>
      <c r="D173" s="41">
        <v>766</v>
      </c>
      <c r="E173" s="41">
        <v>148</v>
      </c>
      <c r="F173" s="41">
        <v>1121</v>
      </c>
      <c r="G173" s="41">
        <v>620</v>
      </c>
      <c r="H173" s="41">
        <v>13014</v>
      </c>
      <c r="I173" s="41">
        <v>8446</v>
      </c>
      <c r="J173" s="136">
        <v>6249970.1799999997</v>
      </c>
      <c r="K173" s="136">
        <v>1281348.48</v>
      </c>
      <c r="L173" s="136">
        <v>8106074.3099999996</v>
      </c>
      <c r="M173" s="136">
        <v>7702638.2000000002</v>
      </c>
      <c r="N173" s="136">
        <v>830943.9</v>
      </c>
      <c r="O173" s="136">
        <v>705072.08000000007</v>
      </c>
      <c r="P173" s="178">
        <f>SUM(Ikärakenne[[#This Row],[Ikä 0–5]:[Ikä 18-64]])</f>
        <v>24876047.149999999</v>
      </c>
    </row>
    <row r="174" spans="1:16">
      <c r="A174" s="127">
        <v>561</v>
      </c>
      <c r="B174" s="124" t="s">
        <v>179</v>
      </c>
      <c r="C174" s="38">
        <f>SUM(Ikärakenne[[#This Row],[0–5-vuotiaat]:[16 vuotta täyttäneet]])</f>
        <v>1315</v>
      </c>
      <c r="D174" s="41">
        <v>61</v>
      </c>
      <c r="E174" s="41">
        <v>19</v>
      </c>
      <c r="F174" s="41">
        <v>91</v>
      </c>
      <c r="G174" s="41">
        <v>64</v>
      </c>
      <c r="H174" s="41">
        <v>1080</v>
      </c>
      <c r="I174" s="41">
        <v>686</v>
      </c>
      <c r="J174" s="136">
        <v>497713.02999999997</v>
      </c>
      <c r="K174" s="136">
        <v>164497.44</v>
      </c>
      <c r="L174" s="136">
        <v>658031.01</v>
      </c>
      <c r="M174" s="136">
        <v>795111.04</v>
      </c>
      <c r="N174" s="136">
        <v>68958</v>
      </c>
      <c r="O174" s="136">
        <v>57267.280000000006</v>
      </c>
      <c r="P174" s="178">
        <f>SUM(Ikärakenne[[#This Row],[Ikä 0–5]:[Ikä 18-64]])</f>
        <v>2241577.7999999998</v>
      </c>
    </row>
    <row r="175" spans="1:16">
      <c r="A175" s="127">
        <v>562</v>
      </c>
      <c r="B175" s="124" t="s">
        <v>180</v>
      </c>
      <c r="C175" s="38">
        <f>SUM(Ikärakenne[[#This Row],[0–5-vuotiaat]:[16 vuotta täyttäneet]])</f>
        <v>8839</v>
      </c>
      <c r="D175" s="41">
        <v>382</v>
      </c>
      <c r="E175" s="41">
        <v>75</v>
      </c>
      <c r="F175" s="41">
        <v>546</v>
      </c>
      <c r="G175" s="41">
        <v>304</v>
      </c>
      <c r="H175" s="41">
        <v>7532</v>
      </c>
      <c r="I175" s="41">
        <v>4484</v>
      </c>
      <c r="J175" s="136">
        <v>3116825.86</v>
      </c>
      <c r="K175" s="136">
        <v>649332</v>
      </c>
      <c r="L175" s="136">
        <v>3948186.0599999996</v>
      </c>
      <c r="M175" s="136">
        <v>3776777.4400000004</v>
      </c>
      <c r="N175" s="136">
        <v>480918.2</v>
      </c>
      <c r="O175" s="136">
        <v>374324.32</v>
      </c>
      <c r="P175" s="178">
        <f>SUM(Ikärakenne[[#This Row],[Ikä 0–5]:[Ikä 18-64]])</f>
        <v>12346363.879999999</v>
      </c>
    </row>
    <row r="176" spans="1:16">
      <c r="A176" s="127">
        <v>563</v>
      </c>
      <c r="B176" s="124" t="s">
        <v>181</v>
      </c>
      <c r="C176" s="38">
        <f>SUM(Ikärakenne[[#This Row],[0–5-vuotiaat]:[16 vuotta täyttäneet]])</f>
        <v>6978</v>
      </c>
      <c r="D176" s="41">
        <v>348</v>
      </c>
      <c r="E176" s="41">
        <v>60</v>
      </c>
      <c r="F176" s="41">
        <v>534</v>
      </c>
      <c r="G176" s="41">
        <v>285</v>
      </c>
      <c r="H176" s="41">
        <v>5751</v>
      </c>
      <c r="I176" s="41">
        <v>3469</v>
      </c>
      <c r="J176" s="136">
        <v>2839412.04</v>
      </c>
      <c r="K176" s="136">
        <v>519465.60000000003</v>
      </c>
      <c r="L176" s="136">
        <v>3861412.7399999998</v>
      </c>
      <c r="M176" s="136">
        <v>3540728.85</v>
      </c>
      <c r="N176" s="136">
        <v>367201.35000000003</v>
      </c>
      <c r="O176" s="136">
        <v>289592.12</v>
      </c>
      <c r="P176" s="178">
        <f>SUM(Ikärakenne[[#This Row],[Ikä 0–5]:[Ikä 18-64]])</f>
        <v>11417812.699999999</v>
      </c>
    </row>
    <row r="177" spans="1:16">
      <c r="A177" s="127">
        <v>564</v>
      </c>
      <c r="B177" s="124" t="s">
        <v>182</v>
      </c>
      <c r="C177" s="38">
        <f>SUM(Ikärakenne[[#This Row],[0–5-vuotiaat]:[16 vuotta täyttäneet]])</f>
        <v>214633</v>
      </c>
      <c r="D177" s="41">
        <v>12083</v>
      </c>
      <c r="E177" s="41">
        <v>2111</v>
      </c>
      <c r="F177" s="41">
        <v>14978</v>
      </c>
      <c r="G177" s="41">
        <v>8094</v>
      </c>
      <c r="H177" s="41">
        <v>177367</v>
      </c>
      <c r="I177" s="41">
        <v>134695</v>
      </c>
      <c r="J177" s="136">
        <v>98587976.089999989</v>
      </c>
      <c r="K177" s="136">
        <v>18276531.359999999</v>
      </c>
      <c r="L177" s="136">
        <v>108307565.58</v>
      </c>
      <c r="M177" s="136">
        <v>100556699.34</v>
      </c>
      <c r="N177" s="136">
        <v>11324882.950000001</v>
      </c>
      <c r="O177" s="136">
        <v>11244338.6</v>
      </c>
      <c r="P177" s="178">
        <f>SUM(Ikärakenne[[#This Row],[Ikä 0–5]:[Ikä 18-64]])</f>
        <v>348297993.92000002</v>
      </c>
    </row>
    <row r="178" spans="1:16">
      <c r="A178" s="127">
        <v>576</v>
      </c>
      <c r="B178" s="124" t="s">
        <v>183</v>
      </c>
      <c r="C178" s="38">
        <f>SUM(Ikärakenne[[#This Row],[0–5-vuotiaat]:[16 vuotta täyttäneet]])</f>
        <v>2726</v>
      </c>
      <c r="D178" s="41">
        <v>89</v>
      </c>
      <c r="E178" s="41">
        <v>13</v>
      </c>
      <c r="F178" s="41">
        <v>100</v>
      </c>
      <c r="G178" s="41">
        <v>70</v>
      </c>
      <c r="H178" s="41">
        <v>2454</v>
      </c>
      <c r="I178" s="41">
        <v>1234</v>
      </c>
      <c r="J178" s="136">
        <v>726171.47</v>
      </c>
      <c r="K178" s="136">
        <v>112550.88</v>
      </c>
      <c r="L178" s="136">
        <v>723111</v>
      </c>
      <c r="M178" s="136">
        <v>869652.70000000007</v>
      </c>
      <c r="N178" s="136">
        <v>156687.9</v>
      </c>
      <c r="O178" s="136">
        <v>103014.32</v>
      </c>
      <c r="P178" s="178">
        <f>SUM(Ikärakenne[[#This Row],[Ikä 0–5]:[Ikä 18-64]])</f>
        <v>2691188.27</v>
      </c>
    </row>
    <row r="179" spans="1:16">
      <c r="A179" s="127">
        <v>577</v>
      </c>
      <c r="B179" s="124" t="s">
        <v>184</v>
      </c>
      <c r="C179" s="38">
        <f>SUM(Ikärakenne[[#This Row],[0–5-vuotiaat]:[16 vuotta täyttäneet]])</f>
        <v>11236</v>
      </c>
      <c r="D179" s="41">
        <v>706</v>
      </c>
      <c r="E179" s="41">
        <v>145</v>
      </c>
      <c r="F179" s="41">
        <v>927</v>
      </c>
      <c r="G179" s="41">
        <v>455</v>
      </c>
      <c r="H179" s="41">
        <v>9003</v>
      </c>
      <c r="I179" s="41">
        <v>6151</v>
      </c>
      <c r="J179" s="136">
        <v>5760416.3799999999</v>
      </c>
      <c r="K179" s="136">
        <v>1255375.2</v>
      </c>
      <c r="L179" s="136">
        <v>6703238.9699999997</v>
      </c>
      <c r="M179" s="136">
        <v>5652742.5499999998</v>
      </c>
      <c r="N179" s="136">
        <v>574841.55000000005</v>
      </c>
      <c r="O179" s="136">
        <v>513485.48000000004</v>
      </c>
      <c r="P179" s="178">
        <f>SUM(Ikärakenne[[#This Row],[Ikä 0–5]:[Ikä 18-64]])</f>
        <v>20460100.130000003</v>
      </c>
    </row>
    <row r="180" spans="1:16">
      <c r="A180" s="127">
        <v>578</v>
      </c>
      <c r="B180" s="124" t="s">
        <v>185</v>
      </c>
      <c r="C180" s="38">
        <f>SUM(Ikärakenne[[#This Row],[0–5-vuotiaat]:[16 vuotta täyttäneet]])</f>
        <v>3037</v>
      </c>
      <c r="D180" s="41">
        <v>96</v>
      </c>
      <c r="E180" s="41">
        <v>21</v>
      </c>
      <c r="F180" s="41">
        <v>165</v>
      </c>
      <c r="G180" s="41">
        <v>102</v>
      </c>
      <c r="H180" s="41">
        <v>2653</v>
      </c>
      <c r="I180" s="41">
        <v>1477</v>
      </c>
      <c r="J180" s="136">
        <v>783286.08</v>
      </c>
      <c r="K180" s="136">
        <v>181812.96</v>
      </c>
      <c r="L180" s="136">
        <v>1193133.1499999999</v>
      </c>
      <c r="M180" s="136">
        <v>1267208.22</v>
      </c>
      <c r="N180" s="136">
        <v>169394.05000000002</v>
      </c>
      <c r="O180" s="136">
        <v>123299.96</v>
      </c>
      <c r="P180" s="178">
        <f>SUM(Ikärakenne[[#This Row],[Ikä 0–5]:[Ikä 18-64]])</f>
        <v>3718134.42</v>
      </c>
    </row>
    <row r="181" spans="1:16">
      <c r="A181" s="127">
        <v>580</v>
      </c>
      <c r="B181" s="124" t="s">
        <v>186</v>
      </c>
      <c r="C181" s="38">
        <f>SUM(Ikärakenne[[#This Row],[0–5-vuotiaat]:[16 vuotta täyttäneet]])</f>
        <v>4366</v>
      </c>
      <c r="D181" s="41">
        <v>133</v>
      </c>
      <c r="E181" s="41">
        <v>25</v>
      </c>
      <c r="F181" s="41">
        <v>208</v>
      </c>
      <c r="G181" s="41">
        <v>97</v>
      </c>
      <c r="H181" s="41">
        <v>3903</v>
      </c>
      <c r="I181" s="41">
        <v>1975</v>
      </c>
      <c r="J181" s="136">
        <v>1085177.5899999999</v>
      </c>
      <c r="K181" s="136">
        <v>216444</v>
      </c>
      <c r="L181" s="136">
        <v>1504070.88</v>
      </c>
      <c r="M181" s="136">
        <v>1205090.1700000002</v>
      </c>
      <c r="N181" s="136">
        <v>249206.55000000002</v>
      </c>
      <c r="O181" s="136">
        <v>164873</v>
      </c>
      <c r="P181" s="178">
        <f>SUM(Ikärakenne[[#This Row],[Ikä 0–5]:[Ikä 18-64]])</f>
        <v>4424862.1899999995</v>
      </c>
    </row>
    <row r="182" spans="1:16">
      <c r="A182" s="127">
        <v>581</v>
      </c>
      <c r="B182" s="124" t="s">
        <v>187</v>
      </c>
      <c r="C182" s="38">
        <f>SUM(Ikärakenne[[#This Row],[0–5-vuotiaat]:[16 vuotta täyttäneet]])</f>
        <v>6123</v>
      </c>
      <c r="D182" s="41">
        <v>261</v>
      </c>
      <c r="E182" s="41">
        <v>47</v>
      </c>
      <c r="F182" s="41">
        <v>346</v>
      </c>
      <c r="G182" s="41">
        <v>206</v>
      </c>
      <c r="H182" s="41">
        <v>5263</v>
      </c>
      <c r="I182" s="41">
        <v>2982</v>
      </c>
      <c r="J182" s="136">
        <v>2129559.0299999998</v>
      </c>
      <c r="K182" s="136">
        <v>406914.72000000003</v>
      </c>
      <c r="L182" s="136">
        <v>2501964.06</v>
      </c>
      <c r="M182" s="136">
        <v>2559263.66</v>
      </c>
      <c r="N182" s="136">
        <v>336042.55</v>
      </c>
      <c r="O182" s="136">
        <v>248937.36000000002</v>
      </c>
      <c r="P182" s="178">
        <f>SUM(Ikärakenne[[#This Row],[Ikä 0–5]:[Ikä 18-64]])</f>
        <v>8182681.3800000008</v>
      </c>
    </row>
    <row r="183" spans="1:16">
      <c r="A183" s="127">
        <v>583</v>
      </c>
      <c r="B183" s="124" t="s">
        <v>188</v>
      </c>
      <c r="C183" s="38">
        <f>SUM(Ikärakenne[[#This Row],[0–5-vuotiaat]:[16 vuotta täyttäneet]])</f>
        <v>912</v>
      </c>
      <c r="D183" s="41">
        <v>23</v>
      </c>
      <c r="E183" s="41">
        <v>4</v>
      </c>
      <c r="F183" s="41">
        <v>42</v>
      </c>
      <c r="G183" s="41">
        <v>10</v>
      </c>
      <c r="H183" s="41">
        <v>833</v>
      </c>
      <c r="I183" s="41">
        <v>467</v>
      </c>
      <c r="J183" s="136">
        <v>187662.28999999998</v>
      </c>
      <c r="K183" s="136">
        <v>34631.040000000001</v>
      </c>
      <c r="L183" s="136">
        <v>303706.62</v>
      </c>
      <c r="M183" s="136">
        <v>124236.1</v>
      </c>
      <c r="N183" s="136">
        <v>53187.05</v>
      </c>
      <c r="O183" s="136">
        <v>38985.160000000003</v>
      </c>
      <c r="P183" s="178">
        <f>SUM(Ikärakenne[[#This Row],[Ikä 0–5]:[Ikä 18-64]])</f>
        <v>742408.26</v>
      </c>
    </row>
    <row r="184" spans="1:16">
      <c r="A184" s="127">
        <v>584</v>
      </c>
      <c r="B184" s="124" t="s">
        <v>189</v>
      </c>
      <c r="C184" s="38">
        <f>SUM(Ikärakenne[[#This Row],[0–5-vuotiaat]:[16 vuotta täyttäneet]])</f>
        <v>2578</v>
      </c>
      <c r="D184" s="41">
        <v>187</v>
      </c>
      <c r="E184" s="41">
        <v>40</v>
      </c>
      <c r="F184" s="41">
        <v>288</v>
      </c>
      <c r="G184" s="41">
        <v>151</v>
      </c>
      <c r="H184" s="41">
        <v>1912</v>
      </c>
      <c r="I184" s="41">
        <v>1143</v>
      </c>
      <c r="J184" s="136">
        <v>1525776.01</v>
      </c>
      <c r="K184" s="136">
        <v>346310.40000000002</v>
      </c>
      <c r="L184" s="136">
        <v>2082559.68</v>
      </c>
      <c r="M184" s="136">
        <v>1875965.11</v>
      </c>
      <c r="N184" s="136">
        <v>122081.2</v>
      </c>
      <c r="O184" s="136">
        <v>95417.64</v>
      </c>
      <c r="P184" s="178">
        <f>SUM(Ikärakenne[[#This Row],[Ikä 0–5]:[Ikä 18-64]])</f>
        <v>6048110.04</v>
      </c>
    </row>
    <row r="185" spans="1:16">
      <c r="A185" s="127">
        <v>592</v>
      </c>
      <c r="B185" s="124" t="s">
        <v>191</v>
      </c>
      <c r="C185" s="38">
        <f>SUM(Ikärakenne[[#This Row],[0–5-vuotiaat]:[16 vuotta täyttäneet]])</f>
        <v>3596</v>
      </c>
      <c r="D185" s="41">
        <v>172</v>
      </c>
      <c r="E185" s="41">
        <v>37</v>
      </c>
      <c r="F185" s="41">
        <v>273</v>
      </c>
      <c r="G185" s="41">
        <v>175</v>
      </c>
      <c r="H185" s="41">
        <v>2939</v>
      </c>
      <c r="I185" s="41">
        <v>1896</v>
      </c>
      <c r="J185" s="136">
        <v>1403387.5599999998</v>
      </c>
      <c r="K185" s="136">
        <v>320337.12</v>
      </c>
      <c r="L185" s="136">
        <v>1974093.0299999998</v>
      </c>
      <c r="M185" s="136">
        <v>2174131.75</v>
      </c>
      <c r="N185" s="136">
        <v>187655.15</v>
      </c>
      <c r="O185" s="136">
        <v>158278.08000000002</v>
      </c>
      <c r="P185" s="178">
        <f>SUM(Ikärakenne[[#This Row],[Ikä 0–5]:[Ikä 18-64]])</f>
        <v>6217882.6899999995</v>
      </c>
    </row>
    <row r="186" spans="1:16">
      <c r="A186" s="127">
        <v>593</v>
      </c>
      <c r="B186" s="124" t="s">
        <v>192</v>
      </c>
      <c r="C186" s="38">
        <f>SUM(Ikärakenne[[#This Row],[0–5-vuotiaat]:[16 vuotta täyttäneet]])</f>
        <v>17050</v>
      </c>
      <c r="D186" s="41">
        <v>598</v>
      </c>
      <c r="E186" s="41">
        <v>119</v>
      </c>
      <c r="F186" s="41">
        <v>898</v>
      </c>
      <c r="G186" s="41">
        <v>447</v>
      </c>
      <c r="H186" s="41">
        <v>14988</v>
      </c>
      <c r="I186" s="41">
        <v>8627</v>
      </c>
      <c r="J186" s="136">
        <v>4879219.54</v>
      </c>
      <c r="K186" s="136">
        <v>1030273.4400000001</v>
      </c>
      <c r="L186" s="136">
        <v>6493536.7799999993</v>
      </c>
      <c r="M186" s="136">
        <v>5553353.6699999999</v>
      </c>
      <c r="N186" s="136">
        <v>956983.8</v>
      </c>
      <c r="O186" s="136">
        <v>720181.96000000008</v>
      </c>
      <c r="P186" s="178">
        <f>SUM(Ikärakenne[[#This Row],[Ikä 0–5]:[Ikä 18-64]])</f>
        <v>19633549.190000001</v>
      </c>
    </row>
    <row r="187" spans="1:16">
      <c r="A187" s="127">
        <v>595</v>
      </c>
      <c r="B187" s="124" t="s">
        <v>193</v>
      </c>
      <c r="C187" s="38">
        <f>SUM(Ikärakenne[[#This Row],[0–5-vuotiaat]:[16 vuotta täyttäneet]])</f>
        <v>4073</v>
      </c>
      <c r="D187" s="41">
        <v>139</v>
      </c>
      <c r="E187" s="41">
        <v>35</v>
      </c>
      <c r="F187" s="41">
        <v>207</v>
      </c>
      <c r="G187" s="41">
        <v>141</v>
      </c>
      <c r="H187" s="41">
        <v>3551</v>
      </c>
      <c r="I187" s="41">
        <v>1816</v>
      </c>
      <c r="J187" s="136">
        <v>1134132.97</v>
      </c>
      <c r="K187" s="136">
        <v>303021.60000000003</v>
      </c>
      <c r="L187" s="136">
        <v>1496839.77</v>
      </c>
      <c r="M187" s="136">
        <v>1751729.01</v>
      </c>
      <c r="N187" s="136">
        <v>226731.35</v>
      </c>
      <c r="O187" s="136">
        <v>151599.67999999999</v>
      </c>
      <c r="P187" s="178">
        <f>SUM(Ikärakenne[[#This Row],[Ikä 0–5]:[Ikä 18-64]])</f>
        <v>5064054.379999999</v>
      </c>
    </row>
    <row r="188" spans="1:16">
      <c r="A188" s="127">
        <v>598</v>
      </c>
      <c r="B188" s="124" t="s">
        <v>194</v>
      </c>
      <c r="C188" s="38">
        <f>SUM(Ikärakenne[[#This Row],[0–5-vuotiaat]:[16 vuotta täyttäneet]])</f>
        <v>19475</v>
      </c>
      <c r="D188" s="41">
        <v>1014</v>
      </c>
      <c r="E188" s="41">
        <v>201</v>
      </c>
      <c r="F188" s="41">
        <v>1192</v>
      </c>
      <c r="G188" s="41">
        <v>710</v>
      </c>
      <c r="H188" s="41">
        <v>16358</v>
      </c>
      <c r="I188" s="41">
        <v>10809</v>
      </c>
      <c r="J188" s="136">
        <v>8273459.2199999997</v>
      </c>
      <c r="K188" s="136">
        <v>1740209.76</v>
      </c>
      <c r="L188" s="136">
        <v>8619483.1199999992</v>
      </c>
      <c r="M188" s="136">
        <v>8820763.0999999996</v>
      </c>
      <c r="N188" s="136">
        <v>1044458.3</v>
      </c>
      <c r="O188" s="136">
        <v>902335.32000000007</v>
      </c>
      <c r="P188" s="178">
        <f>SUM(Ikärakenne[[#This Row],[Ikä 0–5]:[Ikä 18-64]])</f>
        <v>29400708.820000004</v>
      </c>
    </row>
    <row r="189" spans="1:16">
      <c r="A189" s="127">
        <v>599</v>
      </c>
      <c r="B189" s="124" t="s">
        <v>195</v>
      </c>
      <c r="C189" s="38">
        <f>SUM(Ikärakenne[[#This Row],[0–5-vuotiaat]:[16 vuotta täyttäneet]])</f>
        <v>11225</v>
      </c>
      <c r="D189" s="41">
        <v>990</v>
      </c>
      <c r="E189" s="41">
        <v>171</v>
      </c>
      <c r="F189" s="41">
        <v>1012</v>
      </c>
      <c r="G189" s="41">
        <v>584</v>
      </c>
      <c r="H189" s="41">
        <v>8468</v>
      </c>
      <c r="I189" s="41">
        <v>5971</v>
      </c>
      <c r="J189" s="136">
        <v>8077637.6999999993</v>
      </c>
      <c r="K189" s="136">
        <v>1480476.96</v>
      </c>
      <c r="L189" s="136">
        <v>7317883.3199999994</v>
      </c>
      <c r="M189" s="136">
        <v>7255388.2400000002</v>
      </c>
      <c r="N189" s="136">
        <v>540681.80000000005</v>
      </c>
      <c r="O189" s="136">
        <v>498459.08</v>
      </c>
      <c r="P189" s="178">
        <f>SUM(Ikärakenne[[#This Row],[Ikä 0–5]:[Ikä 18-64]])</f>
        <v>25170527.099999998</v>
      </c>
    </row>
    <row r="190" spans="1:16">
      <c r="A190" s="127">
        <v>601</v>
      </c>
      <c r="B190" s="124" t="s">
        <v>196</v>
      </c>
      <c r="C190" s="38">
        <f>SUM(Ikärakenne[[#This Row],[0–5-vuotiaat]:[16 vuotta täyttäneet]])</f>
        <v>3739</v>
      </c>
      <c r="D190" s="41">
        <v>141</v>
      </c>
      <c r="E190" s="41">
        <v>32</v>
      </c>
      <c r="F190" s="41">
        <v>221</v>
      </c>
      <c r="G190" s="41">
        <v>149</v>
      </c>
      <c r="H190" s="41">
        <v>3196</v>
      </c>
      <c r="I190" s="41">
        <v>1795</v>
      </c>
      <c r="J190" s="136">
        <v>1150451.43</v>
      </c>
      <c r="K190" s="136">
        <v>277048.32000000001</v>
      </c>
      <c r="L190" s="136">
        <v>1598075.3099999998</v>
      </c>
      <c r="M190" s="136">
        <v>1851117.8900000001</v>
      </c>
      <c r="N190" s="136">
        <v>204064.6</v>
      </c>
      <c r="O190" s="136">
        <v>149846.6</v>
      </c>
      <c r="P190" s="178">
        <f>SUM(Ikärakenne[[#This Row],[Ikä 0–5]:[Ikä 18-64]])</f>
        <v>5230604.1499999985</v>
      </c>
    </row>
    <row r="191" spans="1:16">
      <c r="A191" s="127">
        <v>604</v>
      </c>
      <c r="B191" s="124" t="s">
        <v>197</v>
      </c>
      <c r="C191" s="38">
        <f>SUM(Ikärakenne[[#This Row],[0–5-vuotiaat]:[16 vuotta täyttäneet]])</f>
        <v>20763</v>
      </c>
      <c r="D191" s="41">
        <v>1245</v>
      </c>
      <c r="E191" s="41">
        <v>258</v>
      </c>
      <c r="F191" s="41">
        <v>1792</v>
      </c>
      <c r="G191" s="41">
        <v>885</v>
      </c>
      <c r="H191" s="41">
        <v>16583</v>
      </c>
      <c r="I191" s="41">
        <v>12206</v>
      </c>
      <c r="J191" s="136">
        <v>10158241.35</v>
      </c>
      <c r="K191" s="136">
        <v>2233702.08</v>
      </c>
      <c r="L191" s="136">
        <v>12958149.119999999</v>
      </c>
      <c r="M191" s="136">
        <v>10994894.85</v>
      </c>
      <c r="N191" s="136">
        <v>1058824.55</v>
      </c>
      <c r="O191" s="136">
        <v>1018956.88</v>
      </c>
      <c r="P191" s="178">
        <f>SUM(Ikärakenne[[#This Row],[Ikä 0–5]:[Ikä 18-64]])</f>
        <v>38422768.829999998</v>
      </c>
    </row>
    <row r="192" spans="1:16">
      <c r="A192" s="127">
        <v>607</v>
      </c>
      <c r="B192" s="124" t="s">
        <v>198</v>
      </c>
      <c r="C192" s="38">
        <f>SUM(Ikärakenne[[#This Row],[0–5-vuotiaat]:[16 vuotta täyttäneet]])</f>
        <v>4064</v>
      </c>
      <c r="D192" s="41">
        <v>171</v>
      </c>
      <c r="E192" s="41">
        <v>36</v>
      </c>
      <c r="F192" s="41">
        <v>242</v>
      </c>
      <c r="G192" s="41">
        <v>121</v>
      </c>
      <c r="H192" s="41">
        <v>3494</v>
      </c>
      <c r="I192" s="41">
        <v>1928</v>
      </c>
      <c r="J192" s="136">
        <v>1395228.3299999998</v>
      </c>
      <c r="K192" s="136">
        <v>311679.35999999999</v>
      </c>
      <c r="L192" s="136">
        <v>1749928.6199999999</v>
      </c>
      <c r="M192" s="136">
        <v>1503256.81</v>
      </c>
      <c r="N192" s="136">
        <v>223091.9</v>
      </c>
      <c r="O192" s="136">
        <v>160949.44</v>
      </c>
      <c r="P192" s="178">
        <f>SUM(Ikärakenne[[#This Row],[Ikä 0–5]:[Ikä 18-64]])</f>
        <v>5344134.46</v>
      </c>
    </row>
    <row r="193" spans="1:16">
      <c r="A193" s="127">
        <v>608</v>
      </c>
      <c r="B193" s="124" t="s">
        <v>199</v>
      </c>
      <c r="C193" s="38">
        <f>SUM(Ikärakenne[[#This Row],[0–5-vuotiaat]:[16 vuotta täyttäneet]])</f>
        <v>1943</v>
      </c>
      <c r="D193" s="41">
        <v>86</v>
      </c>
      <c r="E193" s="41">
        <v>9</v>
      </c>
      <c r="F193" s="41">
        <v>123</v>
      </c>
      <c r="G193" s="41">
        <v>61</v>
      </c>
      <c r="H193" s="41">
        <v>1664</v>
      </c>
      <c r="I193" s="41">
        <v>950</v>
      </c>
      <c r="J193" s="136">
        <v>701693.77999999991</v>
      </c>
      <c r="K193" s="136">
        <v>77919.839999999997</v>
      </c>
      <c r="L193" s="136">
        <v>889426.52999999991</v>
      </c>
      <c r="M193" s="136">
        <v>757840.21000000008</v>
      </c>
      <c r="N193" s="136">
        <v>106246.40000000001</v>
      </c>
      <c r="O193" s="136">
        <v>79306</v>
      </c>
      <c r="P193" s="178">
        <f>SUM(Ikärakenne[[#This Row],[Ikä 0–5]:[Ikä 18-64]])</f>
        <v>2612432.7599999998</v>
      </c>
    </row>
    <row r="194" spans="1:16">
      <c r="A194" s="127">
        <v>609</v>
      </c>
      <c r="B194" s="124" t="s">
        <v>200</v>
      </c>
      <c r="C194" s="38">
        <f>SUM(Ikärakenne[[#This Row],[0–5-vuotiaat]:[16 vuotta täyttäneet]])</f>
        <v>83106</v>
      </c>
      <c r="D194" s="41">
        <v>3730</v>
      </c>
      <c r="E194" s="41">
        <v>714</v>
      </c>
      <c r="F194" s="41">
        <v>4885</v>
      </c>
      <c r="G194" s="41">
        <v>2622</v>
      </c>
      <c r="H194" s="41">
        <v>71155</v>
      </c>
      <c r="I194" s="41">
        <v>46902</v>
      </c>
      <c r="J194" s="136">
        <v>30433927.899999999</v>
      </c>
      <c r="K194" s="136">
        <v>6181640.6400000006</v>
      </c>
      <c r="L194" s="136">
        <v>35323972.350000001</v>
      </c>
      <c r="M194" s="136">
        <v>32574705.420000002</v>
      </c>
      <c r="N194" s="136">
        <v>4543246.75</v>
      </c>
      <c r="O194" s="136">
        <v>3915378.96</v>
      </c>
      <c r="P194" s="178">
        <f>SUM(Ikärakenne[[#This Row],[Ikä 0–5]:[Ikä 18-64]])</f>
        <v>112972872.02</v>
      </c>
    </row>
    <row r="195" spans="1:16">
      <c r="A195" s="124">
        <v>611</v>
      </c>
      <c r="B195" s="124" t="s">
        <v>201</v>
      </c>
      <c r="C195" s="38">
        <f>SUM(Ikärakenne[[#This Row],[0–5-vuotiaat]:[16 vuotta täyttäneet]])</f>
        <v>4973</v>
      </c>
      <c r="D195" s="41">
        <v>285</v>
      </c>
      <c r="E195" s="41">
        <v>68</v>
      </c>
      <c r="F195" s="41">
        <v>386</v>
      </c>
      <c r="G195" s="41">
        <v>224</v>
      </c>
      <c r="H195" s="41">
        <v>4010</v>
      </c>
      <c r="I195" s="41">
        <v>2914</v>
      </c>
      <c r="J195" s="136">
        <v>2325380.5499999998</v>
      </c>
      <c r="K195" s="136">
        <v>588727.68000000005</v>
      </c>
      <c r="L195" s="136">
        <v>2791208.46</v>
      </c>
      <c r="M195" s="136">
        <v>2782888.64</v>
      </c>
      <c r="N195" s="136">
        <v>256038.5</v>
      </c>
      <c r="O195" s="136">
        <v>243260.72</v>
      </c>
      <c r="P195" s="178">
        <f>SUM(Ikärakenne[[#This Row],[Ikä 0–5]:[Ikä 18-64]])</f>
        <v>8987504.5500000007</v>
      </c>
    </row>
    <row r="196" spans="1:16">
      <c r="A196" s="127">
        <v>614</v>
      </c>
      <c r="B196" s="124" t="s">
        <v>202</v>
      </c>
      <c r="C196" s="38">
        <f>SUM(Ikärakenne[[#This Row],[0–5-vuotiaat]:[16 vuotta täyttäneet]])</f>
        <v>2923</v>
      </c>
      <c r="D196" s="41">
        <v>64</v>
      </c>
      <c r="E196" s="41">
        <v>11</v>
      </c>
      <c r="F196" s="41">
        <v>104</v>
      </c>
      <c r="G196" s="41">
        <v>64</v>
      </c>
      <c r="H196" s="41">
        <v>2680</v>
      </c>
      <c r="I196" s="41">
        <v>1370</v>
      </c>
      <c r="J196" s="136">
        <v>522190.72</v>
      </c>
      <c r="K196" s="136">
        <v>95235.36</v>
      </c>
      <c r="L196" s="136">
        <v>752035.44</v>
      </c>
      <c r="M196" s="136">
        <v>795111.04</v>
      </c>
      <c r="N196" s="136">
        <v>171118</v>
      </c>
      <c r="O196" s="136">
        <v>114367.6</v>
      </c>
      <c r="P196" s="178">
        <f>SUM(Ikärakenne[[#This Row],[Ikä 0–5]:[Ikä 18-64]])</f>
        <v>2450058.16</v>
      </c>
    </row>
    <row r="197" spans="1:16">
      <c r="A197" s="127">
        <v>615</v>
      </c>
      <c r="B197" s="124" t="s">
        <v>203</v>
      </c>
      <c r="C197" s="38">
        <f>SUM(Ikärakenne[[#This Row],[0–5-vuotiaat]:[16 vuotta täyttäneet]])</f>
        <v>7479</v>
      </c>
      <c r="D197" s="41">
        <v>328</v>
      </c>
      <c r="E197" s="41">
        <v>63</v>
      </c>
      <c r="F197" s="41">
        <v>523</v>
      </c>
      <c r="G197" s="41">
        <v>275</v>
      </c>
      <c r="H197" s="41">
        <v>6290</v>
      </c>
      <c r="I197" s="41">
        <v>3506</v>
      </c>
      <c r="J197" s="136">
        <v>2676227.44</v>
      </c>
      <c r="K197" s="136">
        <v>545438.88</v>
      </c>
      <c r="L197" s="136">
        <v>3781870.53</v>
      </c>
      <c r="M197" s="136">
        <v>3416492.75</v>
      </c>
      <c r="N197" s="136">
        <v>401616.5</v>
      </c>
      <c r="O197" s="136">
        <v>292680.88</v>
      </c>
      <c r="P197" s="178">
        <f>SUM(Ikärakenne[[#This Row],[Ikä 0–5]:[Ikä 18-64]])</f>
        <v>11114326.98</v>
      </c>
    </row>
    <row r="198" spans="1:16">
      <c r="A198" s="127">
        <v>616</v>
      </c>
      <c r="B198" s="124" t="s">
        <v>204</v>
      </c>
      <c r="C198" s="38">
        <f>SUM(Ikärakenne[[#This Row],[0–5-vuotiaat]:[16 vuotta täyttäneet]])</f>
        <v>1781</v>
      </c>
      <c r="D198" s="41">
        <v>71</v>
      </c>
      <c r="E198" s="41">
        <v>13</v>
      </c>
      <c r="F198" s="41">
        <v>124</v>
      </c>
      <c r="G198" s="41">
        <v>64</v>
      </c>
      <c r="H198" s="41">
        <v>1509</v>
      </c>
      <c r="I198" s="41">
        <v>1036</v>
      </c>
      <c r="J198" s="136">
        <v>579305.32999999996</v>
      </c>
      <c r="K198" s="136">
        <v>112550.88</v>
      </c>
      <c r="L198" s="136">
        <v>896657.64</v>
      </c>
      <c r="M198" s="136">
        <v>795111.04</v>
      </c>
      <c r="N198" s="136">
        <v>96349.650000000009</v>
      </c>
      <c r="O198" s="136">
        <v>86485.28</v>
      </c>
      <c r="P198" s="178">
        <f>SUM(Ikärakenne[[#This Row],[Ikä 0–5]:[Ikä 18-64]])</f>
        <v>2566459.8199999998</v>
      </c>
    </row>
    <row r="199" spans="1:16">
      <c r="A199" s="127">
        <v>619</v>
      </c>
      <c r="B199" s="124" t="s">
        <v>205</v>
      </c>
      <c r="C199" s="38">
        <f>SUM(Ikärakenne[[#This Row],[0–5-vuotiaat]:[16 vuotta täyttäneet]])</f>
        <v>2650</v>
      </c>
      <c r="D199" s="41">
        <v>90</v>
      </c>
      <c r="E199" s="41">
        <v>18</v>
      </c>
      <c r="F199" s="41">
        <v>132</v>
      </c>
      <c r="G199" s="41">
        <v>88</v>
      </c>
      <c r="H199" s="41">
        <v>2322</v>
      </c>
      <c r="I199" s="41">
        <v>1265</v>
      </c>
      <c r="J199" s="136">
        <v>734330.7</v>
      </c>
      <c r="K199" s="136">
        <v>155839.67999999999</v>
      </c>
      <c r="L199" s="136">
        <v>954506.5199999999</v>
      </c>
      <c r="M199" s="136">
        <v>1093277.6800000002</v>
      </c>
      <c r="N199" s="136">
        <v>148259.70000000001</v>
      </c>
      <c r="O199" s="136">
        <v>105602.20000000001</v>
      </c>
      <c r="P199" s="178">
        <f>SUM(Ikärakenne[[#This Row],[Ikä 0–5]:[Ikä 18-64]])</f>
        <v>3191816.4800000004</v>
      </c>
    </row>
    <row r="200" spans="1:16">
      <c r="A200" s="127">
        <v>620</v>
      </c>
      <c r="B200" s="124" t="s">
        <v>206</v>
      </c>
      <c r="C200" s="38">
        <f>SUM(Ikärakenne[[#This Row],[0–5-vuotiaat]:[16 vuotta täyttäneet]])</f>
        <v>2359</v>
      </c>
      <c r="D200" s="41">
        <v>57</v>
      </c>
      <c r="E200" s="41">
        <v>13</v>
      </c>
      <c r="F200" s="41">
        <v>107</v>
      </c>
      <c r="G200" s="41">
        <v>57</v>
      </c>
      <c r="H200" s="41">
        <v>2125</v>
      </c>
      <c r="I200" s="41">
        <v>1077</v>
      </c>
      <c r="J200" s="136">
        <v>465076.11</v>
      </c>
      <c r="K200" s="136">
        <v>112550.88</v>
      </c>
      <c r="L200" s="136">
        <v>773728.77</v>
      </c>
      <c r="M200" s="136">
        <v>708145.77</v>
      </c>
      <c r="N200" s="136">
        <v>135681.25</v>
      </c>
      <c r="O200" s="136">
        <v>89907.96</v>
      </c>
      <c r="P200" s="178">
        <f>SUM(Ikärakenne[[#This Row],[Ikä 0–5]:[Ikä 18-64]])</f>
        <v>2285090.7400000002</v>
      </c>
    </row>
    <row r="201" spans="1:16">
      <c r="A201" s="127">
        <v>623</v>
      </c>
      <c r="B201" s="124" t="s">
        <v>207</v>
      </c>
      <c r="C201" s="38">
        <f>SUM(Ikärakenne[[#This Row],[0–5-vuotiaat]:[16 vuotta täyttäneet]])</f>
        <v>2108</v>
      </c>
      <c r="D201" s="41">
        <v>52</v>
      </c>
      <c r="E201" s="41">
        <v>8</v>
      </c>
      <c r="F201" s="41">
        <v>49</v>
      </c>
      <c r="G201" s="41">
        <v>35</v>
      </c>
      <c r="H201" s="41">
        <v>1964</v>
      </c>
      <c r="I201" s="41">
        <v>957</v>
      </c>
      <c r="J201" s="136">
        <v>424279.95999999996</v>
      </c>
      <c r="K201" s="136">
        <v>69262.080000000002</v>
      </c>
      <c r="L201" s="136">
        <v>354324.38999999996</v>
      </c>
      <c r="M201" s="136">
        <v>434826.35000000003</v>
      </c>
      <c r="N201" s="136">
        <v>125401.40000000001</v>
      </c>
      <c r="O201" s="136">
        <v>79890.36</v>
      </c>
      <c r="P201" s="178">
        <f>SUM(Ikärakenne[[#This Row],[Ikä 0–5]:[Ikä 18-64]])</f>
        <v>1487984.54</v>
      </c>
    </row>
    <row r="202" spans="1:16">
      <c r="A202" s="127">
        <v>624</v>
      </c>
      <c r="B202" s="124" t="s">
        <v>208</v>
      </c>
      <c r="C202" s="38">
        <f>SUM(Ikärakenne[[#This Row],[0–5-vuotiaat]:[16 vuotta täyttäneet]])</f>
        <v>5065</v>
      </c>
      <c r="D202" s="41">
        <v>238</v>
      </c>
      <c r="E202" s="41">
        <v>46</v>
      </c>
      <c r="F202" s="41">
        <v>379</v>
      </c>
      <c r="G202" s="41">
        <v>183</v>
      </c>
      <c r="H202" s="41">
        <v>4219</v>
      </c>
      <c r="I202" s="41">
        <v>2711</v>
      </c>
      <c r="J202" s="136">
        <v>1941896.74</v>
      </c>
      <c r="K202" s="136">
        <v>398256.96</v>
      </c>
      <c r="L202" s="136">
        <v>2740590.69</v>
      </c>
      <c r="M202" s="136">
        <v>2273520.63</v>
      </c>
      <c r="N202" s="136">
        <v>269383.15000000002</v>
      </c>
      <c r="O202" s="136">
        <v>226314.28</v>
      </c>
      <c r="P202" s="178">
        <f>SUM(Ikärakenne[[#This Row],[Ikä 0–5]:[Ikä 18-64]])</f>
        <v>7849962.4500000011</v>
      </c>
    </row>
    <row r="203" spans="1:16">
      <c r="A203" s="127">
        <v>625</v>
      </c>
      <c r="B203" s="124" t="s">
        <v>209</v>
      </c>
      <c r="C203" s="38">
        <f>SUM(Ikärakenne[[#This Row],[0–5-vuotiaat]:[16 vuotta täyttäneet]])</f>
        <v>2980</v>
      </c>
      <c r="D203" s="41">
        <v>144</v>
      </c>
      <c r="E203" s="41">
        <v>32</v>
      </c>
      <c r="F203" s="41">
        <v>221</v>
      </c>
      <c r="G203" s="41">
        <v>129</v>
      </c>
      <c r="H203" s="41">
        <v>2454</v>
      </c>
      <c r="I203" s="41">
        <v>1480</v>
      </c>
      <c r="J203" s="136">
        <v>1174929.1199999999</v>
      </c>
      <c r="K203" s="136">
        <v>277048.32000000001</v>
      </c>
      <c r="L203" s="136">
        <v>1598075.3099999998</v>
      </c>
      <c r="M203" s="136">
        <v>1602645.6900000002</v>
      </c>
      <c r="N203" s="136">
        <v>156687.9</v>
      </c>
      <c r="O203" s="136">
        <v>123550.40000000001</v>
      </c>
      <c r="P203" s="178">
        <f>SUM(Ikärakenne[[#This Row],[Ikä 0–5]:[Ikä 18-64]])</f>
        <v>4932936.7400000012</v>
      </c>
    </row>
    <row r="204" spans="1:16">
      <c r="A204" s="127">
        <v>626</v>
      </c>
      <c r="B204" s="124" t="s">
        <v>210</v>
      </c>
      <c r="C204" s="38">
        <f>SUM(Ikärakenne[[#This Row],[0–5-vuotiaat]:[16 vuotta täyttäneet]])</f>
        <v>4756</v>
      </c>
      <c r="D204" s="41">
        <v>195</v>
      </c>
      <c r="E204" s="41">
        <v>43</v>
      </c>
      <c r="F204" s="41">
        <v>301</v>
      </c>
      <c r="G204" s="41">
        <v>167</v>
      </c>
      <c r="H204" s="41">
        <v>4050</v>
      </c>
      <c r="I204" s="41">
        <v>2181</v>
      </c>
      <c r="J204" s="136">
        <v>1591049.8499999999</v>
      </c>
      <c r="K204" s="136">
        <v>372283.68</v>
      </c>
      <c r="L204" s="136">
        <v>2176564.11</v>
      </c>
      <c r="M204" s="136">
        <v>2074742.87</v>
      </c>
      <c r="N204" s="136">
        <v>258592.5</v>
      </c>
      <c r="O204" s="136">
        <v>182069.88</v>
      </c>
      <c r="P204" s="178">
        <f>SUM(Ikärakenne[[#This Row],[Ikä 0–5]:[Ikä 18-64]])</f>
        <v>6655302.8899999997</v>
      </c>
    </row>
    <row r="205" spans="1:16">
      <c r="A205" s="127">
        <v>630</v>
      </c>
      <c r="B205" s="124" t="s">
        <v>211</v>
      </c>
      <c r="C205" s="38">
        <f>SUM(Ikärakenne[[#This Row],[0–5-vuotiaat]:[16 vuotta täyttäneet]])</f>
        <v>1646</v>
      </c>
      <c r="D205" s="41">
        <v>137</v>
      </c>
      <c r="E205" s="41">
        <v>24</v>
      </c>
      <c r="F205" s="41">
        <v>144</v>
      </c>
      <c r="G205" s="41">
        <v>72</v>
      </c>
      <c r="H205" s="41">
        <v>1269</v>
      </c>
      <c r="I205" s="41">
        <v>807</v>
      </c>
      <c r="J205" s="136">
        <v>1117814.51</v>
      </c>
      <c r="K205" s="136">
        <v>207786.23999999999</v>
      </c>
      <c r="L205" s="136">
        <v>1041279.84</v>
      </c>
      <c r="M205" s="136">
        <v>894499.92</v>
      </c>
      <c r="N205" s="136">
        <v>81025.650000000009</v>
      </c>
      <c r="O205" s="136">
        <v>67368.36</v>
      </c>
      <c r="P205" s="178">
        <f>SUM(Ikärakenne[[#This Row],[Ikä 0–5]:[Ikä 18-64]])</f>
        <v>3409774.5199999996</v>
      </c>
    </row>
    <row r="206" spans="1:16">
      <c r="A206" s="127">
        <v>631</v>
      </c>
      <c r="B206" s="124" t="s">
        <v>212</v>
      </c>
      <c r="C206" s="38">
        <f>SUM(Ikärakenne[[#This Row],[0–5-vuotiaat]:[16 vuotta täyttäneet]])</f>
        <v>1930</v>
      </c>
      <c r="D206" s="41">
        <v>94</v>
      </c>
      <c r="E206" s="41">
        <v>21</v>
      </c>
      <c r="F206" s="41">
        <v>132</v>
      </c>
      <c r="G206" s="41">
        <v>60</v>
      </c>
      <c r="H206" s="41">
        <v>1623</v>
      </c>
      <c r="I206" s="41">
        <v>1000</v>
      </c>
      <c r="J206" s="136">
        <v>766967.62</v>
      </c>
      <c r="K206" s="136">
        <v>181812.96</v>
      </c>
      <c r="L206" s="136">
        <v>954506.5199999999</v>
      </c>
      <c r="M206" s="136">
        <v>745416.60000000009</v>
      </c>
      <c r="N206" s="136">
        <v>103628.55</v>
      </c>
      <c r="O206" s="136">
        <v>83480</v>
      </c>
      <c r="P206" s="178">
        <f>SUM(Ikärakenne[[#This Row],[Ikä 0–5]:[Ikä 18-64]])</f>
        <v>2835812.25</v>
      </c>
    </row>
    <row r="207" spans="1:16">
      <c r="A207" s="127">
        <v>635</v>
      </c>
      <c r="B207" s="124" t="s">
        <v>213</v>
      </c>
      <c r="C207" s="38">
        <f>SUM(Ikärakenne[[#This Row],[0–5-vuotiaat]:[16 vuotta täyttäneet]])</f>
        <v>6337</v>
      </c>
      <c r="D207" s="41">
        <v>271</v>
      </c>
      <c r="E207" s="41">
        <v>45</v>
      </c>
      <c r="F207" s="41">
        <v>390</v>
      </c>
      <c r="G207" s="41">
        <v>237</v>
      </c>
      <c r="H207" s="41">
        <v>5394</v>
      </c>
      <c r="I207" s="41">
        <v>3301</v>
      </c>
      <c r="J207" s="136">
        <v>2211151.33</v>
      </c>
      <c r="K207" s="136">
        <v>389599.2</v>
      </c>
      <c r="L207" s="136">
        <v>2820132.9</v>
      </c>
      <c r="M207" s="136">
        <v>2944395.5700000003</v>
      </c>
      <c r="N207" s="136">
        <v>344406.9</v>
      </c>
      <c r="O207" s="136">
        <v>275567.48000000004</v>
      </c>
      <c r="P207" s="178">
        <f>SUM(Ikärakenne[[#This Row],[Ikä 0–5]:[Ikä 18-64]])</f>
        <v>8985253.3800000008</v>
      </c>
    </row>
    <row r="208" spans="1:16">
      <c r="A208" s="127">
        <v>636</v>
      </c>
      <c r="B208" s="124" t="s">
        <v>214</v>
      </c>
      <c r="C208" s="38">
        <f>SUM(Ikärakenne[[#This Row],[0–5-vuotiaat]:[16 vuotta täyttäneet]])</f>
        <v>8130</v>
      </c>
      <c r="D208" s="41">
        <v>416</v>
      </c>
      <c r="E208" s="41">
        <v>98</v>
      </c>
      <c r="F208" s="41">
        <v>617</v>
      </c>
      <c r="G208" s="41">
        <v>353</v>
      </c>
      <c r="H208" s="41">
        <v>6646</v>
      </c>
      <c r="I208" s="41">
        <v>4283</v>
      </c>
      <c r="J208" s="136">
        <v>3394239.6799999997</v>
      </c>
      <c r="K208" s="136">
        <v>848460.48</v>
      </c>
      <c r="L208" s="136">
        <v>4461594.87</v>
      </c>
      <c r="M208" s="136">
        <v>4385534.33</v>
      </c>
      <c r="N208" s="136">
        <v>424347.10000000003</v>
      </c>
      <c r="O208" s="136">
        <v>357544.84</v>
      </c>
      <c r="P208" s="178">
        <f>SUM(Ikärakenne[[#This Row],[Ikä 0–5]:[Ikä 18-64]])</f>
        <v>13871721.300000001</v>
      </c>
    </row>
    <row r="209" spans="1:16">
      <c r="A209" s="127">
        <v>638</v>
      </c>
      <c r="B209" s="124" t="s">
        <v>215</v>
      </c>
      <c r="C209" s="38">
        <f>SUM(Ikärakenne[[#This Row],[0–5-vuotiaat]:[16 vuotta täyttäneet]])</f>
        <v>51289</v>
      </c>
      <c r="D209" s="41">
        <v>2708</v>
      </c>
      <c r="E209" s="41">
        <v>518</v>
      </c>
      <c r="F209" s="41">
        <v>3671</v>
      </c>
      <c r="G209" s="41">
        <v>1958</v>
      </c>
      <c r="H209" s="41">
        <v>42434</v>
      </c>
      <c r="I209" s="41">
        <v>29370</v>
      </c>
      <c r="J209" s="136">
        <v>22095194.84</v>
      </c>
      <c r="K209" s="136">
        <v>4484719.68</v>
      </c>
      <c r="L209" s="136">
        <v>26545404.809999999</v>
      </c>
      <c r="M209" s="136">
        <v>24325428.380000003</v>
      </c>
      <c r="N209" s="136">
        <v>2709410.9</v>
      </c>
      <c r="O209" s="136">
        <v>2451807.6</v>
      </c>
      <c r="P209" s="178">
        <f>SUM(Ikärakenne[[#This Row],[Ikä 0–5]:[Ikä 18-64]])</f>
        <v>82611966.210000008</v>
      </c>
    </row>
    <row r="210" spans="1:16">
      <c r="A210" s="127">
        <v>678</v>
      </c>
      <c r="B210" s="124" t="s">
        <v>216</v>
      </c>
      <c r="C210" s="38">
        <f>SUM(Ikärakenne[[#This Row],[0–5-vuotiaat]:[16 vuotta täyttäneet]])</f>
        <v>23797</v>
      </c>
      <c r="D210" s="41">
        <v>1144</v>
      </c>
      <c r="E210" s="41">
        <v>257</v>
      </c>
      <c r="F210" s="41">
        <v>1841</v>
      </c>
      <c r="G210" s="41">
        <v>1038</v>
      </c>
      <c r="H210" s="41">
        <v>19517</v>
      </c>
      <c r="I210" s="41">
        <v>12233</v>
      </c>
      <c r="J210" s="136">
        <v>9334159.1199999992</v>
      </c>
      <c r="K210" s="136">
        <v>2225044.3199999998</v>
      </c>
      <c r="L210" s="136">
        <v>13312473.51</v>
      </c>
      <c r="M210" s="136">
        <v>12895707.18</v>
      </c>
      <c r="N210" s="136">
        <v>1246160.45</v>
      </c>
      <c r="O210" s="136">
        <v>1021210.8400000001</v>
      </c>
      <c r="P210" s="178">
        <f>SUM(Ikärakenne[[#This Row],[Ikä 0–5]:[Ikä 18-64]])</f>
        <v>40034755.420000002</v>
      </c>
    </row>
    <row r="211" spans="1:16">
      <c r="A211" s="127">
        <v>680</v>
      </c>
      <c r="B211" s="124" t="s">
        <v>217</v>
      </c>
      <c r="C211" s="38">
        <f>SUM(Ikärakenne[[#This Row],[0–5-vuotiaat]:[16 vuotta täyttäneet]])</f>
        <v>25331</v>
      </c>
      <c r="D211" s="41">
        <v>1387</v>
      </c>
      <c r="E211" s="41">
        <v>268</v>
      </c>
      <c r="F211" s="41">
        <v>1664</v>
      </c>
      <c r="G211" s="41">
        <v>828</v>
      </c>
      <c r="H211" s="41">
        <v>21184</v>
      </c>
      <c r="I211" s="41">
        <v>14608</v>
      </c>
      <c r="J211" s="136">
        <v>11316852.01</v>
      </c>
      <c r="K211" s="136">
        <v>2320279.6800000002</v>
      </c>
      <c r="L211" s="136">
        <v>12032567.039999999</v>
      </c>
      <c r="M211" s="136">
        <v>10286749.08</v>
      </c>
      <c r="N211" s="136">
        <v>1352598.4000000001</v>
      </c>
      <c r="O211" s="136">
        <v>1219475.8400000001</v>
      </c>
      <c r="P211" s="178">
        <f>SUM(Ikärakenne[[#This Row],[Ikä 0–5]:[Ikä 18-64]])</f>
        <v>38528522.049999997</v>
      </c>
    </row>
    <row r="212" spans="1:16">
      <c r="A212" s="127">
        <v>681</v>
      </c>
      <c r="B212" s="124" t="s">
        <v>218</v>
      </c>
      <c r="C212" s="38">
        <f>SUM(Ikärakenne[[#This Row],[0–5-vuotiaat]:[16 vuotta täyttäneet]])</f>
        <v>3297</v>
      </c>
      <c r="D212" s="41">
        <v>109</v>
      </c>
      <c r="E212" s="41">
        <v>29</v>
      </c>
      <c r="F212" s="41">
        <v>193</v>
      </c>
      <c r="G212" s="41">
        <v>78</v>
      </c>
      <c r="H212" s="41">
        <v>2888</v>
      </c>
      <c r="I212" s="41">
        <v>1612</v>
      </c>
      <c r="J212" s="136">
        <v>889356.07</v>
      </c>
      <c r="K212" s="136">
        <v>251075.04</v>
      </c>
      <c r="L212" s="136">
        <v>1395604.23</v>
      </c>
      <c r="M212" s="136">
        <v>969041.58000000007</v>
      </c>
      <c r="N212" s="136">
        <v>184398.80000000002</v>
      </c>
      <c r="O212" s="136">
        <v>134569.76</v>
      </c>
      <c r="P212" s="178">
        <f>SUM(Ikärakenne[[#This Row],[Ikä 0–5]:[Ikä 18-64]])</f>
        <v>3824045.4799999995</v>
      </c>
    </row>
    <row r="213" spans="1:16">
      <c r="A213" s="127">
        <v>683</v>
      </c>
      <c r="B213" s="124" t="s">
        <v>219</v>
      </c>
      <c r="C213" s="38">
        <f>SUM(Ikärakenne[[#This Row],[0–5-vuotiaat]:[16 vuotta täyttäneet]])</f>
        <v>3599</v>
      </c>
      <c r="D213" s="41">
        <v>158</v>
      </c>
      <c r="E213" s="41">
        <v>37</v>
      </c>
      <c r="F213" s="41">
        <v>281</v>
      </c>
      <c r="G213" s="41">
        <v>178</v>
      </c>
      <c r="H213" s="41">
        <v>2945</v>
      </c>
      <c r="I213" s="41">
        <v>1683</v>
      </c>
      <c r="J213" s="136">
        <v>1289158.3399999999</v>
      </c>
      <c r="K213" s="136">
        <v>320337.12</v>
      </c>
      <c r="L213" s="136">
        <v>2031941.91</v>
      </c>
      <c r="M213" s="136">
        <v>2211402.58</v>
      </c>
      <c r="N213" s="136">
        <v>188038.25</v>
      </c>
      <c r="O213" s="136">
        <v>140496.84</v>
      </c>
      <c r="P213" s="178">
        <f>SUM(Ikärakenne[[#This Row],[Ikä 0–5]:[Ikä 18-64]])</f>
        <v>6181375.04</v>
      </c>
    </row>
    <row r="214" spans="1:16">
      <c r="A214" s="127">
        <v>684</v>
      </c>
      <c r="B214" s="124" t="s">
        <v>220</v>
      </c>
      <c r="C214" s="38">
        <f>SUM(Ikärakenne[[#This Row],[0–5-vuotiaat]:[16 vuotta täyttäneet]])</f>
        <v>38832</v>
      </c>
      <c r="D214" s="41">
        <v>1744</v>
      </c>
      <c r="E214" s="41">
        <v>379</v>
      </c>
      <c r="F214" s="41">
        <v>2297</v>
      </c>
      <c r="G214" s="41">
        <v>1248</v>
      </c>
      <c r="H214" s="41">
        <v>33164</v>
      </c>
      <c r="I214" s="41">
        <v>21739</v>
      </c>
      <c r="J214" s="136">
        <v>14229697.119999999</v>
      </c>
      <c r="K214" s="136">
        <v>3281291.04</v>
      </c>
      <c r="L214" s="136">
        <v>16609859.67</v>
      </c>
      <c r="M214" s="136">
        <v>15504665.280000001</v>
      </c>
      <c r="N214" s="136">
        <v>2117521.4</v>
      </c>
      <c r="O214" s="136">
        <v>1814771.72</v>
      </c>
      <c r="P214" s="178">
        <f>SUM(Ikärakenne[[#This Row],[Ikä 0–5]:[Ikä 18-64]])</f>
        <v>53557806.229999997</v>
      </c>
    </row>
    <row r="215" spans="1:16">
      <c r="A215" s="127">
        <v>686</v>
      </c>
      <c r="B215" s="124" t="s">
        <v>221</v>
      </c>
      <c r="C215" s="38">
        <f>SUM(Ikärakenne[[#This Row],[0–5-vuotiaat]:[16 vuotta täyttäneet]])</f>
        <v>2933</v>
      </c>
      <c r="D215" s="41">
        <v>86</v>
      </c>
      <c r="E215" s="41">
        <v>19</v>
      </c>
      <c r="F215" s="41">
        <v>146</v>
      </c>
      <c r="G215" s="41">
        <v>100</v>
      </c>
      <c r="H215" s="41">
        <v>2582</v>
      </c>
      <c r="I215" s="41">
        <v>1424</v>
      </c>
      <c r="J215" s="136">
        <v>701693.77999999991</v>
      </c>
      <c r="K215" s="136">
        <v>164497.44</v>
      </c>
      <c r="L215" s="136">
        <v>1055742.06</v>
      </c>
      <c r="M215" s="136">
        <v>1242361</v>
      </c>
      <c r="N215" s="136">
        <v>164860.70000000001</v>
      </c>
      <c r="O215" s="136">
        <v>118875.52</v>
      </c>
      <c r="P215" s="178">
        <f>SUM(Ikärakenne[[#This Row],[Ikä 0–5]:[Ikä 18-64]])</f>
        <v>3448030.5000000005</v>
      </c>
    </row>
    <row r="216" spans="1:16">
      <c r="A216" s="127">
        <v>687</v>
      </c>
      <c r="B216" s="124" t="s">
        <v>222</v>
      </c>
      <c r="C216" s="38">
        <f>SUM(Ikärakenne[[#This Row],[0–5-vuotiaat]:[16 vuotta täyttäneet]])</f>
        <v>1424</v>
      </c>
      <c r="D216" s="41">
        <v>34</v>
      </c>
      <c r="E216" s="41">
        <v>8</v>
      </c>
      <c r="F216" s="41">
        <v>56</v>
      </c>
      <c r="G216" s="41">
        <v>45</v>
      </c>
      <c r="H216" s="41">
        <v>1281</v>
      </c>
      <c r="I216" s="41">
        <v>656</v>
      </c>
      <c r="J216" s="136">
        <v>277413.82</v>
      </c>
      <c r="K216" s="136">
        <v>69262.080000000002</v>
      </c>
      <c r="L216" s="136">
        <v>404942.16</v>
      </c>
      <c r="M216" s="136">
        <v>559062.45000000007</v>
      </c>
      <c r="N216" s="136">
        <v>81791.850000000006</v>
      </c>
      <c r="O216" s="136">
        <v>54762.880000000005</v>
      </c>
      <c r="P216" s="178">
        <f>SUM(Ikärakenne[[#This Row],[Ikä 0–5]:[Ikä 18-64]])</f>
        <v>1447235.2400000002</v>
      </c>
    </row>
    <row r="217" spans="1:16">
      <c r="A217" s="127">
        <v>689</v>
      </c>
      <c r="B217" s="124" t="s">
        <v>223</v>
      </c>
      <c r="C217" s="38">
        <f>SUM(Ikärakenne[[#This Row],[0–5-vuotiaat]:[16 vuotta täyttäneet]])</f>
        <v>3032</v>
      </c>
      <c r="D217" s="41">
        <v>79</v>
      </c>
      <c r="E217" s="41">
        <v>13</v>
      </c>
      <c r="F217" s="41">
        <v>131</v>
      </c>
      <c r="G217" s="41">
        <v>70</v>
      </c>
      <c r="H217" s="41">
        <v>2739</v>
      </c>
      <c r="I217" s="41">
        <v>1411</v>
      </c>
      <c r="J217" s="136">
        <v>644579.16999999993</v>
      </c>
      <c r="K217" s="136">
        <v>112550.88</v>
      </c>
      <c r="L217" s="136">
        <v>947275.40999999992</v>
      </c>
      <c r="M217" s="136">
        <v>869652.70000000007</v>
      </c>
      <c r="N217" s="136">
        <v>174885.15</v>
      </c>
      <c r="O217" s="136">
        <v>117790.28</v>
      </c>
      <c r="P217" s="178">
        <f>SUM(Ikärakenne[[#This Row],[Ikä 0–5]:[Ikä 18-64]])</f>
        <v>2866733.59</v>
      </c>
    </row>
    <row r="218" spans="1:16">
      <c r="A218" s="127">
        <v>691</v>
      </c>
      <c r="B218" s="124" t="s">
        <v>224</v>
      </c>
      <c r="C218" s="38">
        <f>SUM(Ikärakenne[[#This Row],[0–5-vuotiaat]:[16 vuotta täyttäneet]])</f>
        <v>2598</v>
      </c>
      <c r="D218" s="41">
        <v>163</v>
      </c>
      <c r="E218" s="41">
        <v>23</v>
      </c>
      <c r="F218" s="41">
        <v>217</v>
      </c>
      <c r="G218" s="41">
        <v>104</v>
      </c>
      <c r="H218" s="41">
        <v>2091</v>
      </c>
      <c r="I218" s="41">
        <v>1263</v>
      </c>
      <c r="J218" s="136">
        <v>1329954.49</v>
      </c>
      <c r="K218" s="136">
        <v>199128.48</v>
      </c>
      <c r="L218" s="136">
        <v>1569150.8699999999</v>
      </c>
      <c r="M218" s="136">
        <v>1292055.44</v>
      </c>
      <c r="N218" s="136">
        <v>133510.35</v>
      </c>
      <c r="O218" s="136">
        <v>105435.24</v>
      </c>
      <c r="P218" s="178">
        <f>SUM(Ikärakenne[[#This Row],[Ikä 0–5]:[Ikä 18-64]])</f>
        <v>4629234.8699999992</v>
      </c>
    </row>
    <row r="219" spans="1:16">
      <c r="A219" s="127">
        <v>694</v>
      </c>
      <c r="B219" s="124" t="s">
        <v>225</v>
      </c>
      <c r="C219" s="38">
        <f>SUM(Ikärakenne[[#This Row],[0–5-vuotiaat]:[16 vuotta täyttäneet]])</f>
        <v>28483</v>
      </c>
      <c r="D219" s="41">
        <v>1280</v>
      </c>
      <c r="E219" s="41">
        <v>248</v>
      </c>
      <c r="F219" s="41">
        <v>1823</v>
      </c>
      <c r="G219" s="41">
        <v>1090</v>
      </c>
      <c r="H219" s="41">
        <v>24042</v>
      </c>
      <c r="I219" s="41">
        <v>16355</v>
      </c>
      <c r="J219" s="136">
        <v>10443814.399999999</v>
      </c>
      <c r="K219" s="136">
        <v>2147124.48</v>
      </c>
      <c r="L219" s="136">
        <v>13182313.529999999</v>
      </c>
      <c r="M219" s="136">
        <v>13541734.9</v>
      </c>
      <c r="N219" s="136">
        <v>1535081.7</v>
      </c>
      <c r="O219" s="136">
        <v>1365315.4000000001</v>
      </c>
      <c r="P219" s="178">
        <f>SUM(Ikärakenne[[#This Row],[Ikä 0–5]:[Ikä 18-64]])</f>
        <v>42215384.409999996</v>
      </c>
    </row>
    <row r="220" spans="1:16">
      <c r="A220" s="127">
        <v>697</v>
      </c>
      <c r="B220" s="124" t="s">
        <v>226</v>
      </c>
      <c r="C220" s="38">
        <f>SUM(Ikärakenne[[#This Row],[0–5-vuotiaat]:[16 vuotta täyttäneet]])</f>
        <v>1164</v>
      </c>
      <c r="D220" s="41">
        <v>37</v>
      </c>
      <c r="E220" s="41">
        <v>10</v>
      </c>
      <c r="F220" s="41">
        <v>50</v>
      </c>
      <c r="G220" s="41">
        <v>32</v>
      </c>
      <c r="H220" s="41">
        <v>1035</v>
      </c>
      <c r="I220" s="41">
        <v>529</v>
      </c>
      <c r="J220" s="136">
        <v>301891.51</v>
      </c>
      <c r="K220" s="136">
        <v>86577.600000000006</v>
      </c>
      <c r="L220" s="136">
        <v>361555.5</v>
      </c>
      <c r="M220" s="136">
        <v>397555.52</v>
      </c>
      <c r="N220" s="136">
        <v>66084.75</v>
      </c>
      <c r="O220" s="136">
        <v>44160.920000000006</v>
      </c>
      <c r="P220" s="178">
        <f>SUM(Ikärakenne[[#This Row],[Ikä 0–5]:[Ikä 18-64]])</f>
        <v>1257825.7999999998</v>
      </c>
    </row>
    <row r="221" spans="1:16">
      <c r="A221" s="127">
        <v>698</v>
      </c>
      <c r="B221" s="124" t="s">
        <v>227</v>
      </c>
      <c r="C221" s="38">
        <f>SUM(Ikärakenne[[#This Row],[0–5-vuotiaat]:[16 vuotta täyttäneet]])</f>
        <v>65286</v>
      </c>
      <c r="D221" s="41">
        <v>3588</v>
      </c>
      <c r="E221" s="41">
        <v>630</v>
      </c>
      <c r="F221" s="41">
        <v>4411</v>
      </c>
      <c r="G221" s="41">
        <v>2363</v>
      </c>
      <c r="H221" s="41">
        <v>54294</v>
      </c>
      <c r="I221" s="41">
        <v>39088</v>
      </c>
      <c r="J221" s="136">
        <v>29275317.239999998</v>
      </c>
      <c r="K221" s="136">
        <v>5454388.7999999998</v>
      </c>
      <c r="L221" s="136">
        <v>31896426.209999997</v>
      </c>
      <c r="M221" s="136">
        <v>29356990.43</v>
      </c>
      <c r="N221" s="136">
        <v>3466671.9</v>
      </c>
      <c r="O221" s="136">
        <v>3263066.24</v>
      </c>
      <c r="P221" s="178">
        <f>SUM(Ikärakenne[[#This Row],[Ikä 0–5]:[Ikä 18-64]])</f>
        <v>102712860.82000001</v>
      </c>
    </row>
    <row r="222" spans="1:16">
      <c r="A222" s="127">
        <v>700</v>
      </c>
      <c r="B222" s="124" t="s">
        <v>228</v>
      </c>
      <c r="C222" s="38">
        <f>SUM(Ikärakenne[[#This Row],[0–5-vuotiaat]:[16 vuotta täyttäneet]])</f>
        <v>4758</v>
      </c>
      <c r="D222" s="41">
        <v>129</v>
      </c>
      <c r="E222" s="41">
        <v>37</v>
      </c>
      <c r="F222" s="41">
        <v>253</v>
      </c>
      <c r="G222" s="41">
        <v>163</v>
      </c>
      <c r="H222" s="41">
        <v>4176</v>
      </c>
      <c r="I222" s="41">
        <v>2321</v>
      </c>
      <c r="J222" s="136">
        <v>1052540.67</v>
      </c>
      <c r="K222" s="136">
        <v>320337.12</v>
      </c>
      <c r="L222" s="136">
        <v>1829470.8299999998</v>
      </c>
      <c r="M222" s="136">
        <v>2025048.4300000002</v>
      </c>
      <c r="N222" s="136">
        <v>266637.60000000003</v>
      </c>
      <c r="O222" s="136">
        <v>193757.08000000002</v>
      </c>
      <c r="P222" s="178">
        <f>SUM(Ikärakenne[[#This Row],[Ikä 0–5]:[Ikä 18-64]])</f>
        <v>5687791.7300000004</v>
      </c>
    </row>
    <row r="223" spans="1:16">
      <c r="A223" s="127">
        <v>702</v>
      </c>
      <c r="B223" s="124" t="s">
        <v>229</v>
      </c>
      <c r="C223" s="38">
        <f>SUM(Ikärakenne[[#This Row],[0–5-vuotiaat]:[16 vuotta täyttäneet]])</f>
        <v>4124</v>
      </c>
      <c r="D223" s="41">
        <v>142</v>
      </c>
      <c r="E223" s="41">
        <v>31</v>
      </c>
      <c r="F223" s="41">
        <v>193</v>
      </c>
      <c r="G223" s="41">
        <v>110</v>
      </c>
      <c r="H223" s="41">
        <v>3648</v>
      </c>
      <c r="I223" s="41">
        <v>1913</v>
      </c>
      <c r="J223" s="136">
        <v>1158610.6599999999</v>
      </c>
      <c r="K223" s="136">
        <v>268390.56</v>
      </c>
      <c r="L223" s="136">
        <v>1395604.23</v>
      </c>
      <c r="M223" s="136">
        <v>1366597.1</v>
      </c>
      <c r="N223" s="136">
        <v>232924.80000000002</v>
      </c>
      <c r="O223" s="136">
        <v>159697.24000000002</v>
      </c>
      <c r="P223" s="178">
        <f>SUM(Ikärakenne[[#This Row],[Ikä 0–5]:[Ikä 18-64]])</f>
        <v>4581824.5900000008</v>
      </c>
    </row>
    <row r="224" spans="1:16">
      <c r="A224" s="127">
        <v>704</v>
      </c>
      <c r="B224" s="124" t="s">
        <v>230</v>
      </c>
      <c r="C224" s="38">
        <f>SUM(Ikärakenne[[#This Row],[0–5-vuotiaat]:[16 vuotta täyttäneet]])</f>
        <v>6436</v>
      </c>
      <c r="D224" s="41">
        <v>441</v>
      </c>
      <c r="E224" s="41">
        <v>88</v>
      </c>
      <c r="F224" s="41">
        <v>583</v>
      </c>
      <c r="G224" s="41">
        <v>236</v>
      </c>
      <c r="H224" s="41">
        <v>5088</v>
      </c>
      <c r="I224" s="41">
        <v>3582</v>
      </c>
      <c r="J224" s="136">
        <v>3598220.4299999997</v>
      </c>
      <c r="K224" s="136">
        <v>761882.88</v>
      </c>
      <c r="L224" s="136">
        <v>4215737.13</v>
      </c>
      <c r="M224" s="136">
        <v>2931971.96</v>
      </c>
      <c r="N224" s="136">
        <v>324868.8</v>
      </c>
      <c r="O224" s="136">
        <v>299025.36</v>
      </c>
      <c r="P224" s="178">
        <f>SUM(Ikärakenne[[#This Row],[Ikä 0–5]:[Ikä 18-64]])</f>
        <v>12131706.559999999</v>
      </c>
    </row>
    <row r="225" spans="1:16">
      <c r="A225" s="127">
        <v>707</v>
      </c>
      <c r="B225" s="124" t="s">
        <v>231</v>
      </c>
      <c r="C225" s="38">
        <f>SUM(Ikärakenne[[#This Row],[0–5-vuotiaat]:[16 vuotta täyttäneet]])</f>
        <v>1902</v>
      </c>
      <c r="D225" s="41">
        <v>29</v>
      </c>
      <c r="E225" s="41">
        <v>7</v>
      </c>
      <c r="F225" s="41">
        <v>72</v>
      </c>
      <c r="G225" s="41">
        <v>39</v>
      </c>
      <c r="H225" s="41">
        <v>1755</v>
      </c>
      <c r="I225" s="41">
        <v>842</v>
      </c>
      <c r="J225" s="136">
        <v>236617.66999999998</v>
      </c>
      <c r="K225" s="136">
        <v>60604.32</v>
      </c>
      <c r="L225" s="136">
        <v>520639.92</v>
      </c>
      <c r="M225" s="136">
        <v>484520.79000000004</v>
      </c>
      <c r="N225" s="136">
        <v>112056.75</v>
      </c>
      <c r="O225" s="136">
        <v>70290.16</v>
      </c>
      <c r="P225" s="178">
        <f>SUM(Ikärakenne[[#This Row],[Ikä 0–5]:[Ikä 18-64]])</f>
        <v>1484729.6099999999</v>
      </c>
    </row>
    <row r="226" spans="1:16">
      <c r="A226" s="127">
        <v>710</v>
      </c>
      <c r="B226" s="124" t="s">
        <v>232</v>
      </c>
      <c r="C226" s="38">
        <f>SUM(Ikärakenne[[#This Row],[0–5-vuotiaat]:[16 vuotta täyttäneet]])</f>
        <v>27209</v>
      </c>
      <c r="D226" s="41">
        <v>1313</v>
      </c>
      <c r="E226" s="41">
        <v>231</v>
      </c>
      <c r="F226" s="41">
        <v>1599</v>
      </c>
      <c r="G226" s="41">
        <v>939</v>
      </c>
      <c r="H226" s="41">
        <v>23127</v>
      </c>
      <c r="I226" s="41">
        <v>14748</v>
      </c>
      <c r="J226" s="136">
        <v>10713068.99</v>
      </c>
      <c r="K226" s="136">
        <v>1999942.56</v>
      </c>
      <c r="L226" s="136">
        <v>11562544.889999999</v>
      </c>
      <c r="M226" s="136">
        <v>11665769.790000001</v>
      </c>
      <c r="N226" s="136">
        <v>1476658.95</v>
      </c>
      <c r="O226" s="136">
        <v>1231163.04</v>
      </c>
      <c r="P226" s="178">
        <f>SUM(Ikärakenne[[#This Row],[Ikä 0–5]:[Ikä 18-64]])</f>
        <v>38649148.219999999</v>
      </c>
    </row>
    <row r="227" spans="1:16">
      <c r="A227" s="127">
        <v>729</v>
      </c>
      <c r="B227" s="124" t="s">
        <v>233</v>
      </c>
      <c r="C227" s="38">
        <f>SUM(Ikärakenne[[#This Row],[0–5-vuotiaat]:[16 vuotta täyttäneet]])</f>
        <v>8847</v>
      </c>
      <c r="D227" s="41">
        <v>332</v>
      </c>
      <c r="E227" s="41">
        <v>68</v>
      </c>
      <c r="F227" s="41">
        <v>507</v>
      </c>
      <c r="G227" s="41">
        <v>287</v>
      </c>
      <c r="H227" s="41">
        <v>7653</v>
      </c>
      <c r="I227" s="41">
        <v>4291</v>
      </c>
      <c r="J227" s="136">
        <v>2708864.36</v>
      </c>
      <c r="K227" s="136">
        <v>588727.68000000005</v>
      </c>
      <c r="L227" s="136">
        <v>3666172.77</v>
      </c>
      <c r="M227" s="136">
        <v>3565576.0700000003</v>
      </c>
      <c r="N227" s="136">
        <v>488644.05</v>
      </c>
      <c r="O227" s="136">
        <v>358212.68</v>
      </c>
      <c r="P227" s="178">
        <f>SUM(Ikärakenne[[#This Row],[Ikä 0–5]:[Ikä 18-64]])</f>
        <v>11376197.610000001</v>
      </c>
    </row>
    <row r="228" spans="1:16">
      <c r="A228" s="127">
        <v>732</v>
      </c>
      <c r="B228" s="124" t="s">
        <v>234</v>
      </c>
      <c r="C228" s="38">
        <f>SUM(Ikärakenne[[#This Row],[0–5-vuotiaat]:[16 vuotta täyttäneet]])</f>
        <v>3344</v>
      </c>
      <c r="D228" s="41">
        <v>67</v>
      </c>
      <c r="E228" s="41">
        <v>17</v>
      </c>
      <c r="F228" s="41">
        <v>120</v>
      </c>
      <c r="G228" s="41">
        <v>81</v>
      </c>
      <c r="H228" s="41">
        <v>3059</v>
      </c>
      <c r="I228" s="41">
        <v>1609</v>
      </c>
      <c r="J228" s="136">
        <v>546668.40999999992</v>
      </c>
      <c r="K228" s="136">
        <v>147181.92000000001</v>
      </c>
      <c r="L228" s="136">
        <v>867733.2</v>
      </c>
      <c r="M228" s="136">
        <v>1006312.41</v>
      </c>
      <c r="N228" s="136">
        <v>195317.15</v>
      </c>
      <c r="O228" s="136">
        <v>134319.32</v>
      </c>
      <c r="P228" s="178">
        <f>SUM(Ikärakenne[[#This Row],[Ikä 0–5]:[Ikä 18-64]])</f>
        <v>2897532.4099999997</v>
      </c>
    </row>
    <row r="229" spans="1:16">
      <c r="A229" s="127">
        <v>734</v>
      </c>
      <c r="B229" s="124" t="s">
        <v>235</v>
      </c>
      <c r="C229" s="38">
        <f>SUM(Ikärakenne[[#This Row],[0–5-vuotiaat]:[16 vuotta täyttäneet]])</f>
        <v>51100</v>
      </c>
      <c r="D229" s="41">
        <v>2009</v>
      </c>
      <c r="E229" s="41">
        <v>392</v>
      </c>
      <c r="F229" s="41">
        <v>2975</v>
      </c>
      <c r="G229" s="41">
        <v>1833</v>
      </c>
      <c r="H229" s="41">
        <v>43891</v>
      </c>
      <c r="I229" s="41">
        <v>27641</v>
      </c>
      <c r="J229" s="136">
        <v>16391893.069999998</v>
      </c>
      <c r="K229" s="136">
        <v>3393841.92</v>
      </c>
      <c r="L229" s="136">
        <v>21512552.25</v>
      </c>
      <c r="M229" s="136">
        <v>22772477.130000003</v>
      </c>
      <c r="N229" s="136">
        <v>2802440.35</v>
      </c>
      <c r="O229" s="136">
        <v>2307470.6800000002</v>
      </c>
      <c r="P229" s="178">
        <f>SUM(Ikärakenne[[#This Row],[Ikä 0–5]:[Ikä 18-64]])</f>
        <v>69180675.400000006</v>
      </c>
    </row>
    <row r="230" spans="1:16">
      <c r="A230" s="127">
        <v>738</v>
      </c>
      <c r="B230" s="124" t="s">
        <v>236</v>
      </c>
      <c r="C230" s="38">
        <f>SUM(Ikärakenne[[#This Row],[0–5-vuotiaat]:[16 vuotta täyttäneet]])</f>
        <v>2974</v>
      </c>
      <c r="D230" s="41">
        <v>136</v>
      </c>
      <c r="E230" s="41">
        <v>22</v>
      </c>
      <c r="F230" s="41">
        <v>208</v>
      </c>
      <c r="G230" s="41">
        <v>122</v>
      </c>
      <c r="H230" s="41">
        <v>2486</v>
      </c>
      <c r="I230" s="41">
        <v>1615</v>
      </c>
      <c r="J230" s="136">
        <v>1109655.28</v>
      </c>
      <c r="K230" s="136">
        <v>190470.72</v>
      </c>
      <c r="L230" s="136">
        <v>1504070.88</v>
      </c>
      <c r="M230" s="136">
        <v>1515680.4200000002</v>
      </c>
      <c r="N230" s="136">
        <v>158731.1</v>
      </c>
      <c r="O230" s="136">
        <v>134820.20000000001</v>
      </c>
      <c r="P230" s="178">
        <f>SUM(Ikärakenne[[#This Row],[Ikä 0–5]:[Ikä 18-64]])</f>
        <v>4613428.5999999996</v>
      </c>
    </row>
    <row r="231" spans="1:16">
      <c r="A231" s="127">
        <v>739</v>
      </c>
      <c r="B231" s="124" t="s">
        <v>237</v>
      </c>
      <c r="C231" s="38">
        <f>SUM(Ikärakenne[[#This Row],[0–5-vuotiaat]:[16 vuotta täyttäneet]])</f>
        <v>3216</v>
      </c>
      <c r="D231" s="41">
        <v>112</v>
      </c>
      <c r="E231" s="41">
        <v>16</v>
      </c>
      <c r="F231" s="41">
        <v>161</v>
      </c>
      <c r="G231" s="41">
        <v>97</v>
      </c>
      <c r="H231" s="41">
        <v>2830</v>
      </c>
      <c r="I231" s="41">
        <v>1490</v>
      </c>
      <c r="J231" s="136">
        <v>913833.76</v>
      </c>
      <c r="K231" s="136">
        <v>138524.16</v>
      </c>
      <c r="L231" s="136">
        <v>1164208.71</v>
      </c>
      <c r="M231" s="136">
        <v>1205090.1700000002</v>
      </c>
      <c r="N231" s="136">
        <v>180695.5</v>
      </c>
      <c r="O231" s="136">
        <v>124385.20000000001</v>
      </c>
      <c r="P231" s="178">
        <f>SUM(Ikärakenne[[#This Row],[Ikä 0–5]:[Ikä 18-64]])</f>
        <v>3726737.5</v>
      </c>
    </row>
    <row r="232" spans="1:16">
      <c r="A232" s="127">
        <v>740</v>
      </c>
      <c r="B232" s="124" t="s">
        <v>238</v>
      </c>
      <c r="C232" s="38">
        <f>SUM(Ikärakenne[[#This Row],[0–5-vuotiaat]:[16 vuotta täyttäneet]])</f>
        <v>31843</v>
      </c>
      <c r="D232" s="41">
        <v>970</v>
      </c>
      <c r="E232" s="41">
        <v>205</v>
      </c>
      <c r="F232" s="41">
        <v>1583</v>
      </c>
      <c r="G232" s="41">
        <v>954</v>
      </c>
      <c r="H232" s="41">
        <v>28131</v>
      </c>
      <c r="I232" s="41">
        <v>16384</v>
      </c>
      <c r="J232" s="136">
        <v>7914453.0999999996</v>
      </c>
      <c r="K232" s="136">
        <v>1774840.8</v>
      </c>
      <c r="L232" s="136">
        <v>11446847.129999999</v>
      </c>
      <c r="M232" s="136">
        <v>11852123.940000001</v>
      </c>
      <c r="N232" s="136">
        <v>1796164.35</v>
      </c>
      <c r="O232" s="136">
        <v>1367736.3200000001</v>
      </c>
      <c r="P232" s="178">
        <f>SUM(Ikärakenne[[#This Row],[Ikä 0–5]:[Ikä 18-64]])</f>
        <v>36152165.640000001</v>
      </c>
    </row>
    <row r="233" spans="1:16">
      <c r="A233" s="127">
        <v>742</v>
      </c>
      <c r="B233" s="124" t="s">
        <v>239</v>
      </c>
      <c r="C233" s="38">
        <f>SUM(Ikärakenne[[#This Row],[0–5-vuotiaat]:[16 vuotta täyttäneet]])</f>
        <v>978</v>
      </c>
      <c r="D233" s="41">
        <v>42</v>
      </c>
      <c r="E233" s="41">
        <v>6</v>
      </c>
      <c r="F233" s="41">
        <v>40</v>
      </c>
      <c r="G233" s="41">
        <v>21</v>
      </c>
      <c r="H233" s="41">
        <v>869</v>
      </c>
      <c r="I233" s="41">
        <v>508</v>
      </c>
      <c r="J233" s="136">
        <v>342687.66</v>
      </c>
      <c r="K233" s="136">
        <v>51946.559999999998</v>
      </c>
      <c r="L233" s="136">
        <v>289244.39999999997</v>
      </c>
      <c r="M233" s="136">
        <v>260895.81</v>
      </c>
      <c r="N233" s="136">
        <v>55485.65</v>
      </c>
      <c r="O233" s="136">
        <v>42407.840000000004</v>
      </c>
      <c r="P233" s="178">
        <f>SUM(Ikärakenne[[#This Row],[Ikä 0–5]:[Ikä 18-64]])</f>
        <v>1042667.9199999999</v>
      </c>
    </row>
    <row r="234" spans="1:16">
      <c r="A234" s="127">
        <v>743</v>
      </c>
      <c r="B234" s="124" t="s">
        <v>240</v>
      </c>
      <c r="C234" s="38">
        <f>SUM(Ikärakenne[[#This Row],[0–5-vuotiaat]:[16 vuotta täyttäneet]])</f>
        <v>66160</v>
      </c>
      <c r="D234" s="41">
        <v>3827</v>
      </c>
      <c r="E234" s="41">
        <v>724</v>
      </c>
      <c r="F234" s="41">
        <v>4797</v>
      </c>
      <c r="G234" s="41">
        <v>2393</v>
      </c>
      <c r="H234" s="41">
        <v>54419</v>
      </c>
      <c r="I234" s="41">
        <v>39090</v>
      </c>
      <c r="J234" s="136">
        <v>31225373.209999997</v>
      </c>
      <c r="K234" s="136">
        <v>6268218.2400000002</v>
      </c>
      <c r="L234" s="136">
        <v>34687634.670000002</v>
      </c>
      <c r="M234" s="136">
        <v>29729698.73</v>
      </c>
      <c r="N234" s="136">
        <v>3474653.15</v>
      </c>
      <c r="O234" s="136">
        <v>3263233.2</v>
      </c>
      <c r="P234" s="178">
        <f>SUM(Ikärakenne[[#This Row],[Ikä 0–5]:[Ikä 18-64]])</f>
        <v>108648811.20000002</v>
      </c>
    </row>
    <row r="235" spans="1:16">
      <c r="A235" s="127">
        <v>746</v>
      </c>
      <c r="B235" s="124" t="s">
        <v>241</v>
      </c>
      <c r="C235" s="38">
        <f>SUM(Ikärakenne[[#This Row],[0–5-vuotiaat]:[16 vuotta täyttäneet]])</f>
        <v>4713</v>
      </c>
      <c r="D235" s="41">
        <v>331</v>
      </c>
      <c r="E235" s="41">
        <v>73</v>
      </c>
      <c r="F235" s="41">
        <v>480</v>
      </c>
      <c r="G235" s="41">
        <v>300</v>
      </c>
      <c r="H235" s="41">
        <v>3529</v>
      </c>
      <c r="I235" s="41">
        <v>2384</v>
      </c>
      <c r="J235" s="136">
        <v>2700705.13</v>
      </c>
      <c r="K235" s="136">
        <v>632016.48</v>
      </c>
      <c r="L235" s="136">
        <v>3470932.8</v>
      </c>
      <c r="M235" s="136">
        <v>3727083</v>
      </c>
      <c r="N235" s="136">
        <v>225326.65</v>
      </c>
      <c r="O235" s="136">
        <v>199016.32000000001</v>
      </c>
      <c r="P235" s="178">
        <f>SUM(Ikärakenne[[#This Row],[Ikä 0–5]:[Ikä 18-64]])</f>
        <v>10955080.380000001</v>
      </c>
    </row>
    <row r="236" spans="1:16">
      <c r="A236" s="127">
        <v>747</v>
      </c>
      <c r="B236" s="124" t="s">
        <v>242</v>
      </c>
      <c r="C236" s="38">
        <f>SUM(Ikärakenne[[#This Row],[0–5-vuotiaat]:[16 vuotta täyttäneet]])</f>
        <v>1283</v>
      </c>
      <c r="D236" s="41">
        <v>39</v>
      </c>
      <c r="E236" s="41">
        <v>8</v>
      </c>
      <c r="F236" s="41">
        <v>66</v>
      </c>
      <c r="G236" s="41">
        <v>33</v>
      </c>
      <c r="H236" s="41">
        <v>1137</v>
      </c>
      <c r="I236" s="41">
        <v>593</v>
      </c>
      <c r="J236" s="136">
        <v>318209.96999999997</v>
      </c>
      <c r="K236" s="136">
        <v>69262.080000000002</v>
      </c>
      <c r="L236" s="136">
        <v>477253.25999999995</v>
      </c>
      <c r="M236" s="136">
        <v>409979.13</v>
      </c>
      <c r="N236" s="136">
        <v>72597.45</v>
      </c>
      <c r="O236" s="136">
        <v>49503.64</v>
      </c>
      <c r="P236" s="178">
        <f>SUM(Ikärakenne[[#This Row],[Ikä 0–5]:[Ikä 18-64]])</f>
        <v>1396805.5299999998</v>
      </c>
    </row>
    <row r="237" spans="1:16">
      <c r="A237" s="127">
        <v>748</v>
      </c>
      <c r="B237" s="124" t="s">
        <v>243</v>
      </c>
      <c r="C237" s="38">
        <f>SUM(Ikärakenne[[#This Row],[0–5-vuotiaat]:[16 vuotta täyttäneet]])</f>
        <v>4837</v>
      </c>
      <c r="D237" s="41">
        <v>304</v>
      </c>
      <c r="E237" s="41">
        <v>68</v>
      </c>
      <c r="F237" s="41">
        <v>429</v>
      </c>
      <c r="G237" s="41">
        <v>251</v>
      </c>
      <c r="H237" s="41">
        <v>3785</v>
      </c>
      <c r="I237" s="41">
        <v>2333</v>
      </c>
      <c r="J237" s="136">
        <v>2480405.92</v>
      </c>
      <c r="K237" s="136">
        <v>588727.68000000005</v>
      </c>
      <c r="L237" s="136">
        <v>3102146.19</v>
      </c>
      <c r="M237" s="136">
        <v>3118326.1100000003</v>
      </c>
      <c r="N237" s="136">
        <v>241672.25</v>
      </c>
      <c r="O237" s="136">
        <v>194758.84</v>
      </c>
      <c r="P237" s="178">
        <f>SUM(Ikärakenne[[#This Row],[Ikä 0–5]:[Ikä 18-64]])</f>
        <v>9726036.9900000002</v>
      </c>
    </row>
    <row r="238" spans="1:16">
      <c r="A238" s="127">
        <v>749</v>
      </c>
      <c r="B238" s="124" t="s">
        <v>244</v>
      </c>
      <c r="C238" s="38">
        <f>SUM(Ikärakenne[[#This Row],[0–5-vuotiaat]:[16 vuotta täyttäneet]])</f>
        <v>21290</v>
      </c>
      <c r="D238" s="41">
        <v>1243</v>
      </c>
      <c r="E238" s="41">
        <v>254</v>
      </c>
      <c r="F238" s="41">
        <v>1833</v>
      </c>
      <c r="G238" s="41">
        <v>923</v>
      </c>
      <c r="H238" s="41">
        <v>17037</v>
      </c>
      <c r="I238" s="41">
        <v>11609</v>
      </c>
      <c r="J238" s="136">
        <v>10141922.889999999</v>
      </c>
      <c r="K238" s="136">
        <v>2199071.04</v>
      </c>
      <c r="L238" s="136">
        <v>13254624.629999999</v>
      </c>
      <c r="M238" s="136">
        <v>11466992.030000001</v>
      </c>
      <c r="N238" s="136">
        <v>1087812.45</v>
      </c>
      <c r="O238" s="136">
        <v>969119.32000000007</v>
      </c>
      <c r="P238" s="178">
        <f>SUM(Ikärakenne[[#This Row],[Ikä 0–5]:[Ikä 18-64]])</f>
        <v>39119542.360000007</v>
      </c>
    </row>
    <row r="239" spans="1:16">
      <c r="A239" s="127">
        <v>751</v>
      </c>
      <c r="B239" s="124" t="s">
        <v>245</v>
      </c>
      <c r="C239" s="38">
        <f>SUM(Ikärakenne[[#This Row],[0–5-vuotiaat]:[16 vuotta täyttäneet]])</f>
        <v>2828</v>
      </c>
      <c r="D239" s="41">
        <v>94</v>
      </c>
      <c r="E239" s="41">
        <v>24</v>
      </c>
      <c r="F239" s="41">
        <v>165</v>
      </c>
      <c r="G239" s="41">
        <v>100</v>
      </c>
      <c r="H239" s="41">
        <v>2445</v>
      </c>
      <c r="I239" s="41">
        <v>1353</v>
      </c>
      <c r="J239" s="136">
        <v>766967.62</v>
      </c>
      <c r="K239" s="136">
        <v>207786.23999999999</v>
      </c>
      <c r="L239" s="136">
        <v>1193133.1499999999</v>
      </c>
      <c r="M239" s="136">
        <v>1242361</v>
      </c>
      <c r="N239" s="136">
        <v>156113.25</v>
      </c>
      <c r="O239" s="136">
        <v>112948.44</v>
      </c>
      <c r="P239" s="178">
        <f>SUM(Ikärakenne[[#This Row],[Ikä 0–5]:[Ikä 18-64]])</f>
        <v>3679309.6999999997</v>
      </c>
    </row>
    <row r="240" spans="1:16">
      <c r="A240" s="127">
        <v>753</v>
      </c>
      <c r="B240" s="124" t="s">
        <v>246</v>
      </c>
      <c r="C240" s="38">
        <f>SUM(Ikärakenne[[#This Row],[0–5-vuotiaat]:[16 vuotta täyttäneet]])</f>
        <v>22595</v>
      </c>
      <c r="D240" s="41">
        <v>1327</v>
      </c>
      <c r="E240" s="41">
        <v>239</v>
      </c>
      <c r="F240" s="41">
        <v>1693</v>
      </c>
      <c r="G240" s="41">
        <v>939</v>
      </c>
      <c r="H240" s="41">
        <v>18397</v>
      </c>
      <c r="I240" s="41">
        <v>13591</v>
      </c>
      <c r="J240" s="136">
        <v>10827298.209999999</v>
      </c>
      <c r="K240" s="136">
        <v>2069204.6400000001</v>
      </c>
      <c r="L240" s="136">
        <v>12242269.229999999</v>
      </c>
      <c r="M240" s="136">
        <v>11665769.790000001</v>
      </c>
      <c r="N240" s="136">
        <v>1174648.45</v>
      </c>
      <c r="O240" s="136">
        <v>1134576.6800000002</v>
      </c>
      <c r="P240" s="178">
        <f>SUM(Ikärakenne[[#This Row],[Ikä 0–5]:[Ikä 18-64]])</f>
        <v>39113767</v>
      </c>
    </row>
    <row r="241" spans="1:16">
      <c r="A241" s="127">
        <v>755</v>
      </c>
      <c r="B241" s="124" t="s">
        <v>247</v>
      </c>
      <c r="C241" s="38">
        <f>SUM(Ikärakenne[[#This Row],[0–5-vuotiaat]:[16 vuotta täyttäneet]])</f>
        <v>6158</v>
      </c>
      <c r="D241" s="41">
        <v>295</v>
      </c>
      <c r="E241" s="41">
        <v>65</v>
      </c>
      <c r="F241" s="41">
        <v>441</v>
      </c>
      <c r="G241" s="41">
        <v>272</v>
      </c>
      <c r="H241" s="41">
        <v>5085</v>
      </c>
      <c r="I241" s="41">
        <v>3587</v>
      </c>
      <c r="J241" s="136">
        <v>2406972.85</v>
      </c>
      <c r="K241" s="136">
        <v>562754.4</v>
      </c>
      <c r="L241" s="136">
        <v>3188919.51</v>
      </c>
      <c r="M241" s="136">
        <v>3379221.92</v>
      </c>
      <c r="N241" s="136">
        <v>324677.25</v>
      </c>
      <c r="O241" s="136">
        <v>299442.76</v>
      </c>
      <c r="P241" s="178">
        <f>SUM(Ikärakenne[[#This Row],[Ikä 0–5]:[Ikä 18-64]])</f>
        <v>10161988.689999999</v>
      </c>
    </row>
    <row r="242" spans="1:16">
      <c r="A242" s="127">
        <v>758</v>
      </c>
      <c r="B242" s="124" t="s">
        <v>248</v>
      </c>
      <c r="C242" s="38">
        <f>SUM(Ikärakenne[[#This Row],[0–5-vuotiaat]:[16 vuotta täyttäneet]])</f>
        <v>8126</v>
      </c>
      <c r="D242" s="41">
        <v>325</v>
      </c>
      <c r="E242" s="41">
        <v>61</v>
      </c>
      <c r="F242" s="41">
        <v>496</v>
      </c>
      <c r="G242" s="41">
        <v>256</v>
      </c>
      <c r="H242" s="41">
        <v>6988</v>
      </c>
      <c r="I242" s="41">
        <v>4450</v>
      </c>
      <c r="J242" s="136">
        <v>2651749.75</v>
      </c>
      <c r="K242" s="136">
        <v>528123.36</v>
      </c>
      <c r="L242" s="136">
        <v>3586630.56</v>
      </c>
      <c r="M242" s="136">
        <v>3180444.16</v>
      </c>
      <c r="N242" s="136">
        <v>446183.8</v>
      </c>
      <c r="O242" s="136">
        <v>371486</v>
      </c>
      <c r="P242" s="178">
        <f>SUM(Ikärakenne[[#This Row],[Ikä 0–5]:[Ikä 18-64]])</f>
        <v>10764617.630000001</v>
      </c>
    </row>
    <row r="243" spans="1:16">
      <c r="A243" s="127">
        <v>759</v>
      </c>
      <c r="B243" s="124" t="s">
        <v>249</v>
      </c>
      <c r="C243" s="38">
        <f>SUM(Ikärakenne[[#This Row],[0–5-vuotiaat]:[16 vuotta täyttäneet]])</f>
        <v>1873</v>
      </c>
      <c r="D243" s="41">
        <v>89</v>
      </c>
      <c r="E243" s="41">
        <v>16</v>
      </c>
      <c r="F243" s="41">
        <v>149</v>
      </c>
      <c r="G243" s="41">
        <v>51</v>
      </c>
      <c r="H243" s="41">
        <v>1568</v>
      </c>
      <c r="I243" s="41">
        <v>905</v>
      </c>
      <c r="J243" s="136">
        <v>726171.47</v>
      </c>
      <c r="K243" s="136">
        <v>138524.16</v>
      </c>
      <c r="L243" s="136">
        <v>1077435.3899999999</v>
      </c>
      <c r="M243" s="136">
        <v>633604.11</v>
      </c>
      <c r="N243" s="136">
        <v>100116.8</v>
      </c>
      <c r="O243" s="136">
        <v>75549.400000000009</v>
      </c>
      <c r="P243" s="178">
        <f>SUM(Ikärakenne[[#This Row],[Ikä 0–5]:[Ikä 18-64]])</f>
        <v>2751401.3299999996</v>
      </c>
    </row>
    <row r="244" spans="1:16">
      <c r="A244" s="127">
        <v>761</v>
      </c>
      <c r="B244" s="124" t="s">
        <v>250</v>
      </c>
      <c r="C244" s="38">
        <f>SUM(Ikärakenne[[#This Row],[0–5-vuotiaat]:[16 vuotta täyttäneet]])</f>
        <v>8410</v>
      </c>
      <c r="D244" s="41">
        <v>322</v>
      </c>
      <c r="E244" s="41">
        <v>64</v>
      </c>
      <c r="F244" s="41">
        <v>513</v>
      </c>
      <c r="G244" s="41">
        <v>254</v>
      </c>
      <c r="H244" s="41">
        <v>7257</v>
      </c>
      <c r="I244" s="41">
        <v>4187</v>
      </c>
      <c r="J244" s="136">
        <v>2627272.06</v>
      </c>
      <c r="K244" s="136">
        <v>554096.64000000001</v>
      </c>
      <c r="L244" s="136">
        <v>3709559.4299999997</v>
      </c>
      <c r="M244" s="136">
        <v>3155596.94</v>
      </c>
      <c r="N244" s="136">
        <v>463359.45</v>
      </c>
      <c r="O244" s="136">
        <v>349530.76</v>
      </c>
      <c r="P244" s="178">
        <f>SUM(Ikärakenne[[#This Row],[Ikä 0–5]:[Ikä 18-64]])</f>
        <v>10859415.279999999</v>
      </c>
    </row>
    <row r="245" spans="1:16">
      <c r="A245" s="127">
        <v>762</v>
      </c>
      <c r="B245" s="124" t="s">
        <v>251</v>
      </c>
      <c r="C245" s="38">
        <f>SUM(Ikärakenne[[#This Row],[0–5-vuotiaat]:[16 vuotta täyttäneet]])</f>
        <v>3637</v>
      </c>
      <c r="D245" s="41">
        <v>121</v>
      </c>
      <c r="E245" s="41">
        <v>27</v>
      </c>
      <c r="F245" s="41">
        <v>190</v>
      </c>
      <c r="G245" s="41">
        <v>115</v>
      </c>
      <c r="H245" s="41">
        <v>3184</v>
      </c>
      <c r="I245" s="41">
        <v>1743</v>
      </c>
      <c r="J245" s="136">
        <v>987266.83</v>
      </c>
      <c r="K245" s="136">
        <v>233759.52000000002</v>
      </c>
      <c r="L245" s="136">
        <v>1373910.9</v>
      </c>
      <c r="M245" s="136">
        <v>1428715.1500000001</v>
      </c>
      <c r="N245" s="136">
        <v>203298.4</v>
      </c>
      <c r="O245" s="136">
        <v>145505.64000000001</v>
      </c>
      <c r="P245" s="178">
        <f>SUM(Ikärakenne[[#This Row],[Ikä 0–5]:[Ikä 18-64]])</f>
        <v>4372456.4400000004</v>
      </c>
    </row>
    <row r="246" spans="1:16">
      <c r="A246" s="127">
        <v>765</v>
      </c>
      <c r="B246" s="124" t="s">
        <v>252</v>
      </c>
      <c r="C246" s="38">
        <f>SUM(Ikärakenne[[#This Row],[0–5-vuotiaat]:[16 vuotta täyttäneet]])</f>
        <v>10274</v>
      </c>
      <c r="D246" s="41">
        <v>452</v>
      </c>
      <c r="E246" s="41">
        <v>108</v>
      </c>
      <c r="F246" s="41">
        <v>690</v>
      </c>
      <c r="G246" s="41">
        <v>365</v>
      </c>
      <c r="H246" s="41">
        <v>8659</v>
      </c>
      <c r="I246" s="41">
        <v>5481</v>
      </c>
      <c r="J246" s="136">
        <v>3687971.96</v>
      </c>
      <c r="K246" s="136">
        <v>935038.08000000007</v>
      </c>
      <c r="L246" s="136">
        <v>4989465.8999999994</v>
      </c>
      <c r="M246" s="136">
        <v>4534617.6500000004</v>
      </c>
      <c r="N246" s="136">
        <v>552877.15</v>
      </c>
      <c r="O246" s="136">
        <v>457553.88</v>
      </c>
      <c r="P246" s="178">
        <f>SUM(Ikärakenne[[#This Row],[Ikä 0–5]:[Ikä 18-64]])</f>
        <v>15157524.620000001</v>
      </c>
    </row>
    <row r="247" spans="1:16">
      <c r="A247" s="127">
        <v>768</v>
      </c>
      <c r="B247" s="124" t="s">
        <v>253</v>
      </c>
      <c r="C247" s="38">
        <f>SUM(Ikärakenne[[#This Row],[0–5-vuotiaat]:[16 vuotta täyttäneet]])</f>
        <v>2368</v>
      </c>
      <c r="D247" s="41">
        <v>66</v>
      </c>
      <c r="E247" s="41">
        <v>18</v>
      </c>
      <c r="F247" s="41">
        <v>102</v>
      </c>
      <c r="G247" s="41">
        <v>44</v>
      </c>
      <c r="H247" s="41">
        <v>2138</v>
      </c>
      <c r="I247" s="41">
        <v>1093</v>
      </c>
      <c r="J247" s="136">
        <v>538509.17999999993</v>
      </c>
      <c r="K247" s="136">
        <v>155839.67999999999</v>
      </c>
      <c r="L247" s="136">
        <v>737573.22</v>
      </c>
      <c r="M247" s="136">
        <v>546638.84000000008</v>
      </c>
      <c r="N247" s="136">
        <v>136511.30000000002</v>
      </c>
      <c r="O247" s="136">
        <v>91243.64</v>
      </c>
      <c r="P247" s="178">
        <f>SUM(Ikärakenne[[#This Row],[Ikä 0–5]:[Ikä 18-64]])</f>
        <v>2206315.86</v>
      </c>
    </row>
    <row r="248" spans="1:16">
      <c r="A248" s="127">
        <v>777</v>
      </c>
      <c r="B248" s="124" t="s">
        <v>254</v>
      </c>
      <c r="C248" s="38">
        <f>SUM(Ikärakenne[[#This Row],[0–5-vuotiaat]:[16 vuotta täyttäneet]])</f>
        <v>7172</v>
      </c>
      <c r="D248" s="41">
        <v>191</v>
      </c>
      <c r="E248" s="41">
        <v>40</v>
      </c>
      <c r="F248" s="41">
        <v>336</v>
      </c>
      <c r="G248" s="41">
        <v>167</v>
      </c>
      <c r="H248" s="41">
        <v>6438</v>
      </c>
      <c r="I248" s="41">
        <v>3347</v>
      </c>
      <c r="J248" s="136">
        <v>1558412.93</v>
      </c>
      <c r="K248" s="136">
        <v>346310.40000000002</v>
      </c>
      <c r="L248" s="136">
        <v>2429652.96</v>
      </c>
      <c r="M248" s="136">
        <v>2074742.87</v>
      </c>
      <c r="N248" s="136">
        <v>411066.3</v>
      </c>
      <c r="O248" s="136">
        <v>279407.56</v>
      </c>
      <c r="P248" s="178">
        <f>SUM(Ikärakenne[[#This Row],[Ikä 0–5]:[Ikä 18-64]])</f>
        <v>7099593.0199999996</v>
      </c>
    </row>
    <row r="249" spans="1:16">
      <c r="A249" s="127">
        <v>778</v>
      </c>
      <c r="B249" s="124" t="s">
        <v>255</v>
      </c>
      <c r="C249" s="38">
        <f>SUM(Ikärakenne[[#This Row],[0–5-vuotiaat]:[16 vuotta täyttäneet]])</f>
        <v>6708</v>
      </c>
      <c r="D249" s="41">
        <v>254</v>
      </c>
      <c r="E249" s="41">
        <v>51</v>
      </c>
      <c r="F249" s="41">
        <v>416</v>
      </c>
      <c r="G249" s="41">
        <v>219</v>
      </c>
      <c r="H249" s="41">
        <v>5768</v>
      </c>
      <c r="I249" s="41">
        <v>3380</v>
      </c>
      <c r="J249" s="136">
        <v>2072444.42</v>
      </c>
      <c r="K249" s="136">
        <v>441545.76</v>
      </c>
      <c r="L249" s="136">
        <v>3008141.76</v>
      </c>
      <c r="M249" s="136">
        <v>2720770.5900000003</v>
      </c>
      <c r="N249" s="136">
        <v>368286.8</v>
      </c>
      <c r="O249" s="136">
        <v>282162.40000000002</v>
      </c>
      <c r="P249" s="178">
        <f>SUM(Ikärakenne[[#This Row],[Ikä 0–5]:[Ikä 18-64]])</f>
        <v>8893351.7300000004</v>
      </c>
    </row>
    <row r="250" spans="1:16">
      <c r="A250" s="127">
        <v>781</v>
      </c>
      <c r="B250" s="124" t="s">
        <v>256</v>
      </c>
      <c r="C250" s="38">
        <f>SUM(Ikärakenne[[#This Row],[0–5-vuotiaat]:[16 vuotta täyttäneet]])</f>
        <v>3496</v>
      </c>
      <c r="D250" s="41">
        <v>81</v>
      </c>
      <c r="E250" s="41">
        <v>17</v>
      </c>
      <c r="F250" s="41">
        <v>137</v>
      </c>
      <c r="G250" s="41">
        <v>68</v>
      </c>
      <c r="H250" s="41">
        <v>3193</v>
      </c>
      <c r="I250" s="41">
        <v>1537</v>
      </c>
      <c r="J250" s="136">
        <v>660897.63</v>
      </c>
      <c r="K250" s="136">
        <v>147181.92000000001</v>
      </c>
      <c r="L250" s="136">
        <v>990662.07</v>
      </c>
      <c r="M250" s="136">
        <v>844805.48</v>
      </c>
      <c r="N250" s="136">
        <v>203873.05000000002</v>
      </c>
      <c r="O250" s="136">
        <v>128308.76000000001</v>
      </c>
      <c r="P250" s="178">
        <f>SUM(Ikärakenne[[#This Row],[Ikä 0–5]:[Ikä 18-64]])</f>
        <v>2975728.91</v>
      </c>
    </row>
    <row r="251" spans="1:16">
      <c r="A251" s="127">
        <v>783</v>
      </c>
      <c r="B251" s="124" t="s">
        <v>257</v>
      </c>
      <c r="C251" s="38">
        <f>SUM(Ikärakenne[[#This Row],[0–5-vuotiaat]:[16 vuotta täyttäneet]])</f>
        <v>6377</v>
      </c>
      <c r="D251" s="41">
        <v>233</v>
      </c>
      <c r="E251" s="41">
        <v>45</v>
      </c>
      <c r="F251" s="41">
        <v>373</v>
      </c>
      <c r="G251" s="41">
        <v>221</v>
      </c>
      <c r="H251" s="41">
        <v>5505</v>
      </c>
      <c r="I251" s="41">
        <v>3266</v>
      </c>
      <c r="J251" s="136">
        <v>1901100.5899999999</v>
      </c>
      <c r="K251" s="136">
        <v>389599.2</v>
      </c>
      <c r="L251" s="136">
        <v>2697204.03</v>
      </c>
      <c r="M251" s="136">
        <v>2745617.81</v>
      </c>
      <c r="N251" s="136">
        <v>351494.25</v>
      </c>
      <c r="O251" s="136">
        <v>272645.68</v>
      </c>
      <c r="P251" s="178">
        <f>SUM(Ikärakenne[[#This Row],[Ikä 0–5]:[Ikä 18-64]])</f>
        <v>8357661.5600000005</v>
      </c>
    </row>
    <row r="252" spans="1:16">
      <c r="A252" s="127">
        <v>785</v>
      </c>
      <c r="B252" s="124" t="s">
        <v>258</v>
      </c>
      <c r="C252" s="38">
        <f>SUM(Ikärakenne[[#This Row],[0–5-vuotiaat]:[16 vuotta täyttäneet]])</f>
        <v>2589</v>
      </c>
      <c r="D252" s="41">
        <v>86</v>
      </c>
      <c r="E252" s="41">
        <v>20</v>
      </c>
      <c r="F252" s="41">
        <v>135</v>
      </c>
      <c r="G252" s="41">
        <v>63</v>
      </c>
      <c r="H252" s="41">
        <v>2285</v>
      </c>
      <c r="I252" s="41">
        <v>1213</v>
      </c>
      <c r="J252" s="136">
        <v>701693.77999999991</v>
      </c>
      <c r="K252" s="136">
        <v>173155.20000000001</v>
      </c>
      <c r="L252" s="136">
        <v>976199.85</v>
      </c>
      <c r="M252" s="136">
        <v>782687.43</v>
      </c>
      <c r="N252" s="136">
        <v>145897.25</v>
      </c>
      <c r="O252" s="136">
        <v>101261.24</v>
      </c>
      <c r="P252" s="178">
        <f>SUM(Ikärakenne[[#This Row],[Ikä 0–5]:[Ikä 18-64]])</f>
        <v>2880894.7500000005</v>
      </c>
    </row>
    <row r="253" spans="1:16">
      <c r="A253" s="127">
        <v>790</v>
      </c>
      <c r="B253" s="124" t="s">
        <v>259</v>
      </c>
      <c r="C253" s="38">
        <f>SUM(Ikärakenne[[#This Row],[0–5-vuotiaat]:[16 vuotta täyttäneet]])</f>
        <v>23515</v>
      </c>
      <c r="D253" s="41">
        <v>946</v>
      </c>
      <c r="E253" s="41">
        <v>201</v>
      </c>
      <c r="F253" s="41">
        <v>1406</v>
      </c>
      <c r="G253" s="41">
        <v>791</v>
      </c>
      <c r="H253" s="41">
        <v>20171</v>
      </c>
      <c r="I253" s="41">
        <v>12163</v>
      </c>
      <c r="J253" s="136">
        <v>7718631.5799999991</v>
      </c>
      <c r="K253" s="136">
        <v>1740209.76</v>
      </c>
      <c r="L253" s="136">
        <v>10166940.66</v>
      </c>
      <c r="M253" s="136">
        <v>9827075.5099999998</v>
      </c>
      <c r="N253" s="136">
        <v>1287918.3500000001</v>
      </c>
      <c r="O253" s="136">
        <v>1015367.24</v>
      </c>
      <c r="P253" s="178">
        <f>SUM(Ikärakenne[[#This Row],[Ikä 0–5]:[Ikä 18-64]])</f>
        <v>31756143.099999998</v>
      </c>
    </row>
    <row r="254" spans="1:16">
      <c r="A254" s="127">
        <v>791</v>
      </c>
      <c r="B254" s="124" t="s">
        <v>260</v>
      </c>
      <c r="C254" s="38">
        <f>SUM(Ikärakenne[[#This Row],[0–5-vuotiaat]:[16 vuotta täyttäneet]])</f>
        <v>4931</v>
      </c>
      <c r="D254" s="41">
        <v>227</v>
      </c>
      <c r="E254" s="41">
        <v>51</v>
      </c>
      <c r="F254" s="41">
        <v>311</v>
      </c>
      <c r="G254" s="41">
        <v>178</v>
      </c>
      <c r="H254" s="41">
        <v>4164</v>
      </c>
      <c r="I254" s="41">
        <v>2445</v>
      </c>
      <c r="J254" s="136">
        <v>1852145.21</v>
      </c>
      <c r="K254" s="136">
        <v>441545.76</v>
      </c>
      <c r="L254" s="136">
        <v>2248875.21</v>
      </c>
      <c r="M254" s="136">
        <v>2211402.58</v>
      </c>
      <c r="N254" s="136">
        <v>265871.40000000002</v>
      </c>
      <c r="O254" s="136">
        <v>204108.6</v>
      </c>
      <c r="P254" s="178">
        <f>SUM(Ikärakenne[[#This Row],[Ikä 0–5]:[Ikä 18-64]])</f>
        <v>7223948.7599999998</v>
      </c>
    </row>
    <row r="255" spans="1:16">
      <c r="A255" s="127">
        <v>831</v>
      </c>
      <c r="B255" s="124" t="s">
        <v>261</v>
      </c>
      <c r="C255" s="38">
        <f>SUM(Ikärakenne[[#This Row],[0–5-vuotiaat]:[16 vuotta täyttäneet]])</f>
        <v>4625</v>
      </c>
      <c r="D255" s="41">
        <v>227</v>
      </c>
      <c r="E255" s="41">
        <v>35</v>
      </c>
      <c r="F255" s="41">
        <v>312</v>
      </c>
      <c r="G255" s="41">
        <v>157</v>
      </c>
      <c r="H255" s="41">
        <v>3894</v>
      </c>
      <c r="I255" s="41">
        <v>2443</v>
      </c>
      <c r="J255" s="136">
        <v>1852145.21</v>
      </c>
      <c r="K255" s="136">
        <v>303021.60000000003</v>
      </c>
      <c r="L255" s="136">
        <v>2256106.3199999998</v>
      </c>
      <c r="M255" s="136">
        <v>1950506.77</v>
      </c>
      <c r="N255" s="136">
        <v>248631.9</v>
      </c>
      <c r="O255" s="136">
        <v>203941.64</v>
      </c>
      <c r="P255" s="178">
        <f>SUM(Ikärakenne[[#This Row],[Ikä 0–5]:[Ikä 18-64]])</f>
        <v>6814353.4400000004</v>
      </c>
    </row>
    <row r="256" spans="1:16">
      <c r="A256" s="127">
        <v>832</v>
      </c>
      <c r="B256" s="124" t="s">
        <v>262</v>
      </c>
      <c r="C256" s="38">
        <f>SUM(Ikärakenne[[#This Row],[0–5-vuotiaat]:[16 vuotta täyttäneet]])</f>
        <v>3731</v>
      </c>
      <c r="D256" s="41">
        <v>163</v>
      </c>
      <c r="E256" s="41">
        <v>37</v>
      </c>
      <c r="F256" s="41">
        <v>209</v>
      </c>
      <c r="G256" s="41">
        <v>162</v>
      </c>
      <c r="H256" s="41">
        <v>3160</v>
      </c>
      <c r="I256" s="41">
        <v>1818</v>
      </c>
      <c r="J256" s="136">
        <v>1329954.49</v>
      </c>
      <c r="K256" s="136">
        <v>320337.12</v>
      </c>
      <c r="L256" s="136">
        <v>1511301.99</v>
      </c>
      <c r="M256" s="136">
        <v>2012624.82</v>
      </c>
      <c r="N256" s="136">
        <v>201766</v>
      </c>
      <c r="O256" s="136">
        <v>151766.64000000001</v>
      </c>
      <c r="P256" s="178">
        <f>SUM(Ikärakenne[[#This Row],[Ikä 0–5]:[Ikä 18-64]])</f>
        <v>5527751.0599999996</v>
      </c>
    </row>
    <row r="257" spans="1:16">
      <c r="A257" s="127">
        <v>833</v>
      </c>
      <c r="B257" s="124" t="s">
        <v>263</v>
      </c>
      <c r="C257" s="38">
        <f>SUM(Ikärakenne[[#This Row],[0–5-vuotiaat]:[16 vuotta täyttäneet]])</f>
        <v>1705</v>
      </c>
      <c r="D257" s="41">
        <v>71</v>
      </c>
      <c r="E257" s="41">
        <v>14</v>
      </c>
      <c r="F257" s="41">
        <v>98</v>
      </c>
      <c r="G257" s="41">
        <v>54</v>
      </c>
      <c r="H257" s="41">
        <v>1468</v>
      </c>
      <c r="I257" s="41">
        <v>830</v>
      </c>
      <c r="J257" s="136">
        <v>579305.32999999996</v>
      </c>
      <c r="K257" s="136">
        <v>121208.64</v>
      </c>
      <c r="L257" s="136">
        <v>708648.77999999991</v>
      </c>
      <c r="M257" s="136">
        <v>670874.94000000006</v>
      </c>
      <c r="N257" s="136">
        <v>93731.8</v>
      </c>
      <c r="O257" s="136">
        <v>69288.400000000009</v>
      </c>
      <c r="P257" s="178">
        <f>SUM(Ikärakenne[[#This Row],[Ikä 0–5]:[Ikä 18-64]])</f>
        <v>2243057.8899999997</v>
      </c>
    </row>
    <row r="258" spans="1:16">
      <c r="A258" s="127">
        <v>834</v>
      </c>
      <c r="B258" s="124" t="s">
        <v>264</v>
      </c>
      <c r="C258" s="38">
        <f>SUM(Ikärakenne[[#This Row],[0–5-vuotiaat]:[16 vuotta täyttäneet]])</f>
        <v>5844</v>
      </c>
      <c r="D258" s="41">
        <v>253</v>
      </c>
      <c r="E258" s="41">
        <v>43</v>
      </c>
      <c r="F258" s="41">
        <v>332</v>
      </c>
      <c r="G258" s="41">
        <v>222</v>
      </c>
      <c r="H258" s="41">
        <v>4994</v>
      </c>
      <c r="I258" s="41">
        <v>3129</v>
      </c>
      <c r="J258" s="136">
        <v>2064285.19</v>
      </c>
      <c r="K258" s="136">
        <v>372283.68</v>
      </c>
      <c r="L258" s="136">
        <v>2400728.52</v>
      </c>
      <c r="M258" s="136">
        <v>2758041.42</v>
      </c>
      <c r="N258" s="136">
        <v>318866.90000000002</v>
      </c>
      <c r="O258" s="136">
        <v>261208.92</v>
      </c>
      <c r="P258" s="178">
        <f>SUM(Ikärakenne[[#This Row],[Ikä 0–5]:[Ikä 18-64]])</f>
        <v>8175414.6300000008</v>
      </c>
    </row>
    <row r="259" spans="1:16">
      <c r="A259" s="127">
        <v>837</v>
      </c>
      <c r="B259" s="124" t="s">
        <v>265</v>
      </c>
      <c r="C259" s="38">
        <f>SUM(Ikärakenne[[#This Row],[0–5-vuotiaat]:[16 vuotta täyttäneet]])</f>
        <v>255050</v>
      </c>
      <c r="D259" s="41">
        <v>12144</v>
      </c>
      <c r="E259" s="41">
        <v>2018</v>
      </c>
      <c r="F259" s="41">
        <v>13506</v>
      </c>
      <c r="G259" s="41">
        <v>6681</v>
      </c>
      <c r="H259" s="41">
        <v>220701</v>
      </c>
      <c r="I259" s="41">
        <v>167614</v>
      </c>
      <c r="J259" s="136">
        <v>99085689.11999999</v>
      </c>
      <c r="K259" s="136">
        <v>17471359.68</v>
      </c>
      <c r="L259" s="136">
        <v>97663371.659999996</v>
      </c>
      <c r="M259" s="136">
        <v>83002138.410000011</v>
      </c>
      <c r="N259" s="136">
        <v>14091758.85</v>
      </c>
      <c r="O259" s="136">
        <v>13992416.720000001</v>
      </c>
      <c r="P259" s="178">
        <f>SUM(Ikärakenne[[#This Row],[Ikä 0–5]:[Ikä 18-64]])</f>
        <v>325306734.44000006</v>
      </c>
    </row>
    <row r="260" spans="1:16">
      <c r="A260" s="127">
        <v>844</v>
      </c>
      <c r="B260" s="124" t="s">
        <v>266</v>
      </c>
      <c r="C260" s="38">
        <f>SUM(Ikärakenne[[#This Row],[0–5-vuotiaat]:[16 vuotta täyttäneet]])</f>
        <v>1412</v>
      </c>
      <c r="D260" s="41">
        <v>34</v>
      </c>
      <c r="E260" s="41">
        <v>10</v>
      </c>
      <c r="F260" s="41">
        <v>68</v>
      </c>
      <c r="G260" s="41">
        <v>20</v>
      </c>
      <c r="H260" s="41">
        <v>1280</v>
      </c>
      <c r="I260" s="41">
        <v>656</v>
      </c>
      <c r="J260" s="136">
        <v>277413.82</v>
      </c>
      <c r="K260" s="136">
        <v>86577.600000000006</v>
      </c>
      <c r="L260" s="136">
        <v>491715.48</v>
      </c>
      <c r="M260" s="136">
        <v>248472.2</v>
      </c>
      <c r="N260" s="136">
        <v>81728</v>
      </c>
      <c r="O260" s="136">
        <v>54762.880000000005</v>
      </c>
      <c r="P260" s="178">
        <f>SUM(Ikärakenne[[#This Row],[Ikä 0–5]:[Ikä 18-64]])</f>
        <v>1240669.98</v>
      </c>
    </row>
    <row r="261" spans="1:16">
      <c r="A261" s="127">
        <v>845</v>
      </c>
      <c r="B261" s="124" t="s">
        <v>267</v>
      </c>
      <c r="C261" s="38">
        <f>SUM(Ikärakenne[[#This Row],[0–5-vuotiaat]:[16 vuotta täyttäneet]])</f>
        <v>2831</v>
      </c>
      <c r="D261" s="41">
        <v>154</v>
      </c>
      <c r="E261" s="41">
        <v>23</v>
      </c>
      <c r="F261" s="41">
        <v>185</v>
      </c>
      <c r="G261" s="41">
        <v>101</v>
      </c>
      <c r="H261" s="41">
        <v>2368</v>
      </c>
      <c r="I261" s="41">
        <v>1409</v>
      </c>
      <c r="J261" s="136">
        <v>1256521.42</v>
      </c>
      <c r="K261" s="136">
        <v>199128.48</v>
      </c>
      <c r="L261" s="136">
        <v>1337755.3499999999</v>
      </c>
      <c r="M261" s="136">
        <v>1254784.6100000001</v>
      </c>
      <c r="N261" s="136">
        <v>151196.80000000002</v>
      </c>
      <c r="O261" s="136">
        <v>117623.32</v>
      </c>
      <c r="P261" s="178">
        <f>SUM(Ikärakenne[[#This Row],[Ikä 0–5]:[Ikä 18-64]])</f>
        <v>4317009.9800000004</v>
      </c>
    </row>
    <row r="262" spans="1:16">
      <c r="A262" s="127">
        <v>846</v>
      </c>
      <c r="B262" s="124" t="s">
        <v>268</v>
      </c>
      <c r="C262" s="38">
        <f>SUM(Ikärakenne[[#This Row],[0–5-vuotiaat]:[16 vuotta täyttäneet]])</f>
        <v>4758</v>
      </c>
      <c r="D262" s="41">
        <v>191</v>
      </c>
      <c r="E262" s="41">
        <v>37</v>
      </c>
      <c r="F262" s="41">
        <v>305</v>
      </c>
      <c r="G262" s="41">
        <v>171</v>
      </c>
      <c r="H262" s="41">
        <v>4054</v>
      </c>
      <c r="I262" s="41">
        <v>2285</v>
      </c>
      <c r="J262" s="136">
        <v>1558412.93</v>
      </c>
      <c r="K262" s="136">
        <v>320337.12</v>
      </c>
      <c r="L262" s="136">
        <v>2205488.5499999998</v>
      </c>
      <c r="M262" s="136">
        <v>2124437.31</v>
      </c>
      <c r="N262" s="136">
        <v>258847.9</v>
      </c>
      <c r="O262" s="136">
        <v>190751.80000000002</v>
      </c>
      <c r="P262" s="178">
        <f>SUM(Ikärakenne[[#This Row],[Ikä 0–5]:[Ikä 18-64]])</f>
        <v>6658275.6100000003</v>
      </c>
    </row>
    <row r="263" spans="1:16">
      <c r="A263" s="127">
        <v>848</v>
      </c>
      <c r="B263" s="124" t="s">
        <v>269</v>
      </c>
      <c r="C263" s="38">
        <f>SUM(Ikärakenne[[#This Row],[0–5-vuotiaat]:[16 vuotta täyttäneet]])</f>
        <v>4066</v>
      </c>
      <c r="D263" s="41">
        <v>145</v>
      </c>
      <c r="E263" s="41">
        <v>28</v>
      </c>
      <c r="F263" s="41">
        <v>250</v>
      </c>
      <c r="G263" s="41">
        <v>138</v>
      </c>
      <c r="H263" s="41">
        <v>3505</v>
      </c>
      <c r="I263" s="41">
        <v>1964</v>
      </c>
      <c r="J263" s="136">
        <v>1183088.3499999999</v>
      </c>
      <c r="K263" s="136">
        <v>242417.28</v>
      </c>
      <c r="L263" s="136">
        <v>1807777.5</v>
      </c>
      <c r="M263" s="136">
        <v>1714458.1800000002</v>
      </c>
      <c r="N263" s="136">
        <v>223794.25</v>
      </c>
      <c r="O263" s="136">
        <v>163954.72</v>
      </c>
      <c r="P263" s="178">
        <f>SUM(Ikärakenne[[#This Row],[Ikä 0–5]:[Ikä 18-64]])</f>
        <v>5335490.28</v>
      </c>
    </row>
    <row r="264" spans="1:16">
      <c r="A264" s="127">
        <v>849</v>
      </c>
      <c r="B264" s="124" t="s">
        <v>270</v>
      </c>
      <c r="C264" s="38">
        <f>SUM(Ikärakenne[[#This Row],[0–5-vuotiaat]:[16 vuotta täyttäneet]])</f>
        <v>2849</v>
      </c>
      <c r="D264" s="41">
        <v>140</v>
      </c>
      <c r="E264" s="41">
        <v>32</v>
      </c>
      <c r="F264" s="41">
        <v>225</v>
      </c>
      <c r="G264" s="41">
        <v>132</v>
      </c>
      <c r="H264" s="41">
        <v>2320</v>
      </c>
      <c r="I264" s="41">
        <v>1381</v>
      </c>
      <c r="J264" s="136">
        <v>1142292.2</v>
      </c>
      <c r="K264" s="136">
        <v>277048.32000000001</v>
      </c>
      <c r="L264" s="136">
        <v>1626999.75</v>
      </c>
      <c r="M264" s="136">
        <v>1639916.52</v>
      </c>
      <c r="N264" s="136">
        <v>148132</v>
      </c>
      <c r="O264" s="136">
        <v>115285.88</v>
      </c>
      <c r="P264" s="178">
        <f>SUM(Ikärakenne[[#This Row],[Ikä 0–5]:[Ikä 18-64]])</f>
        <v>4949674.67</v>
      </c>
    </row>
    <row r="265" spans="1:16">
      <c r="A265" s="127">
        <v>850</v>
      </c>
      <c r="B265" s="124" t="s">
        <v>271</v>
      </c>
      <c r="C265" s="38">
        <f>SUM(Ikärakenne[[#This Row],[0–5-vuotiaat]:[16 vuotta täyttäneet]])</f>
        <v>2368</v>
      </c>
      <c r="D265" s="41">
        <v>118</v>
      </c>
      <c r="E265" s="41">
        <v>20</v>
      </c>
      <c r="F265" s="41">
        <v>193</v>
      </c>
      <c r="G265" s="41">
        <v>109</v>
      </c>
      <c r="H265" s="41">
        <v>1928</v>
      </c>
      <c r="I265" s="41">
        <v>1161</v>
      </c>
      <c r="J265" s="136">
        <v>962789.1399999999</v>
      </c>
      <c r="K265" s="136">
        <v>173155.20000000001</v>
      </c>
      <c r="L265" s="136">
        <v>1395604.23</v>
      </c>
      <c r="M265" s="136">
        <v>1354173.49</v>
      </c>
      <c r="N265" s="136">
        <v>123102.8</v>
      </c>
      <c r="O265" s="136">
        <v>96920.28</v>
      </c>
      <c r="P265" s="178">
        <f>SUM(Ikärakenne[[#This Row],[Ikä 0–5]:[Ikä 18-64]])</f>
        <v>4105745.1399999992</v>
      </c>
    </row>
    <row r="266" spans="1:16">
      <c r="A266" s="127">
        <v>851</v>
      </c>
      <c r="B266" s="124" t="s">
        <v>272</v>
      </c>
      <c r="C266" s="38">
        <f>SUM(Ikärakenne[[#This Row],[0–5-vuotiaat]:[16 vuotta täyttäneet]])</f>
        <v>21018</v>
      </c>
      <c r="D266" s="41">
        <v>1099</v>
      </c>
      <c r="E266" s="41">
        <v>211</v>
      </c>
      <c r="F266" s="41">
        <v>1475</v>
      </c>
      <c r="G266" s="41">
        <v>845</v>
      </c>
      <c r="H266" s="41">
        <v>17388</v>
      </c>
      <c r="I266" s="41">
        <v>11394</v>
      </c>
      <c r="J266" s="136">
        <v>8966993.7699999996</v>
      </c>
      <c r="K266" s="136">
        <v>1826787.36</v>
      </c>
      <c r="L266" s="136">
        <v>10665887.25</v>
      </c>
      <c r="M266" s="136">
        <v>10497950.450000001</v>
      </c>
      <c r="N266" s="136">
        <v>1110223.8</v>
      </c>
      <c r="O266" s="136">
        <v>951171.12</v>
      </c>
      <c r="P266" s="178">
        <f>SUM(Ikärakenne[[#This Row],[Ikä 0–5]:[Ikä 18-64]])</f>
        <v>34019013.75</v>
      </c>
    </row>
    <row r="267" spans="1:16">
      <c r="A267" s="127">
        <v>853</v>
      </c>
      <c r="B267" s="124" t="s">
        <v>273</v>
      </c>
      <c r="C267" s="38">
        <f>SUM(Ikärakenne[[#This Row],[0–5-vuotiaat]:[16 vuotta täyttäneet]])</f>
        <v>201863</v>
      </c>
      <c r="D267" s="41">
        <v>9371</v>
      </c>
      <c r="E267" s="41">
        <v>1602</v>
      </c>
      <c r="F267" s="41">
        <v>10202</v>
      </c>
      <c r="G267" s="41">
        <v>5115</v>
      </c>
      <c r="H267" s="41">
        <v>175573</v>
      </c>
      <c r="I267" s="41">
        <v>130708</v>
      </c>
      <c r="J267" s="136">
        <v>76460144.329999998</v>
      </c>
      <c r="K267" s="136">
        <v>13869731.52</v>
      </c>
      <c r="L267" s="136">
        <v>73771784.219999999</v>
      </c>
      <c r="M267" s="136">
        <v>63546765.150000006</v>
      </c>
      <c r="N267" s="136">
        <v>11210336.050000001</v>
      </c>
      <c r="O267" s="136">
        <v>10911503.84</v>
      </c>
      <c r="P267" s="178">
        <f>SUM(Ikärakenne[[#This Row],[Ikä 0–5]:[Ikä 18-64]])</f>
        <v>249770265.11000001</v>
      </c>
    </row>
    <row r="268" spans="1:16">
      <c r="A268" s="127">
        <v>854</v>
      </c>
      <c r="B268" s="124" t="s">
        <v>274</v>
      </c>
      <c r="C268" s="38">
        <f>SUM(Ikärakenne[[#This Row],[0–5-vuotiaat]:[16 vuotta täyttäneet]])</f>
        <v>3253</v>
      </c>
      <c r="D268" s="41">
        <v>96</v>
      </c>
      <c r="E268" s="41">
        <v>21</v>
      </c>
      <c r="F268" s="41">
        <v>151</v>
      </c>
      <c r="G268" s="41">
        <v>65</v>
      </c>
      <c r="H268" s="41">
        <v>2920</v>
      </c>
      <c r="I268" s="41">
        <v>1462</v>
      </c>
      <c r="J268" s="136">
        <v>783286.08</v>
      </c>
      <c r="K268" s="136">
        <v>181812.96</v>
      </c>
      <c r="L268" s="136">
        <v>1091897.6099999999</v>
      </c>
      <c r="M268" s="136">
        <v>807534.65</v>
      </c>
      <c r="N268" s="136">
        <v>186442</v>
      </c>
      <c r="O268" s="136">
        <v>122047.76000000001</v>
      </c>
      <c r="P268" s="178">
        <f>SUM(Ikärakenne[[#This Row],[Ikä 0–5]:[Ikä 18-64]])</f>
        <v>3173021.0599999996</v>
      </c>
    </row>
    <row r="269" spans="1:16">
      <c r="A269" s="127">
        <v>857</v>
      </c>
      <c r="B269" s="124" t="s">
        <v>275</v>
      </c>
      <c r="C269" s="38">
        <f>SUM(Ikärakenne[[#This Row],[0–5-vuotiaat]:[16 vuotta täyttäneet]])</f>
        <v>2313</v>
      </c>
      <c r="D269" s="41">
        <v>58</v>
      </c>
      <c r="E269" s="41">
        <v>14</v>
      </c>
      <c r="F269" s="41">
        <v>102</v>
      </c>
      <c r="G269" s="41">
        <v>65</v>
      </c>
      <c r="H269" s="41">
        <v>2074</v>
      </c>
      <c r="I269" s="41">
        <v>1093</v>
      </c>
      <c r="J269" s="136">
        <v>473235.33999999997</v>
      </c>
      <c r="K269" s="136">
        <v>121208.64</v>
      </c>
      <c r="L269" s="136">
        <v>737573.22</v>
      </c>
      <c r="M269" s="136">
        <v>807534.65</v>
      </c>
      <c r="N269" s="136">
        <v>132424.9</v>
      </c>
      <c r="O269" s="136">
        <v>91243.64</v>
      </c>
      <c r="P269" s="178">
        <f>SUM(Ikärakenne[[#This Row],[Ikä 0–5]:[Ikä 18-64]])</f>
        <v>2363220.39</v>
      </c>
    </row>
    <row r="270" spans="1:16">
      <c r="A270" s="127">
        <v>858</v>
      </c>
      <c r="B270" s="124" t="s">
        <v>276</v>
      </c>
      <c r="C270" s="38">
        <f>SUM(Ikärakenne[[#This Row],[0–5-vuotiaat]:[16 vuotta täyttäneet]])</f>
        <v>41338</v>
      </c>
      <c r="D270" s="41">
        <v>2369</v>
      </c>
      <c r="E270" s="41">
        <v>446</v>
      </c>
      <c r="F270" s="41">
        <v>3109</v>
      </c>
      <c r="G270" s="41">
        <v>1821</v>
      </c>
      <c r="H270" s="41">
        <v>33593</v>
      </c>
      <c r="I270" s="41">
        <v>24737</v>
      </c>
      <c r="J270" s="136">
        <v>19329215.869999997</v>
      </c>
      <c r="K270" s="136">
        <v>3861360.96</v>
      </c>
      <c r="L270" s="136">
        <v>22481520.989999998</v>
      </c>
      <c r="M270" s="136">
        <v>22623393.810000002</v>
      </c>
      <c r="N270" s="136">
        <v>2144913.0500000003</v>
      </c>
      <c r="O270" s="136">
        <v>2065044.76</v>
      </c>
      <c r="P270" s="178">
        <f>SUM(Ikärakenne[[#This Row],[Ikä 0–5]:[Ikä 18-64]])</f>
        <v>72505449.439999998</v>
      </c>
    </row>
    <row r="271" spans="1:16">
      <c r="A271" s="127">
        <v>859</v>
      </c>
      <c r="B271" s="124" t="s">
        <v>277</v>
      </c>
      <c r="C271" s="38">
        <f>SUM(Ikärakenne[[#This Row],[0–5-vuotiaat]:[16 vuotta täyttäneet]])</f>
        <v>6525</v>
      </c>
      <c r="D271" s="41">
        <v>590</v>
      </c>
      <c r="E271" s="41">
        <v>113</v>
      </c>
      <c r="F271" s="41">
        <v>832</v>
      </c>
      <c r="G271" s="41">
        <v>488</v>
      </c>
      <c r="H271" s="41">
        <v>4502</v>
      </c>
      <c r="I271" s="41">
        <v>3258</v>
      </c>
      <c r="J271" s="136">
        <v>4813945.7</v>
      </c>
      <c r="K271" s="136">
        <v>978326.88</v>
      </c>
      <c r="L271" s="136">
        <v>6016283.5199999996</v>
      </c>
      <c r="M271" s="136">
        <v>6062721.6800000006</v>
      </c>
      <c r="N271" s="136">
        <v>287452.7</v>
      </c>
      <c r="O271" s="136">
        <v>271977.84000000003</v>
      </c>
      <c r="P271" s="178">
        <f>SUM(Ikärakenne[[#This Row],[Ikä 0–5]:[Ikä 18-64]])</f>
        <v>18430708.32</v>
      </c>
    </row>
    <row r="272" spans="1:16">
      <c r="A272" s="127">
        <v>886</v>
      </c>
      <c r="B272" s="124" t="s">
        <v>278</v>
      </c>
      <c r="C272" s="38">
        <f>SUM(Ikärakenne[[#This Row],[0–5-vuotiaat]:[16 vuotta täyttäneet]])</f>
        <v>12533</v>
      </c>
      <c r="D272" s="41">
        <v>627</v>
      </c>
      <c r="E272" s="41">
        <v>136</v>
      </c>
      <c r="F272" s="41">
        <v>917</v>
      </c>
      <c r="G272" s="41">
        <v>514</v>
      </c>
      <c r="H272" s="41">
        <v>10339</v>
      </c>
      <c r="I272" s="41">
        <v>6569</v>
      </c>
      <c r="J272" s="136">
        <v>5115837.21</v>
      </c>
      <c r="K272" s="136">
        <v>1177455.3600000001</v>
      </c>
      <c r="L272" s="136">
        <v>6630927.8700000001</v>
      </c>
      <c r="M272" s="136">
        <v>6385735.54</v>
      </c>
      <c r="N272" s="136">
        <v>660145.15</v>
      </c>
      <c r="O272" s="136">
        <v>548380.12</v>
      </c>
      <c r="P272" s="178">
        <f>SUM(Ikärakenne[[#This Row],[Ikä 0–5]:[Ikä 18-64]])</f>
        <v>20518481.25</v>
      </c>
    </row>
    <row r="273" spans="1:16">
      <c r="A273" s="127">
        <v>887</v>
      </c>
      <c r="B273" s="124" t="s">
        <v>279</v>
      </c>
      <c r="C273" s="38">
        <f>SUM(Ikärakenne[[#This Row],[0–5-vuotiaat]:[16 vuotta täyttäneet]])</f>
        <v>4568</v>
      </c>
      <c r="D273" s="41">
        <v>180</v>
      </c>
      <c r="E273" s="41">
        <v>36</v>
      </c>
      <c r="F273" s="41">
        <v>251</v>
      </c>
      <c r="G273" s="41">
        <v>144</v>
      </c>
      <c r="H273" s="41">
        <v>3957</v>
      </c>
      <c r="I273" s="41">
        <v>2272</v>
      </c>
      <c r="J273" s="136">
        <v>1468661.4</v>
      </c>
      <c r="K273" s="136">
        <v>311679.35999999999</v>
      </c>
      <c r="L273" s="136">
        <v>1815008.6099999999</v>
      </c>
      <c r="M273" s="136">
        <v>1788999.84</v>
      </c>
      <c r="N273" s="136">
        <v>252654.45</v>
      </c>
      <c r="O273" s="136">
        <v>189666.56</v>
      </c>
      <c r="P273" s="178">
        <f>SUM(Ikärakenne[[#This Row],[Ikä 0–5]:[Ikä 18-64]])</f>
        <v>5826670.2199999997</v>
      </c>
    </row>
    <row r="274" spans="1:16">
      <c r="A274" s="127">
        <v>889</v>
      </c>
      <c r="B274" s="124" t="s">
        <v>280</v>
      </c>
      <c r="C274" s="38">
        <f>SUM(Ikärakenne[[#This Row],[0–5-vuotiaat]:[16 vuotta täyttäneet]])</f>
        <v>2491</v>
      </c>
      <c r="D274" s="41">
        <v>100</v>
      </c>
      <c r="E274" s="41">
        <v>19</v>
      </c>
      <c r="F274" s="41">
        <v>187</v>
      </c>
      <c r="G274" s="41">
        <v>78</v>
      </c>
      <c r="H274" s="41">
        <v>2107</v>
      </c>
      <c r="I274" s="41">
        <v>1210</v>
      </c>
      <c r="J274" s="136">
        <v>815923</v>
      </c>
      <c r="K274" s="136">
        <v>164497.44</v>
      </c>
      <c r="L274" s="136">
        <v>1352217.5699999998</v>
      </c>
      <c r="M274" s="136">
        <v>969041.58000000007</v>
      </c>
      <c r="N274" s="136">
        <v>134531.95000000001</v>
      </c>
      <c r="O274" s="136">
        <v>101010.8</v>
      </c>
      <c r="P274" s="178">
        <f>SUM(Ikärakenne[[#This Row],[Ikä 0–5]:[Ikä 18-64]])</f>
        <v>3537222.34</v>
      </c>
    </row>
    <row r="275" spans="1:16">
      <c r="A275" s="127">
        <v>890</v>
      </c>
      <c r="B275" s="124" t="s">
        <v>281</v>
      </c>
      <c r="C275" s="38">
        <f>SUM(Ikärakenne[[#This Row],[0–5-vuotiaat]:[16 vuotta täyttäneet]])</f>
        <v>1139</v>
      </c>
      <c r="D275" s="41">
        <v>41</v>
      </c>
      <c r="E275" s="41">
        <v>8</v>
      </c>
      <c r="F275" s="41">
        <v>56</v>
      </c>
      <c r="G275" s="41">
        <v>40</v>
      </c>
      <c r="H275" s="41">
        <v>994</v>
      </c>
      <c r="I275" s="41">
        <v>600</v>
      </c>
      <c r="J275" s="136">
        <v>334528.43</v>
      </c>
      <c r="K275" s="136">
        <v>69262.080000000002</v>
      </c>
      <c r="L275" s="136">
        <v>404942.16</v>
      </c>
      <c r="M275" s="136">
        <v>496944.4</v>
      </c>
      <c r="N275" s="136">
        <v>63466.9</v>
      </c>
      <c r="O275" s="136">
        <v>50088</v>
      </c>
      <c r="P275" s="178">
        <f>SUM(Ikärakenne[[#This Row],[Ikä 0–5]:[Ikä 18-64]])</f>
        <v>1419231.9699999997</v>
      </c>
    </row>
    <row r="276" spans="1:16">
      <c r="A276" s="127">
        <v>892</v>
      </c>
      <c r="B276" s="124" t="s">
        <v>282</v>
      </c>
      <c r="C276" s="38">
        <f>SUM(Ikärakenne[[#This Row],[0–5-vuotiaat]:[16 vuotta täyttäneet]])</f>
        <v>3615</v>
      </c>
      <c r="D276" s="41">
        <v>284</v>
      </c>
      <c r="E276" s="41">
        <v>50</v>
      </c>
      <c r="F276" s="41">
        <v>392</v>
      </c>
      <c r="G276" s="41">
        <v>212</v>
      </c>
      <c r="H276" s="41">
        <v>2677</v>
      </c>
      <c r="I276" s="41">
        <v>1815</v>
      </c>
      <c r="J276" s="136">
        <v>2317221.3199999998</v>
      </c>
      <c r="K276" s="136">
        <v>432888</v>
      </c>
      <c r="L276" s="136">
        <v>2834595.1199999996</v>
      </c>
      <c r="M276" s="136">
        <v>2633805.3200000003</v>
      </c>
      <c r="N276" s="136">
        <v>170926.45</v>
      </c>
      <c r="O276" s="136">
        <v>151516.20000000001</v>
      </c>
      <c r="P276" s="178">
        <f>SUM(Ikärakenne[[#This Row],[Ikä 0–5]:[Ikä 18-64]])</f>
        <v>8540952.4099999983</v>
      </c>
    </row>
    <row r="277" spans="1:16">
      <c r="A277" s="127">
        <v>893</v>
      </c>
      <c r="B277" s="124" t="s">
        <v>283</v>
      </c>
      <c r="C277" s="38">
        <f>SUM(Ikärakenne[[#This Row],[0–5-vuotiaat]:[16 vuotta täyttäneet]])</f>
        <v>7500</v>
      </c>
      <c r="D277" s="41">
        <v>451</v>
      </c>
      <c r="E277" s="41">
        <v>73</v>
      </c>
      <c r="F277" s="41">
        <v>593</v>
      </c>
      <c r="G277" s="41">
        <v>314</v>
      </c>
      <c r="H277" s="41">
        <v>6069</v>
      </c>
      <c r="I277" s="41">
        <v>3905</v>
      </c>
      <c r="J277" s="136">
        <v>3679812.73</v>
      </c>
      <c r="K277" s="136">
        <v>632016.48</v>
      </c>
      <c r="L277" s="136">
        <v>4288048.2299999995</v>
      </c>
      <c r="M277" s="136">
        <v>3901013.54</v>
      </c>
      <c r="N277" s="136">
        <v>387505.65</v>
      </c>
      <c r="O277" s="136">
        <v>325989.40000000002</v>
      </c>
      <c r="P277" s="178">
        <f>SUM(Ikärakenne[[#This Row],[Ikä 0–5]:[Ikä 18-64]])</f>
        <v>13214386.030000001</v>
      </c>
    </row>
    <row r="278" spans="1:16">
      <c r="A278" s="127">
        <v>895</v>
      </c>
      <c r="B278" s="124" t="s">
        <v>284</v>
      </c>
      <c r="C278" s="38">
        <f>SUM(Ikärakenne[[#This Row],[0–5-vuotiaat]:[16 vuotta täyttäneet]])</f>
        <v>14938</v>
      </c>
      <c r="D278" s="41">
        <v>620</v>
      </c>
      <c r="E278" s="41">
        <v>116</v>
      </c>
      <c r="F278" s="41">
        <v>879</v>
      </c>
      <c r="G278" s="41">
        <v>470</v>
      </c>
      <c r="H278" s="41">
        <v>12853</v>
      </c>
      <c r="I278" s="41">
        <v>7881</v>
      </c>
      <c r="J278" s="136">
        <v>5058722.5999999996</v>
      </c>
      <c r="K278" s="136">
        <v>1004300.16</v>
      </c>
      <c r="L278" s="136">
        <v>6356145.6899999995</v>
      </c>
      <c r="M278" s="136">
        <v>5839096.7000000002</v>
      </c>
      <c r="N278" s="136">
        <v>820664.05</v>
      </c>
      <c r="O278" s="136">
        <v>657905.88</v>
      </c>
      <c r="P278" s="178">
        <f>SUM(Ikärakenne[[#This Row],[Ikä 0–5]:[Ikä 18-64]])</f>
        <v>19736835.079999998</v>
      </c>
    </row>
    <row r="279" spans="1:16">
      <c r="A279" s="127">
        <v>905</v>
      </c>
      <c r="B279" s="124" t="s">
        <v>285</v>
      </c>
      <c r="C279" s="38">
        <f>SUM(Ikärakenne[[#This Row],[0–5-vuotiaat]:[16 vuotta täyttäneet]])</f>
        <v>68956</v>
      </c>
      <c r="D279" s="41">
        <v>3325</v>
      </c>
      <c r="E279" s="41">
        <v>598</v>
      </c>
      <c r="F279" s="41">
        <v>4300</v>
      </c>
      <c r="G279" s="41">
        <v>2264</v>
      </c>
      <c r="H279" s="41">
        <v>58469</v>
      </c>
      <c r="I279" s="41">
        <v>42721</v>
      </c>
      <c r="J279" s="136">
        <v>27129439.75</v>
      </c>
      <c r="K279" s="136">
        <v>5177340.4800000004</v>
      </c>
      <c r="L279" s="136">
        <v>31093773</v>
      </c>
      <c r="M279" s="136">
        <v>28127053.040000003</v>
      </c>
      <c r="N279" s="136">
        <v>3733245.65</v>
      </c>
      <c r="O279" s="136">
        <v>3566349.08</v>
      </c>
      <c r="P279" s="178">
        <f>SUM(Ikärakenne[[#This Row],[Ikä 0–5]:[Ikä 18-64]])</f>
        <v>98827201.000000015</v>
      </c>
    </row>
    <row r="280" spans="1:16">
      <c r="A280" s="127">
        <v>908</v>
      </c>
      <c r="B280" s="124" t="s">
        <v>286</v>
      </c>
      <c r="C280" s="38">
        <f>SUM(Ikärakenne[[#This Row],[0–5-vuotiaat]:[16 vuotta täyttäneet]])</f>
        <v>20694</v>
      </c>
      <c r="D280" s="41">
        <v>934</v>
      </c>
      <c r="E280" s="41">
        <v>171</v>
      </c>
      <c r="F280" s="41">
        <v>1383</v>
      </c>
      <c r="G280" s="41">
        <v>803</v>
      </c>
      <c r="H280" s="41">
        <v>17403</v>
      </c>
      <c r="I280" s="41">
        <v>11040</v>
      </c>
      <c r="J280" s="136">
        <v>7620720.8199999994</v>
      </c>
      <c r="K280" s="136">
        <v>1480476.96</v>
      </c>
      <c r="L280" s="136">
        <v>10000625.129999999</v>
      </c>
      <c r="M280" s="136">
        <v>9976158.8300000001</v>
      </c>
      <c r="N280" s="136">
        <v>1111181.55</v>
      </c>
      <c r="O280" s="136">
        <v>921619.20000000007</v>
      </c>
      <c r="P280" s="178">
        <f>SUM(Ikärakenne[[#This Row],[Ikä 0–5]:[Ikä 18-64]])</f>
        <v>31110782.489999995</v>
      </c>
    </row>
    <row r="281" spans="1:16">
      <c r="A281" s="127">
        <v>915</v>
      </c>
      <c r="B281" s="124" t="s">
        <v>287</v>
      </c>
      <c r="C281" s="38">
        <f>SUM(Ikärakenne[[#This Row],[0–5-vuotiaat]:[16 vuotta täyttäneet]])</f>
        <v>19727</v>
      </c>
      <c r="D281" s="41">
        <v>727</v>
      </c>
      <c r="E281" s="41">
        <v>146</v>
      </c>
      <c r="F281" s="41">
        <v>971</v>
      </c>
      <c r="G281" s="41">
        <v>590</v>
      </c>
      <c r="H281" s="41">
        <v>17293</v>
      </c>
      <c r="I281" s="41">
        <v>10248</v>
      </c>
      <c r="J281" s="136">
        <v>5931760.21</v>
      </c>
      <c r="K281" s="136">
        <v>1264032.96</v>
      </c>
      <c r="L281" s="136">
        <v>7021407.8099999996</v>
      </c>
      <c r="M281" s="136">
        <v>7329929.9000000004</v>
      </c>
      <c r="N281" s="136">
        <v>1104158.05</v>
      </c>
      <c r="O281" s="136">
        <v>855503.04</v>
      </c>
      <c r="P281" s="178">
        <f>SUM(Ikärakenne[[#This Row],[Ikä 0–5]:[Ikä 18-64]])</f>
        <v>23506791.970000003</v>
      </c>
    </row>
    <row r="282" spans="1:16">
      <c r="A282" s="127">
        <v>918</v>
      </c>
      <c r="B282" s="124" t="s">
        <v>288</v>
      </c>
      <c r="C282" s="38">
        <f>SUM(Ikärakenne[[#This Row],[0–5-vuotiaat]:[16 vuotta täyttäneet]])</f>
        <v>2245</v>
      </c>
      <c r="D282" s="41">
        <v>108</v>
      </c>
      <c r="E282" s="41">
        <v>17</v>
      </c>
      <c r="F282" s="41">
        <v>136</v>
      </c>
      <c r="G282" s="41">
        <v>72</v>
      </c>
      <c r="H282" s="41">
        <v>1912</v>
      </c>
      <c r="I282" s="41">
        <v>1184</v>
      </c>
      <c r="J282" s="136">
        <v>881196.84</v>
      </c>
      <c r="K282" s="136">
        <v>147181.92000000001</v>
      </c>
      <c r="L282" s="136">
        <v>983430.96</v>
      </c>
      <c r="M282" s="136">
        <v>894499.92</v>
      </c>
      <c r="N282" s="136">
        <v>122081.2</v>
      </c>
      <c r="O282" s="136">
        <v>98840.320000000007</v>
      </c>
      <c r="P282" s="178">
        <f>SUM(Ikärakenne[[#This Row],[Ikä 0–5]:[Ikä 18-64]])</f>
        <v>3127231.16</v>
      </c>
    </row>
    <row r="283" spans="1:16">
      <c r="A283" s="127">
        <v>921</v>
      </c>
      <c r="B283" s="124" t="s">
        <v>289</v>
      </c>
      <c r="C283" s="38">
        <f>SUM(Ikärakenne[[#This Row],[0–5-vuotiaat]:[16 vuotta täyttäneet]])</f>
        <v>1895</v>
      </c>
      <c r="D283" s="41">
        <v>45</v>
      </c>
      <c r="E283" s="41">
        <v>7</v>
      </c>
      <c r="F283" s="41">
        <v>74</v>
      </c>
      <c r="G283" s="41">
        <v>51</v>
      </c>
      <c r="H283" s="41">
        <v>1718</v>
      </c>
      <c r="I283" s="41">
        <v>864</v>
      </c>
      <c r="J283" s="136">
        <v>367165.35</v>
      </c>
      <c r="K283" s="136">
        <v>60604.32</v>
      </c>
      <c r="L283" s="136">
        <v>535102.14</v>
      </c>
      <c r="M283" s="136">
        <v>633604.11</v>
      </c>
      <c r="N283" s="136">
        <v>109694.3</v>
      </c>
      <c r="O283" s="136">
        <v>72126.720000000001</v>
      </c>
      <c r="P283" s="178">
        <f>SUM(Ikärakenne[[#This Row],[Ikä 0–5]:[Ikä 18-64]])</f>
        <v>1778296.94</v>
      </c>
    </row>
    <row r="284" spans="1:16">
      <c r="A284" s="127">
        <v>922</v>
      </c>
      <c r="B284" s="124" t="s">
        <v>290</v>
      </c>
      <c r="C284" s="38">
        <f>SUM(Ikärakenne[[#This Row],[0–5-vuotiaat]:[16 vuotta täyttäneet]])</f>
        <v>4469</v>
      </c>
      <c r="D284" s="41">
        <v>256</v>
      </c>
      <c r="E284" s="41">
        <v>55</v>
      </c>
      <c r="F284" s="41">
        <v>390</v>
      </c>
      <c r="G284" s="41">
        <v>218</v>
      </c>
      <c r="H284" s="41">
        <v>3550</v>
      </c>
      <c r="I284" s="41">
        <v>2552</v>
      </c>
      <c r="J284" s="136">
        <v>2088762.88</v>
      </c>
      <c r="K284" s="136">
        <v>476176.8</v>
      </c>
      <c r="L284" s="136">
        <v>2820132.9</v>
      </c>
      <c r="M284" s="136">
        <v>2708346.98</v>
      </c>
      <c r="N284" s="136">
        <v>226667.5</v>
      </c>
      <c r="O284" s="136">
        <v>213040.96000000002</v>
      </c>
      <c r="P284" s="178">
        <f>SUM(Ikärakenne[[#This Row],[Ikä 0–5]:[Ikä 18-64]])</f>
        <v>8533128.0200000014</v>
      </c>
    </row>
    <row r="285" spans="1:16">
      <c r="A285" s="127">
        <v>924</v>
      </c>
      <c r="B285" s="124" t="s">
        <v>291</v>
      </c>
      <c r="C285" s="38">
        <f>SUM(Ikärakenne[[#This Row],[0–5-vuotiaat]:[16 vuotta täyttäneet]])</f>
        <v>2936</v>
      </c>
      <c r="D285" s="41">
        <v>126</v>
      </c>
      <c r="E285" s="41">
        <v>26</v>
      </c>
      <c r="F285" s="41">
        <v>180</v>
      </c>
      <c r="G285" s="41">
        <v>126</v>
      </c>
      <c r="H285" s="41">
        <v>2478</v>
      </c>
      <c r="I285" s="41">
        <v>1447</v>
      </c>
      <c r="J285" s="136">
        <v>1028062.98</v>
      </c>
      <c r="K285" s="136">
        <v>225101.76</v>
      </c>
      <c r="L285" s="136">
        <v>1301599.8</v>
      </c>
      <c r="M285" s="136">
        <v>1565374.86</v>
      </c>
      <c r="N285" s="136">
        <v>158220.30000000002</v>
      </c>
      <c r="O285" s="136">
        <v>120795.56000000001</v>
      </c>
      <c r="P285" s="178">
        <f>SUM(Ikärakenne[[#This Row],[Ikä 0–5]:[Ikä 18-64]])</f>
        <v>4399155.26</v>
      </c>
    </row>
    <row r="286" spans="1:16">
      <c r="A286" s="127">
        <v>925</v>
      </c>
      <c r="B286" s="124" t="s">
        <v>292</v>
      </c>
      <c r="C286" s="38">
        <f>SUM(Ikärakenne[[#This Row],[0–5-vuotiaat]:[16 vuotta täyttäneet]])</f>
        <v>3387</v>
      </c>
      <c r="D286" s="41">
        <v>132</v>
      </c>
      <c r="E286" s="41">
        <v>31</v>
      </c>
      <c r="F286" s="41">
        <v>231</v>
      </c>
      <c r="G286" s="41">
        <v>117</v>
      </c>
      <c r="H286" s="41">
        <v>2876</v>
      </c>
      <c r="I286" s="41">
        <v>1837</v>
      </c>
      <c r="J286" s="136">
        <v>1077018.3599999999</v>
      </c>
      <c r="K286" s="136">
        <v>268390.56</v>
      </c>
      <c r="L286" s="136">
        <v>1670386.41</v>
      </c>
      <c r="M286" s="136">
        <v>1453562.37</v>
      </c>
      <c r="N286" s="136">
        <v>183632.6</v>
      </c>
      <c r="O286" s="136">
        <v>153352.76</v>
      </c>
      <c r="P286" s="178">
        <f>SUM(Ikärakenne[[#This Row],[Ikä 0–5]:[Ikä 18-64]])</f>
        <v>4806343.0599999996</v>
      </c>
    </row>
    <row r="287" spans="1:16">
      <c r="A287" s="127">
        <v>927</v>
      </c>
      <c r="B287" s="124" t="s">
        <v>293</v>
      </c>
      <c r="C287" s="38">
        <f>SUM(Ikärakenne[[#This Row],[0–5-vuotiaat]:[16 vuotta täyttäneet]])</f>
        <v>28811</v>
      </c>
      <c r="D287" s="41">
        <v>1523</v>
      </c>
      <c r="E287" s="41">
        <v>316</v>
      </c>
      <c r="F287" s="41">
        <v>2107</v>
      </c>
      <c r="G287" s="41">
        <v>1303</v>
      </c>
      <c r="H287" s="41">
        <v>23562</v>
      </c>
      <c r="I287" s="41">
        <v>16584</v>
      </c>
      <c r="J287" s="136">
        <v>12426507.289999999</v>
      </c>
      <c r="K287" s="136">
        <v>2735852.16</v>
      </c>
      <c r="L287" s="136">
        <v>15235948.77</v>
      </c>
      <c r="M287" s="136">
        <v>16187963.83</v>
      </c>
      <c r="N287" s="136">
        <v>1504433.7</v>
      </c>
      <c r="O287" s="136">
        <v>1384432.32</v>
      </c>
      <c r="P287" s="178">
        <f>SUM(Ikärakenne[[#This Row],[Ikä 0–5]:[Ikä 18-64]])</f>
        <v>49475138.07</v>
      </c>
    </row>
    <row r="288" spans="1:16">
      <c r="A288" s="127">
        <v>931</v>
      </c>
      <c r="B288" s="124" t="s">
        <v>294</v>
      </c>
      <c r="C288" s="38">
        <f>SUM(Ikärakenne[[#This Row],[0–5-vuotiaat]:[16 vuotta täyttäneet]])</f>
        <v>5877</v>
      </c>
      <c r="D288" s="41">
        <v>225</v>
      </c>
      <c r="E288" s="41">
        <v>43</v>
      </c>
      <c r="F288" s="41">
        <v>274</v>
      </c>
      <c r="G288" s="41">
        <v>161</v>
      </c>
      <c r="H288" s="41">
        <v>5174</v>
      </c>
      <c r="I288" s="41">
        <v>2777</v>
      </c>
      <c r="J288" s="136">
        <v>1835826.75</v>
      </c>
      <c r="K288" s="136">
        <v>372283.68</v>
      </c>
      <c r="L288" s="136">
        <v>1981324.14</v>
      </c>
      <c r="M288" s="136">
        <v>2000201.2100000002</v>
      </c>
      <c r="N288" s="136">
        <v>330359.90000000002</v>
      </c>
      <c r="O288" s="136">
        <v>231823.96000000002</v>
      </c>
      <c r="P288" s="178">
        <f>SUM(Ikärakenne[[#This Row],[Ikä 0–5]:[Ikä 18-64]])</f>
        <v>6751819.6400000006</v>
      </c>
    </row>
    <row r="289" spans="1:16">
      <c r="A289" s="127">
        <v>934</v>
      </c>
      <c r="B289" s="124" t="s">
        <v>295</v>
      </c>
      <c r="C289" s="38">
        <f>SUM(Ikärakenne[[#This Row],[0–5-vuotiaat]:[16 vuotta täyttäneet]])</f>
        <v>2656</v>
      </c>
      <c r="D289" s="41">
        <v>77</v>
      </c>
      <c r="E289" s="41">
        <v>17</v>
      </c>
      <c r="F289" s="41">
        <v>180</v>
      </c>
      <c r="G289" s="41">
        <v>95</v>
      </c>
      <c r="H289" s="41">
        <v>2287</v>
      </c>
      <c r="I289" s="41">
        <v>1350</v>
      </c>
      <c r="J289" s="136">
        <v>628260.71</v>
      </c>
      <c r="K289" s="136">
        <v>147181.92000000001</v>
      </c>
      <c r="L289" s="136">
        <v>1301599.8</v>
      </c>
      <c r="M289" s="136">
        <v>1180242.95</v>
      </c>
      <c r="N289" s="136">
        <v>146024.95000000001</v>
      </c>
      <c r="O289" s="136">
        <v>112698</v>
      </c>
      <c r="P289" s="178">
        <f>SUM(Ikärakenne[[#This Row],[Ikä 0–5]:[Ikä 18-64]])</f>
        <v>3516008.33</v>
      </c>
    </row>
    <row r="290" spans="1:16">
      <c r="A290" s="127">
        <v>935</v>
      </c>
      <c r="B290" s="124" t="s">
        <v>296</v>
      </c>
      <c r="C290" s="38">
        <f>SUM(Ikärakenne[[#This Row],[0–5-vuotiaat]:[16 vuotta täyttäneet]])</f>
        <v>2927</v>
      </c>
      <c r="D290" s="41">
        <v>82</v>
      </c>
      <c r="E290" s="41">
        <v>16</v>
      </c>
      <c r="F290" s="41">
        <v>152</v>
      </c>
      <c r="G290" s="41">
        <v>90</v>
      </c>
      <c r="H290" s="41">
        <v>2587</v>
      </c>
      <c r="I290" s="41">
        <v>1500</v>
      </c>
      <c r="J290" s="136">
        <v>669056.86</v>
      </c>
      <c r="K290" s="136">
        <v>138524.16</v>
      </c>
      <c r="L290" s="136">
        <v>1099128.72</v>
      </c>
      <c r="M290" s="136">
        <v>1118124.9000000001</v>
      </c>
      <c r="N290" s="136">
        <v>165179.95000000001</v>
      </c>
      <c r="O290" s="136">
        <v>125220</v>
      </c>
      <c r="P290" s="178">
        <f>SUM(Ikärakenne[[#This Row],[Ikä 0–5]:[Ikä 18-64]])</f>
        <v>3315234.5900000003</v>
      </c>
    </row>
    <row r="291" spans="1:16">
      <c r="A291" s="127">
        <v>936</v>
      </c>
      <c r="B291" s="124" t="s">
        <v>297</v>
      </c>
      <c r="C291" s="38">
        <f>SUM(Ikärakenne[[#This Row],[0–5-vuotiaat]:[16 vuotta täyttäneet]])</f>
        <v>6275</v>
      </c>
      <c r="D291" s="41">
        <v>234</v>
      </c>
      <c r="E291" s="41">
        <v>42</v>
      </c>
      <c r="F291" s="41">
        <v>321</v>
      </c>
      <c r="G291" s="41">
        <v>187</v>
      </c>
      <c r="H291" s="41">
        <v>5491</v>
      </c>
      <c r="I291" s="41">
        <v>2955</v>
      </c>
      <c r="J291" s="136">
        <v>1909259.8199999998</v>
      </c>
      <c r="K291" s="136">
        <v>363625.92</v>
      </c>
      <c r="L291" s="136">
        <v>2321186.31</v>
      </c>
      <c r="M291" s="136">
        <v>2323215.0700000003</v>
      </c>
      <c r="N291" s="136">
        <v>350600.35000000003</v>
      </c>
      <c r="O291" s="136">
        <v>246683.40000000002</v>
      </c>
      <c r="P291" s="178">
        <f>SUM(Ikärakenne[[#This Row],[Ikä 0–5]:[Ikä 18-64]])</f>
        <v>7514570.8700000001</v>
      </c>
    </row>
    <row r="292" spans="1:16">
      <c r="A292" s="127">
        <v>946</v>
      </c>
      <c r="B292" s="124" t="s">
        <v>298</v>
      </c>
      <c r="C292" s="38">
        <f>SUM(Ikärakenne[[#This Row],[0–5-vuotiaat]:[16 vuotta täyttäneet]])</f>
        <v>6291</v>
      </c>
      <c r="D292" s="41">
        <v>371</v>
      </c>
      <c r="E292" s="41">
        <v>73</v>
      </c>
      <c r="F292" s="41">
        <v>462</v>
      </c>
      <c r="G292" s="41">
        <v>264</v>
      </c>
      <c r="H292" s="41">
        <v>5121</v>
      </c>
      <c r="I292" s="41">
        <v>3195</v>
      </c>
      <c r="J292" s="136">
        <v>3027074.3299999996</v>
      </c>
      <c r="K292" s="136">
        <v>632016.48</v>
      </c>
      <c r="L292" s="136">
        <v>3340772.82</v>
      </c>
      <c r="M292" s="136">
        <v>3279833.04</v>
      </c>
      <c r="N292" s="136">
        <v>326975.85000000003</v>
      </c>
      <c r="O292" s="136">
        <v>266718.60000000003</v>
      </c>
      <c r="P292" s="178">
        <f>SUM(Ikärakenne[[#This Row],[Ikä 0–5]:[Ikä 18-64]])</f>
        <v>10873391.119999997</v>
      </c>
    </row>
    <row r="293" spans="1:16">
      <c r="A293" s="127">
        <v>976</v>
      </c>
      <c r="B293" s="124" t="s">
        <v>299</v>
      </c>
      <c r="C293" s="38">
        <f>SUM(Ikärakenne[[#This Row],[0–5-vuotiaat]:[16 vuotta täyttäneet]])</f>
        <v>3765</v>
      </c>
      <c r="D293" s="41">
        <v>124</v>
      </c>
      <c r="E293" s="41">
        <v>16</v>
      </c>
      <c r="F293" s="41">
        <v>166</v>
      </c>
      <c r="G293" s="41">
        <v>115</v>
      </c>
      <c r="H293" s="41">
        <v>3344</v>
      </c>
      <c r="I293" s="41">
        <v>1763</v>
      </c>
      <c r="J293" s="136">
        <v>1011744.5199999999</v>
      </c>
      <c r="K293" s="136">
        <v>138524.16</v>
      </c>
      <c r="L293" s="136">
        <v>1200364.26</v>
      </c>
      <c r="M293" s="136">
        <v>1428715.1500000001</v>
      </c>
      <c r="N293" s="136">
        <v>213514.4</v>
      </c>
      <c r="O293" s="136">
        <v>147175.24000000002</v>
      </c>
      <c r="P293" s="178">
        <f>SUM(Ikärakenne[[#This Row],[Ikä 0–5]:[Ikä 18-64]])</f>
        <v>4140037.73</v>
      </c>
    </row>
    <row r="294" spans="1:16">
      <c r="A294" s="127">
        <v>977</v>
      </c>
      <c r="B294" s="124" t="s">
        <v>300</v>
      </c>
      <c r="C294" s="38">
        <f>SUM(Ikärakenne[[#This Row],[0–5-vuotiaat]:[16 vuotta täyttäneet]])</f>
        <v>15369</v>
      </c>
      <c r="D294" s="41">
        <v>974</v>
      </c>
      <c r="E294" s="41">
        <v>205</v>
      </c>
      <c r="F294" s="41">
        <v>1416</v>
      </c>
      <c r="G294" s="41">
        <v>692</v>
      </c>
      <c r="H294" s="41">
        <v>12082</v>
      </c>
      <c r="I294" s="41">
        <v>8287</v>
      </c>
      <c r="J294" s="136">
        <v>7947090.0199999996</v>
      </c>
      <c r="K294" s="136">
        <v>1774840.8</v>
      </c>
      <c r="L294" s="136">
        <v>10239251.76</v>
      </c>
      <c r="M294" s="136">
        <v>8597138.120000001</v>
      </c>
      <c r="N294" s="136">
        <v>771435.70000000007</v>
      </c>
      <c r="O294" s="136">
        <v>691798.76</v>
      </c>
      <c r="P294" s="178">
        <f>SUM(Ikärakenne[[#This Row],[Ikä 0–5]:[Ikä 18-64]])</f>
        <v>30021555.16</v>
      </c>
    </row>
    <row r="295" spans="1:16">
      <c r="A295" s="127">
        <v>980</v>
      </c>
      <c r="B295" s="124" t="s">
        <v>301</v>
      </c>
      <c r="C295" s="38">
        <f>SUM(Ikärakenne[[#This Row],[0–5-vuotiaat]:[16 vuotta täyttäneet]])</f>
        <v>33677</v>
      </c>
      <c r="D295" s="41">
        <v>2244</v>
      </c>
      <c r="E295" s="41">
        <v>391</v>
      </c>
      <c r="F295" s="41">
        <v>2989</v>
      </c>
      <c r="G295" s="41">
        <v>1548</v>
      </c>
      <c r="H295" s="41">
        <v>26505</v>
      </c>
      <c r="I295" s="41">
        <v>18825</v>
      </c>
      <c r="J295" s="136">
        <v>18309312.119999997</v>
      </c>
      <c r="K295" s="136">
        <v>3385184.16</v>
      </c>
      <c r="L295" s="136">
        <v>21613787.789999999</v>
      </c>
      <c r="M295" s="136">
        <v>19231748.280000001</v>
      </c>
      <c r="N295" s="136">
        <v>1692344.25</v>
      </c>
      <c r="O295" s="136">
        <v>1571511</v>
      </c>
      <c r="P295" s="178">
        <f>SUM(Ikärakenne[[#This Row],[Ikä 0–5]:[Ikä 18-64]])</f>
        <v>65803887.599999994</v>
      </c>
    </row>
    <row r="296" spans="1:16">
      <c r="A296" s="127">
        <v>981</v>
      </c>
      <c r="B296" s="124" t="s">
        <v>302</v>
      </c>
      <c r="C296" s="38">
        <f>SUM(Ikärakenne[[#This Row],[0–5-vuotiaat]:[16 vuotta täyttäneet]])</f>
        <v>2207</v>
      </c>
      <c r="D296" s="41">
        <v>67</v>
      </c>
      <c r="E296" s="41">
        <v>14</v>
      </c>
      <c r="F296" s="41">
        <v>117</v>
      </c>
      <c r="G296" s="41">
        <v>71</v>
      </c>
      <c r="H296" s="41">
        <v>1938</v>
      </c>
      <c r="I296" s="41">
        <v>1214</v>
      </c>
      <c r="J296" s="136">
        <v>546668.40999999992</v>
      </c>
      <c r="K296" s="136">
        <v>121208.64</v>
      </c>
      <c r="L296" s="136">
        <v>846039.87</v>
      </c>
      <c r="M296" s="136">
        <v>882076.31</v>
      </c>
      <c r="N296" s="136">
        <v>123741.3</v>
      </c>
      <c r="O296" s="136">
        <v>101344.72</v>
      </c>
      <c r="P296" s="178">
        <f>SUM(Ikärakenne[[#This Row],[Ikä 0–5]:[Ikä 18-64]])</f>
        <v>2621079.25</v>
      </c>
    </row>
    <row r="297" spans="1:16">
      <c r="A297" s="127">
        <v>989</v>
      </c>
      <c r="B297" s="124" t="s">
        <v>303</v>
      </c>
      <c r="C297" s="38">
        <f>SUM(Ikärakenne[[#This Row],[0–5-vuotiaat]:[16 vuotta täyttäneet]])</f>
        <v>5316</v>
      </c>
      <c r="D297" s="41">
        <v>205</v>
      </c>
      <c r="E297" s="41">
        <v>49</v>
      </c>
      <c r="F297" s="41">
        <v>286</v>
      </c>
      <c r="G297" s="41">
        <v>198</v>
      </c>
      <c r="H297" s="41">
        <v>4578</v>
      </c>
      <c r="I297" s="41">
        <v>2564</v>
      </c>
      <c r="J297" s="136">
        <v>1672642.15</v>
      </c>
      <c r="K297" s="136">
        <v>424230.24</v>
      </c>
      <c r="L297" s="136">
        <v>2068097.46</v>
      </c>
      <c r="M297" s="136">
        <v>2459874.7800000003</v>
      </c>
      <c r="N297" s="136">
        <v>292305.3</v>
      </c>
      <c r="O297" s="136">
        <v>214042.72</v>
      </c>
      <c r="P297" s="178">
        <f>SUM(Ikärakenne[[#This Row],[Ikä 0–5]:[Ikä 18-64]])</f>
        <v>7131192.6499999994</v>
      </c>
    </row>
    <row r="298" spans="1:16">
      <c r="A298" s="127">
        <v>992</v>
      </c>
      <c r="B298" s="124" t="s">
        <v>304</v>
      </c>
      <c r="C298" s="38">
        <f>SUM(Ikärakenne[[#This Row],[0–5-vuotiaat]:[16 vuotta täyttäneet]])</f>
        <v>17971</v>
      </c>
      <c r="D298" s="41">
        <v>782</v>
      </c>
      <c r="E298" s="41">
        <v>156</v>
      </c>
      <c r="F298" s="41">
        <v>1179</v>
      </c>
      <c r="G298" s="41">
        <v>660</v>
      </c>
      <c r="H298" s="41">
        <v>15194</v>
      </c>
      <c r="I298" s="41">
        <v>9414</v>
      </c>
      <c r="J298" s="136">
        <v>6380517.8599999994</v>
      </c>
      <c r="K298" s="136">
        <v>1350610.56</v>
      </c>
      <c r="L298" s="136">
        <v>8525478.6899999995</v>
      </c>
      <c r="M298" s="136">
        <v>8199582.6000000006</v>
      </c>
      <c r="N298" s="136">
        <v>970136.9</v>
      </c>
      <c r="O298" s="136">
        <v>785880.72000000009</v>
      </c>
      <c r="P298" s="178">
        <f>SUM(Ikärakenne[[#This Row],[Ikä 0–5]:[Ikä 18-64]])</f>
        <v>26212207.329999998</v>
      </c>
    </row>
    <row r="303" spans="1:16">
      <c r="D303" s="41"/>
      <c r="E303" s="41"/>
      <c r="F303" s="41"/>
      <c r="G303" s="41"/>
      <c r="H303" s="41"/>
    </row>
    <row r="305" spans="4:8">
      <c r="D305" s="41"/>
      <c r="E305" s="41"/>
      <c r="F305" s="41"/>
      <c r="G305" s="41"/>
      <c r="H305" s="41"/>
    </row>
  </sheetData>
  <pageMargins left="0.31496062992125984" right="0.31496062992125984" top="0.55118110236220474" bottom="0.55118110236220474" header="0.31496062992125984" footer="0.31496062992125984"/>
  <pageSetup paperSize="9" scale="65"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04"/>
  <sheetViews>
    <sheetView zoomScale="90" zoomScaleNormal="90" workbookViewId="0">
      <pane xSplit="2" topLeftCell="C1" activePane="topRight" state="frozen"/>
      <selection pane="topRight"/>
    </sheetView>
  </sheetViews>
  <sheetFormatPr defaultRowHeight="15"/>
  <cols>
    <col min="1" max="1" width="20" style="90" customWidth="1"/>
    <col min="2" max="2" width="23.625" style="151" customWidth="1"/>
    <col min="3" max="3" width="17.5" style="138" customWidth="1"/>
    <col min="4" max="4" width="12.625" style="131" customWidth="1"/>
    <col min="5" max="5" width="10.375" style="131" customWidth="1"/>
    <col min="6" max="6" width="15.125" style="42" customWidth="1"/>
    <col min="7" max="7" width="18.875" style="153" customWidth="1"/>
    <col min="8" max="8" width="13" style="153" bestFit="1" customWidth="1"/>
    <col min="9" max="9" width="18.125" style="155" bestFit="1" customWidth="1"/>
    <col min="10" max="10" width="17.625" style="15" customWidth="1"/>
    <col min="11" max="11" width="16.125" style="42" customWidth="1"/>
    <col min="12" max="12" width="14.875" style="102" bestFit="1" customWidth="1"/>
    <col min="13" max="13" width="18.625" style="153" customWidth="1"/>
    <col min="14" max="14" width="16.125" style="153" customWidth="1"/>
    <col min="15" max="15" width="19.125" style="153" bestFit="1" customWidth="1"/>
    <col min="16" max="16" width="19.125" style="153" customWidth="1"/>
    <col min="17" max="17" width="17.625" style="42" customWidth="1"/>
    <col min="18" max="18" width="15.125" style="42" customWidth="1"/>
    <col min="19" max="19" width="16.625" style="158" customWidth="1"/>
    <col min="20" max="20" width="18.375" style="90" customWidth="1"/>
    <col min="21" max="21" width="17.875" style="166" customWidth="1"/>
    <col min="22" max="22" width="17.625" style="35" bestFit="1" customWidth="1"/>
    <col min="23" max="23" width="25.625" style="35" bestFit="1" customWidth="1"/>
    <col min="24" max="24" width="14.625" style="35" bestFit="1" customWidth="1"/>
    <col min="25" max="25" width="13.125" style="35" bestFit="1" customWidth="1"/>
    <col min="26" max="26" width="15.375" style="35" bestFit="1" customWidth="1"/>
    <col min="27" max="27" width="11.125" style="35" bestFit="1" customWidth="1"/>
    <col min="28" max="28" width="20.125" style="159" bestFit="1" customWidth="1"/>
    <col min="29" max="29" width="20.125" style="159" customWidth="1"/>
    <col min="30" max="30" width="17.125" style="35" bestFit="1" customWidth="1"/>
    <col min="31" max="31" width="18.625" style="35" bestFit="1" customWidth="1"/>
    <col min="32" max="32" width="16" style="26" bestFit="1" customWidth="1"/>
  </cols>
  <sheetData>
    <row r="1" spans="1:34" ht="23.25">
      <c r="A1" s="313" t="s">
        <v>755</v>
      </c>
      <c r="D1" s="152"/>
      <c r="E1" s="365"/>
      <c r="F1" s="154"/>
      <c r="H1" s="154"/>
      <c r="S1" s="15"/>
      <c r="AF1" s="164"/>
      <c r="AH1" s="103"/>
    </row>
    <row r="2" spans="1:34">
      <c r="A2" s="151" t="s">
        <v>356</v>
      </c>
      <c r="C2" s="156"/>
      <c r="D2" s="157"/>
      <c r="E2" s="157"/>
      <c r="AF2" s="164"/>
    </row>
    <row r="3" spans="1:34">
      <c r="A3" s="316" t="s">
        <v>1</v>
      </c>
      <c r="B3" s="317">
        <f>COUNT(C13:C304)</f>
        <v>292</v>
      </c>
      <c r="E3" s="160"/>
      <c r="H3" s="161"/>
      <c r="I3" s="160"/>
      <c r="J3" s="160"/>
      <c r="K3" s="160"/>
      <c r="O3" s="162"/>
      <c r="P3" s="162"/>
      <c r="Q3" s="162"/>
      <c r="R3" s="162"/>
      <c r="S3" s="128"/>
      <c r="T3" s="173"/>
      <c r="U3" s="334"/>
      <c r="V3" s="160"/>
      <c r="W3" s="160"/>
      <c r="X3" s="160"/>
      <c r="Y3" s="160"/>
      <c r="Z3" s="160"/>
      <c r="AA3" s="160"/>
      <c r="AB3" s="160"/>
      <c r="AC3" s="160"/>
      <c r="AD3" s="160"/>
      <c r="AE3" s="188"/>
      <c r="AF3" s="164"/>
    </row>
    <row r="4" spans="1:34">
      <c r="A4" s="151" t="s">
        <v>665</v>
      </c>
      <c r="B4" s="151" t="s">
        <v>676</v>
      </c>
      <c r="F4" s="131"/>
      <c r="H4" s="161"/>
      <c r="J4" s="26"/>
      <c r="U4" s="178" t="s">
        <v>764</v>
      </c>
      <c r="V4" s="189"/>
      <c r="W4" s="189"/>
      <c r="X4" s="189"/>
      <c r="Y4" s="189"/>
      <c r="Z4" s="189"/>
      <c r="AA4" s="189"/>
      <c r="AB4" s="189"/>
      <c r="AC4" s="189"/>
      <c r="AF4" s="164"/>
    </row>
    <row r="5" spans="1:34" ht="29.25">
      <c r="A5" s="90" t="s">
        <v>666</v>
      </c>
      <c r="B5" s="90" t="s">
        <v>672</v>
      </c>
      <c r="E5" s="42"/>
      <c r="G5" s="146"/>
      <c r="H5" s="146"/>
      <c r="I5" s="164"/>
      <c r="L5" s="160"/>
      <c r="M5" s="160"/>
      <c r="N5" s="160"/>
      <c r="O5" s="160"/>
      <c r="P5" s="160"/>
      <c r="Q5" s="160"/>
      <c r="R5" s="160"/>
      <c r="S5" s="160"/>
      <c r="T5" s="160"/>
      <c r="U5" s="348" t="s">
        <v>651</v>
      </c>
      <c r="V5" s="218" t="s">
        <v>678</v>
      </c>
      <c r="W5" s="218" t="s">
        <v>679</v>
      </c>
      <c r="X5" s="218" t="s">
        <v>652</v>
      </c>
      <c r="Y5" s="218" t="s">
        <v>653</v>
      </c>
      <c r="Z5" s="218" t="s">
        <v>361</v>
      </c>
      <c r="AA5" s="219" t="s">
        <v>654</v>
      </c>
      <c r="AB5" s="218" t="s">
        <v>655</v>
      </c>
      <c r="AC5" s="218" t="s">
        <v>763</v>
      </c>
      <c r="AE5" s="163"/>
      <c r="AF5" s="164"/>
    </row>
    <row r="6" spans="1:34">
      <c r="A6" s="90" t="s">
        <v>667</v>
      </c>
      <c r="B6" s="90" t="s">
        <v>673</v>
      </c>
      <c r="G6" s="146"/>
      <c r="H6" s="146"/>
      <c r="I6" s="164"/>
      <c r="L6" s="132"/>
      <c r="M6" s="146"/>
      <c r="N6" s="146"/>
      <c r="O6" s="146"/>
      <c r="P6" s="146"/>
      <c r="S6" s="165"/>
      <c r="T6" s="168"/>
      <c r="U6" s="322">
        <v>69.040000000000006</v>
      </c>
      <c r="V6" s="323">
        <v>293.04000000000002</v>
      </c>
      <c r="W6" s="323">
        <v>293.04000000000002</v>
      </c>
      <c r="X6" s="323">
        <v>1825.99</v>
      </c>
      <c r="Y6" s="323">
        <v>41.39</v>
      </c>
      <c r="Z6" s="323">
        <v>403.34</v>
      </c>
      <c r="AA6" s="323">
        <v>295.04000000000002</v>
      </c>
      <c r="AB6" s="323">
        <v>28.34</v>
      </c>
      <c r="AC6" s="323">
        <v>734.33</v>
      </c>
      <c r="AE6" s="167"/>
      <c r="AF6" s="345"/>
    </row>
    <row r="7" spans="1:34">
      <c r="A7" s="90" t="s">
        <v>668</v>
      </c>
      <c r="B7" s="171" t="s">
        <v>674</v>
      </c>
      <c r="E7" s="42"/>
      <c r="I7" s="164"/>
      <c r="L7" s="42"/>
      <c r="M7" s="146"/>
      <c r="T7" s="146"/>
      <c r="AF7" s="167"/>
    </row>
    <row r="8" spans="1:34" s="149" customFormat="1">
      <c r="A8" s="90" t="s">
        <v>669</v>
      </c>
      <c r="B8" s="172" t="s">
        <v>675</v>
      </c>
      <c r="C8" s="337"/>
      <c r="D8" s="337"/>
      <c r="E8" s="337"/>
      <c r="F8" s="337"/>
      <c r="G8" s="337"/>
      <c r="H8" s="337"/>
      <c r="I8" s="337"/>
      <c r="J8" s="337"/>
      <c r="K8" s="337"/>
      <c r="L8" s="337"/>
      <c r="M8" s="337"/>
      <c r="N8" s="337"/>
      <c r="O8" s="337"/>
      <c r="P8" s="337"/>
      <c r="Q8" s="337"/>
      <c r="R8" s="337"/>
      <c r="S8" s="337"/>
      <c r="T8" s="337"/>
      <c r="U8" s="334"/>
      <c r="V8" s="160"/>
      <c r="W8" s="160"/>
      <c r="X8" s="160"/>
      <c r="Y8" s="160"/>
      <c r="Z8" s="160"/>
      <c r="AA8" s="160"/>
      <c r="AB8" s="160"/>
      <c r="AC8" s="160"/>
      <c r="AD8" s="160"/>
      <c r="AE8" s="160"/>
      <c r="AF8" s="160"/>
      <c r="AG8" s="150"/>
    </row>
    <row r="9" spans="1:34" s="149" customFormat="1" ht="14.25">
      <c r="A9" s="191"/>
      <c r="B9" s="192"/>
      <c r="C9" s="181"/>
      <c r="D9" s="181"/>
      <c r="E9" s="181"/>
      <c r="F9" s="181"/>
      <c r="G9" s="181"/>
      <c r="H9" s="181"/>
      <c r="I9" s="181"/>
      <c r="J9" s="181"/>
      <c r="K9" s="181"/>
      <c r="L9" s="181"/>
      <c r="M9" s="181"/>
      <c r="N9" s="182"/>
      <c r="O9" s="181"/>
      <c r="P9" s="181"/>
      <c r="Q9" s="181"/>
      <c r="R9" s="181"/>
      <c r="S9" s="183"/>
      <c r="T9" s="181"/>
      <c r="U9" s="179"/>
      <c r="V9" s="180"/>
      <c r="W9" s="180"/>
      <c r="X9" s="180"/>
      <c r="Y9" s="180"/>
      <c r="Z9" s="180"/>
      <c r="AA9" s="180"/>
      <c r="AB9" s="180"/>
      <c r="AC9" s="180"/>
      <c r="AD9" s="180"/>
      <c r="AE9" s="349"/>
      <c r="AF9" s="350"/>
      <c r="AG9" s="150"/>
    </row>
    <row r="10" spans="1:34" s="31" customFormat="1">
      <c r="A10" s="185"/>
      <c r="B10" s="185"/>
      <c r="C10" s="184" t="s">
        <v>358</v>
      </c>
      <c r="D10" s="185"/>
      <c r="E10" s="185"/>
      <c r="F10" s="185"/>
      <c r="G10" s="185"/>
      <c r="H10" s="185"/>
      <c r="I10" s="185"/>
      <c r="J10" s="185"/>
      <c r="K10" s="185"/>
      <c r="L10" s="185"/>
      <c r="M10" s="185"/>
      <c r="N10" s="185"/>
      <c r="O10" s="185"/>
      <c r="P10" s="185"/>
      <c r="Q10" s="185"/>
      <c r="R10" s="185"/>
      <c r="S10" s="187"/>
      <c r="T10" s="185"/>
      <c r="U10" s="175" t="s">
        <v>677</v>
      </c>
      <c r="V10" s="176"/>
      <c r="W10" s="176"/>
      <c r="X10" s="176"/>
      <c r="Y10" s="176"/>
      <c r="Z10" s="176"/>
      <c r="AA10" s="176"/>
      <c r="AB10" s="176"/>
      <c r="AC10" s="176"/>
      <c r="AD10" s="176"/>
      <c r="AE10" s="104"/>
      <c r="AF10" s="351"/>
    </row>
    <row r="11" spans="1:34" s="212" customFormat="1" ht="62.25" customHeight="1">
      <c r="A11" s="214" t="s">
        <v>2</v>
      </c>
      <c r="B11" s="212" t="s">
        <v>3</v>
      </c>
      <c r="C11" s="392" t="s">
        <v>750</v>
      </c>
      <c r="D11" s="373" t="s">
        <v>756</v>
      </c>
      <c r="E11" s="374" t="s">
        <v>757</v>
      </c>
      <c r="F11" s="374" t="s">
        <v>758</v>
      </c>
      <c r="G11" s="375" t="s">
        <v>663</v>
      </c>
      <c r="H11" s="373" t="s">
        <v>664</v>
      </c>
      <c r="I11" s="380" t="s">
        <v>759</v>
      </c>
      <c r="J11" s="392" t="s">
        <v>760</v>
      </c>
      <c r="K11" s="373" t="s">
        <v>766</v>
      </c>
      <c r="L11" s="393" t="s">
        <v>767</v>
      </c>
      <c r="M11" s="375" t="s">
        <v>670</v>
      </c>
      <c r="N11" s="373" t="s">
        <v>671</v>
      </c>
      <c r="O11" s="375" t="s">
        <v>863</v>
      </c>
      <c r="P11" s="373" t="s">
        <v>761</v>
      </c>
      <c r="Q11" s="374" t="s">
        <v>762</v>
      </c>
      <c r="R11" s="399" t="s">
        <v>720</v>
      </c>
      <c r="S11" s="375" t="s">
        <v>734</v>
      </c>
      <c r="T11" s="374" t="s">
        <v>768</v>
      </c>
      <c r="U11" s="226" t="s">
        <v>651</v>
      </c>
      <c r="V11" s="216" t="s">
        <v>678</v>
      </c>
      <c r="W11" s="216" t="s">
        <v>679</v>
      </c>
      <c r="X11" s="216" t="s">
        <v>652</v>
      </c>
      <c r="Y11" s="216" t="s">
        <v>653</v>
      </c>
      <c r="Z11" s="216" t="s">
        <v>361</v>
      </c>
      <c r="AA11" s="216" t="s">
        <v>654</v>
      </c>
      <c r="AB11" s="216" t="s">
        <v>655</v>
      </c>
      <c r="AC11" s="216" t="s">
        <v>765</v>
      </c>
      <c r="AD11" s="217" t="s">
        <v>680</v>
      </c>
      <c r="AE11" s="306"/>
      <c r="AF11" s="205"/>
    </row>
    <row r="12" spans="1:34" s="45" customFormat="1">
      <c r="B12" s="151" t="s">
        <v>360</v>
      </c>
      <c r="C12" s="249">
        <f>SUM(C13:C304)</f>
        <v>5573310</v>
      </c>
      <c r="D12" s="134">
        <f>SUM(D13:D304)</f>
        <v>258748.00000000015</v>
      </c>
      <c r="E12" s="41">
        <f>SUM(E13:E304)</f>
        <v>2633250</v>
      </c>
      <c r="F12" s="332">
        <f>D12/E12</f>
        <v>9.8261843729231996E-2</v>
      </c>
      <c r="G12" s="376">
        <f>F12/$F$12</f>
        <v>1</v>
      </c>
      <c r="H12" s="381"/>
      <c r="I12" s="382">
        <f>SUM(I13:I304)</f>
        <v>259933</v>
      </c>
      <c r="J12" s="388">
        <f>SUM(J13:J304)</f>
        <v>555250</v>
      </c>
      <c r="K12" s="269">
        <f>SUM(K13:K304)</f>
        <v>302429.84000000032</v>
      </c>
      <c r="L12" s="126">
        <f>C12/K12</f>
        <v>18.42843946880372</v>
      </c>
      <c r="M12" s="377">
        <f>$L$12/L12</f>
        <v>1</v>
      </c>
      <c r="N12" s="381"/>
      <c r="O12" s="382">
        <f>SUM(O13:O304)</f>
        <v>32422</v>
      </c>
      <c r="P12" s="400">
        <f>SUM(P13:P304)</f>
        <v>1767800</v>
      </c>
      <c r="Q12" s="34">
        <f>SUM(Q13:Q304)</f>
        <v>247077</v>
      </c>
      <c r="R12" s="165">
        <v>0.1397652449372101</v>
      </c>
      <c r="S12" s="401">
        <v>1</v>
      </c>
      <c r="T12" s="34">
        <f t="shared" ref="T12:AD12" si="0">SUM(T13:T304)</f>
        <v>370040</v>
      </c>
      <c r="U12" s="169">
        <f t="shared" si="0"/>
        <v>384949937.79504269</v>
      </c>
      <c r="V12" s="169">
        <f t="shared" si="0"/>
        <v>39356124.746400006</v>
      </c>
      <c r="W12" s="169">
        <f t="shared" si="0"/>
        <v>66343749.040800005</v>
      </c>
      <c r="X12" s="169">
        <f t="shared" si="0"/>
        <v>1013880947.4999999</v>
      </c>
      <c r="Y12" s="169">
        <f t="shared" si="0"/>
        <v>208432972.45248348</v>
      </c>
      <c r="Z12" s="169">
        <f t="shared" si="0"/>
        <v>14724330.039999999</v>
      </c>
      <c r="AA12" s="169">
        <f t="shared" si="0"/>
        <v>9565786.8800000045</v>
      </c>
      <c r="AB12" s="169">
        <f t="shared" si="0"/>
        <v>156267496.04075351</v>
      </c>
      <c r="AC12" s="169">
        <f t="shared" si="0"/>
        <v>271731473.19999999</v>
      </c>
      <c r="AD12" s="174">
        <f t="shared" si="0"/>
        <v>2165252817.6954794</v>
      </c>
      <c r="AE12" s="105"/>
      <c r="AF12" s="62"/>
    </row>
    <row r="13" spans="1:34" s="45" customFormat="1">
      <c r="A13" s="90">
        <v>5</v>
      </c>
      <c r="B13" s="151" t="s">
        <v>12</v>
      </c>
      <c r="C13" s="395">
        <v>9113</v>
      </c>
      <c r="D13" s="134">
        <v>236.33333333333334</v>
      </c>
      <c r="E13" s="41">
        <v>3701</v>
      </c>
      <c r="F13" s="332">
        <f t="shared" ref="F13:F76" si="1">D13/E13</f>
        <v>6.3856615329190305E-2</v>
      </c>
      <c r="G13" s="377">
        <f>Muut[[#This Row],[Keskim. työttömyysaste 2023, %]]/$F$12</f>
        <v>0.64986176633477466</v>
      </c>
      <c r="H13" s="166">
        <v>0</v>
      </c>
      <c r="I13" s="383">
        <v>14</v>
      </c>
      <c r="J13" s="389">
        <v>410</v>
      </c>
      <c r="K13" s="269">
        <v>1008.85</v>
      </c>
      <c r="L13" s="170">
        <f>C13/K13</f>
        <v>9.0330574416414731</v>
      </c>
      <c r="M13" s="377">
        <v>2.0401109577639231</v>
      </c>
      <c r="N13" s="166">
        <v>0</v>
      </c>
      <c r="O13" s="397">
        <v>0</v>
      </c>
      <c r="P13" s="269">
        <v>2254</v>
      </c>
      <c r="Q13" s="15">
        <v>274</v>
      </c>
      <c r="R13" s="158">
        <v>0.12156166814551908</v>
      </c>
      <c r="S13" s="401">
        <v>0.86975605559258296</v>
      </c>
      <c r="T13" s="153">
        <v>411</v>
      </c>
      <c r="U13" s="197">
        <v>408868.01669707173</v>
      </c>
      <c r="V13" s="159">
        <v>0</v>
      </c>
      <c r="W13" s="159">
        <v>0</v>
      </c>
      <c r="X13" s="159">
        <v>748655.9</v>
      </c>
      <c r="Y13" s="159">
        <v>769503.47463386797</v>
      </c>
      <c r="Z13" s="159">
        <v>0</v>
      </c>
      <c r="AA13" s="155">
        <v>0</v>
      </c>
      <c r="AB13" s="159">
        <v>224625.30372699501</v>
      </c>
      <c r="AC13" s="159">
        <v>301809.63</v>
      </c>
      <c r="AD13" s="174">
        <f>SUM(Muut[[#This Row],[Työttömyysaste]:[Työttömät ja palveluissa olevat ]])</f>
        <v>2453462.3250579345</v>
      </c>
      <c r="AF13" s="62"/>
    </row>
    <row r="14" spans="1:34" s="45" customFormat="1">
      <c r="A14" s="90">
        <v>9</v>
      </c>
      <c r="B14" s="151" t="s">
        <v>13</v>
      </c>
      <c r="C14" s="395">
        <v>2437</v>
      </c>
      <c r="D14" s="134">
        <v>91.5</v>
      </c>
      <c r="E14" s="41">
        <v>1064</v>
      </c>
      <c r="F14" s="332">
        <f t="shared" si="1"/>
        <v>8.5996240601503765E-2</v>
      </c>
      <c r="G14" s="377">
        <f>Muut[[#This Row],[Keskim. työttömyysaste 2023, %]]/$F$12</f>
        <v>0.87517430304353905</v>
      </c>
      <c r="H14" s="166">
        <v>0</v>
      </c>
      <c r="I14" s="383">
        <v>4</v>
      </c>
      <c r="J14" s="389">
        <v>47</v>
      </c>
      <c r="K14" s="269">
        <v>251.54</v>
      </c>
      <c r="L14" s="170">
        <f t="shared" ref="L14:L77" si="2">C14/K14</f>
        <v>9.6883199491134615</v>
      </c>
      <c r="M14" s="377">
        <v>1.9021295297426704</v>
      </c>
      <c r="N14" s="166">
        <v>0</v>
      </c>
      <c r="O14" s="397">
        <v>0</v>
      </c>
      <c r="P14" s="269">
        <v>644</v>
      </c>
      <c r="Q14" s="15">
        <v>82</v>
      </c>
      <c r="R14" s="158">
        <v>0.12732919254658384</v>
      </c>
      <c r="S14" s="401">
        <v>0.91102185385062517</v>
      </c>
      <c r="T14" s="153">
        <v>123</v>
      </c>
      <c r="U14" s="197">
        <v>147248.49657074094</v>
      </c>
      <c r="V14" s="159">
        <v>0</v>
      </c>
      <c r="W14" s="159">
        <v>0</v>
      </c>
      <c r="X14" s="159">
        <v>85821.53</v>
      </c>
      <c r="Y14" s="159">
        <v>191862.91719225171</v>
      </c>
      <c r="Z14" s="159">
        <v>0</v>
      </c>
      <c r="AA14" s="155">
        <v>0</v>
      </c>
      <c r="AB14" s="159">
        <v>62919.341707014806</v>
      </c>
      <c r="AC14" s="159">
        <v>90322.590000000011</v>
      </c>
      <c r="AD14" s="174">
        <f>SUM(Muut[[#This Row],[Työttömyysaste]:[Työttömät ja palveluissa olevat ]])</f>
        <v>578174.87547000742</v>
      </c>
      <c r="AF14" s="62"/>
    </row>
    <row r="15" spans="1:34" s="45" customFormat="1">
      <c r="A15" s="90">
        <v>10</v>
      </c>
      <c r="B15" s="151" t="s">
        <v>14</v>
      </c>
      <c r="C15" s="395">
        <v>10933</v>
      </c>
      <c r="D15" s="134">
        <v>317.58333333333331</v>
      </c>
      <c r="E15" s="41">
        <v>4530</v>
      </c>
      <c r="F15" s="332">
        <f t="shared" si="1"/>
        <v>7.0106696100073584E-2</v>
      </c>
      <c r="G15" s="377">
        <f>Muut[[#This Row],[Keskim. työttömyysaste 2023, %]]/$F$12</f>
        <v>0.71346815243216821</v>
      </c>
      <c r="H15" s="166">
        <v>0</v>
      </c>
      <c r="I15" s="383">
        <v>6</v>
      </c>
      <c r="J15" s="389">
        <v>278</v>
      </c>
      <c r="K15" s="269">
        <v>1087.18</v>
      </c>
      <c r="L15" s="170">
        <f t="shared" si="2"/>
        <v>10.056292426277157</v>
      </c>
      <c r="M15" s="377">
        <v>1.8325282010147288</v>
      </c>
      <c r="N15" s="166">
        <v>0</v>
      </c>
      <c r="O15" s="397">
        <v>0</v>
      </c>
      <c r="P15" s="269">
        <v>2879</v>
      </c>
      <c r="Q15" s="15">
        <v>390</v>
      </c>
      <c r="R15" s="158">
        <v>0.13546370267453978</v>
      </c>
      <c r="S15" s="401">
        <v>0.96922309072900925</v>
      </c>
      <c r="T15" s="153">
        <v>514</v>
      </c>
      <c r="U15" s="197">
        <v>538535.97831974353</v>
      </c>
      <c r="V15" s="159">
        <v>0</v>
      </c>
      <c r="W15" s="159">
        <v>0</v>
      </c>
      <c r="X15" s="159">
        <v>507625.22000000003</v>
      </c>
      <c r="Y15" s="159">
        <v>829249.92570991581</v>
      </c>
      <c r="Z15" s="159">
        <v>0</v>
      </c>
      <c r="AA15" s="155">
        <v>0</v>
      </c>
      <c r="AB15" s="159">
        <v>300305.26488364692</v>
      </c>
      <c r="AC15" s="159">
        <v>377445.62</v>
      </c>
      <c r="AD15" s="174">
        <f>SUM(Muut[[#This Row],[Työttömyysaste]:[Työttömät ja palveluissa olevat ]])</f>
        <v>2553162.0089133065</v>
      </c>
      <c r="AF15" s="62"/>
    </row>
    <row r="16" spans="1:34" s="45" customFormat="1">
      <c r="A16" s="90">
        <v>16</v>
      </c>
      <c r="B16" s="151" t="s">
        <v>15</v>
      </c>
      <c r="C16" s="395">
        <v>7968</v>
      </c>
      <c r="D16" s="134">
        <v>285.91666666666669</v>
      </c>
      <c r="E16" s="41">
        <v>3256</v>
      </c>
      <c r="F16" s="332">
        <f t="shared" si="1"/>
        <v>8.7812244062244069E-2</v>
      </c>
      <c r="G16" s="377">
        <f>Muut[[#This Row],[Keskim. työttömyysaste 2023, %]]/$F$12</f>
        <v>0.89365557096829373</v>
      </c>
      <c r="H16" s="166">
        <v>0</v>
      </c>
      <c r="I16" s="383">
        <v>12</v>
      </c>
      <c r="J16" s="389">
        <v>257</v>
      </c>
      <c r="K16" s="269">
        <v>563.41</v>
      </c>
      <c r="L16" s="170">
        <f t="shared" si="2"/>
        <v>14.142453985552264</v>
      </c>
      <c r="M16" s="377">
        <v>1.3030581176102789</v>
      </c>
      <c r="N16" s="166">
        <v>3</v>
      </c>
      <c r="O16" s="397">
        <v>477</v>
      </c>
      <c r="P16" s="269">
        <v>2103</v>
      </c>
      <c r="Q16" s="15">
        <v>316</v>
      </c>
      <c r="R16" s="158">
        <v>0.15026153114598192</v>
      </c>
      <c r="S16" s="401">
        <v>1.0750994012387509</v>
      </c>
      <c r="T16" s="153">
        <v>414</v>
      </c>
      <c r="U16" s="197">
        <v>491609.50957737933</v>
      </c>
      <c r="V16" s="159">
        <v>0</v>
      </c>
      <c r="W16" s="159">
        <v>0</v>
      </c>
      <c r="X16" s="159">
        <v>469279.43</v>
      </c>
      <c r="Y16" s="159">
        <v>429742.72948750306</v>
      </c>
      <c r="Z16" s="159">
        <v>0</v>
      </c>
      <c r="AA16" s="155">
        <v>140734.08000000002</v>
      </c>
      <c r="AB16" s="159">
        <v>242771.55010385424</v>
      </c>
      <c r="AC16" s="159">
        <v>304012.62</v>
      </c>
      <c r="AD16" s="174">
        <f>SUM(Muut[[#This Row],[Työttömyysaste]:[Työttömät ja palveluissa olevat ]])</f>
        <v>2078149.9191687363</v>
      </c>
      <c r="AF16" s="62"/>
    </row>
    <row r="17" spans="1:32" s="45" customFormat="1">
      <c r="A17" s="90">
        <v>18</v>
      </c>
      <c r="B17" s="151" t="s">
        <v>16</v>
      </c>
      <c r="C17" s="395">
        <v>4700</v>
      </c>
      <c r="D17" s="134">
        <v>145.08333333333334</v>
      </c>
      <c r="E17" s="41">
        <v>2394</v>
      </c>
      <c r="F17" s="332">
        <f t="shared" si="1"/>
        <v>6.0602896129211922E-2</v>
      </c>
      <c r="G17" s="377">
        <f>Muut[[#This Row],[Keskim. työttömyysaste 2023, %]]/$F$12</f>
        <v>0.61674902311224511</v>
      </c>
      <c r="H17" s="166">
        <v>0</v>
      </c>
      <c r="I17" s="383">
        <v>180</v>
      </c>
      <c r="J17" s="389">
        <v>184</v>
      </c>
      <c r="K17" s="269">
        <v>212.44</v>
      </c>
      <c r="L17" s="170">
        <f t="shared" si="2"/>
        <v>22.123893805309734</v>
      </c>
      <c r="M17" s="377">
        <v>0.83296546398992821</v>
      </c>
      <c r="N17" s="166">
        <v>0</v>
      </c>
      <c r="O17" s="397">
        <v>0</v>
      </c>
      <c r="P17" s="269">
        <v>1511</v>
      </c>
      <c r="Q17" s="15">
        <v>219</v>
      </c>
      <c r="R17" s="158">
        <v>0.14493712772998016</v>
      </c>
      <c r="S17" s="401">
        <v>1.0370040691811011</v>
      </c>
      <c r="T17" s="153">
        <v>209</v>
      </c>
      <c r="U17" s="197">
        <v>200127.65701164625</v>
      </c>
      <c r="V17" s="159">
        <v>0</v>
      </c>
      <c r="W17" s="159">
        <v>0</v>
      </c>
      <c r="X17" s="159">
        <v>335982.16</v>
      </c>
      <c r="Y17" s="159">
        <v>162039.27060635271</v>
      </c>
      <c r="Z17" s="159">
        <v>0</v>
      </c>
      <c r="AA17" s="155">
        <v>0</v>
      </c>
      <c r="AB17" s="159">
        <v>138126.86800678432</v>
      </c>
      <c r="AC17" s="159">
        <v>153474.97</v>
      </c>
      <c r="AD17" s="174">
        <f>SUM(Muut[[#This Row],[Työttömyysaste]:[Työttömät ja palveluissa olevat ]])</f>
        <v>989750.92562478327</v>
      </c>
      <c r="AF17" s="62"/>
    </row>
    <row r="18" spans="1:32" s="45" customFormat="1">
      <c r="A18" s="90">
        <v>19</v>
      </c>
      <c r="B18" s="151" t="s">
        <v>17</v>
      </c>
      <c r="C18" s="395">
        <v>3961</v>
      </c>
      <c r="D18" s="134">
        <v>115.75</v>
      </c>
      <c r="E18" s="41">
        <v>1913</v>
      </c>
      <c r="F18" s="332">
        <f t="shared" si="1"/>
        <v>6.0507056978567696E-2</v>
      </c>
      <c r="G18" s="377">
        <f>Muut[[#This Row],[Keskim. työttömyysaste 2023, %]]/$F$12</f>
        <v>0.61577367859389553</v>
      </c>
      <c r="H18" s="166">
        <v>0</v>
      </c>
      <c r="I18" s="383">
        <v>23</v>
      </c>
      <c r="J18" s="389">
        <v>115</v>
      </c>
      <c r="K18" s="269">
        <v>95.01</v>
      </c>
      <c r="L18" s="170">
        <f t="shared" si="2"/>
        <v>41.690348384380592</v>
      </c>
      <c r="M18" s="377">
        <v>0.44203131379223465</v>
      </c>
      <c r="N18" s="166">
        <v>0</v>
      </c>
      <c r="O18" s="397">
        <v>0</v>
      </c>
      <c r="P18" s="269">
        <v>1309</v>
      </c>
      <c r="Q18" s="15">
        <v>181</v>
      </c>
      <c r="R18" s="158">
        <v>0.1382734912146677</v>
      </c>
      <c r="S18" s="401">
        <v>0.98932671907660186</v>
      </c>
      <c r="T18" s="153">
        <v>156</v>
      </c>
      <c r="U18" s="197">
        <v>168394.05150445545</v>
      </c>
      <c r="V18" s="159">
        <v>0</v>
      </c>
      <c r="W18" s="159">
        <v>0</v>
      </c>
      <c r="X18" s="159">
        <v>209988.85</v>
      </c>
      <c r="Y18" s="159">
        <v>72469.172944405815</v>
      </c>
      <c r="Z18" s="159">
        <v>0</v>
      </c>
      <c r="AA18" s="155">
        <v>0</v>
      </c>
      <c r="AB18" s="159">
        <v>111056.61362499699</v>
      </c>
      <c r="AC18" s="159">
        <v>114555.48000000001</v>
      </c>
      <c r="AD18" s="174">
        <f>SUM(Muut[[#This Row],[Työttömyysaste]:[Työttömät ja palveluissa olevat ]])</f>
        <v>676464.16807385825</v>
      </c>
      <c r="AF18" s="62"/>
    </row>
    <row r="19" spans="1:32" s="45" customFormat="1">
      <c r="A19" s="90">
        <v>20</v>
      </c>
      <c r="B19" s="151" t="s">
        <v>18</v>
      </c>
      <c r="C19" s="395">
        <v>16405</v>
      </c>
      <c r="D19" s="134">
        <v>665.25</v>
      </c>
      <c r="E19" s="41">
        <v>7598</v>
      </c>
      <c r="F19" s="332">
        <f t="shared" si="1"/>
        <v>8.755593577257173E-2</v>
      </c>
      <c r="G19" s="377">
        <f>Muut[[#This Row],[Keskim. työttömyysaste 2023, %]]/$F$12</f>
        <v>0.89104714963255516</v>
      </c>
      <c r="H19" s="166">
        <v>0</v>
      </c>
      <c r="I19" s="383">
        <v>28</v>
      </c>
      <c r="J19" s="389">
        <v>492</v>
      </c>
      <c r="K19" s="269">
        <v>293.27</v>
      </c>
      <c r="L19" s="170">
        <f t="shared" si="2"/>
        <v>55.938213932553623</v>
      </c>
      <c r="M19" s="377">
        <v>0.32944275787967492</v>
      </c>
      <c r="N19" s="166">
        <v>0</v>
      </c>
      <c r="O19" s="397">
        <v>0</v>
      </c>
      <c r="P19" s="269">
        <v>5244</v>
      </c>
      <c r="Q19" s="15">
        <v>632</v>
      </c>
      <c r="R19" s="158">
        <v>0.12051868802440885</v>
      </c>
      <c r="S19" s="401">
        <v>0.86229368451757937</v>
      </c>
      <c r="T19" s="153">
        <v>1024</v>
      </c>
      <c r="U19" s="197">
        <v>1009201.0709304118</v>
      </c>
      <c r="V19" s="159">
        <v>0</v>
      </c>
      <c r="W19" s="159">
        <v>0</v>
      </c>
      <c r="X19" s="159">
        <v>898387.08</v>
      </c>
      <c r="Y19" s="159">
        <v>223692.60445643502</v>
      </c>
      <c r="Z19" s="159">
        <v>0</v>
      </c>
      <c r="AA19" s="155">
        <v>0</v>
      </c>
      <c r="AB19" s="159">
        <v>400895.59653043858</v>
      </c>
      <c r="AC19" s="159">
        <v>751953.92000000004</v>
      </c>
      <c r="AD19" s="174">
        <f>SUM(Muut[[#This Row],[Työttömyysaste]:[Työttömät ja palveluissa olevat ]])</f>
        <v>3284130.2719172849</v>
      </c>
      <c r="AF19" s="62"/>
    </row>
    <row r="20" spans="1:32" s="45" customFormat="1">
      <c r="A20" s="90">
        <v>46</v>
      </c>
      <c r="B20" s="151" t="s">
        <v>19</v>
      </c>
      <c r="C20" s="395">
        <v>1320</v>
      </c>
      <c r="D20" s="134">
        <v>45.916666666666664</v>
      </c>
      <c r="E20" s="41">
        <v>520</v>
      </c>
      <c r="F20" s="332">
        <f t="shared" si="1"/>
        <v>8.8301282051282043E-2</v>
      </c>
      <c r="G20" s="377">
        <f>Muut[[#This Row],[Keskim. työttömyysaste 2023, %]]/$F$12</f>
        <v>0.89863245691382465</v>
      </c>
      <c r="H20" s="166">
        <v>0</v>
      </c>
      <c r="I20" s="383">
        <v>2</v>
      </c>
      <c r="J20" s="389">
        <v>49</v>
      </c>
      <c r="K20" s="269">
        <v>305.58999999999997</v>
      </c>
      <c r="L20" s="170">
        <f t="shared" si="2"/>
        <v>4.3195130730717635</v>
      </c>
      <c r="M20" s="377">
        <v>4.2663233464179759</v>
      </c>
      <c r="N20" s="166">
        <v>1</v>
      </c>
      <c r="O20" s="397">
        <v>0</v>
      </c>
      <c r="P20" s="269">
        <v>310</v>
      </c>
      <c r="Q20" s="15">
        <v>46</v>
      </c>
      <c r="R20" s="158">
        <v>0.14838709677419354</v>
      </c>
      <c r="S20" s="401">
        <v>1.0616880959272588</v>
      </c>
      <c r="T20" s="153">
        <v>66</v>
      </c>
      <c r="U20" s="197">
        <v>81894.891969436212</v>
      </c>
      <c r="V20" s="159">
        <v>0</v>
      </c>
      <c r="W20" s="159">
        <v>0</v>
      </c>
      <c r="X20" s="159">
        <v>89473.51</v>
      </c>
      <c r="Y20" s="159">
        <v>233089.72276687683</v>
      </c>
      <c r="Z20" s="159">
        <v>532408.79999999993</v>
      </c>
      <c r="AA20" s="155">
        <v>0</v>
      </c>
      <c r="AB20" s="159">
        <v>39716.477642923637</v>
      </c>
      <c r="AC20" s="159">
        <v>48465.780000000006</v>
      </c>
      <c r="AD20" s="174">
        <f>SUM(Muut[[#This Row],[Työttömyysaste]:[Työttömät ja palveluissa olevat ]])</f>
        <v>1025049.1823792366</v>
      </c>
      <c r="AF20" s="62"/>
    </row>
    <row r="21" spans="1:32" s="45" customFormat="1">
      <c r="A21" s="90">
        <v>47</v>
      </c>
      <c r="B21" s="151" t="s">
        <v>20</v>
      </c>
      <c r="C21" s="395">
        <v>1771</v>
      </c>
      <c r="D21" s="134">
        <v>105.08333333333333</v>
      </c>
      <c r="E21" s="41">
        <v>869</v>
      </c>
      <c r="F21" s="332">
        <f t="shared" si="1"/>
        <v>0.12092443421557345</v>
      </c>
      <c r="G21" s="377">
        <f>Muut[[#This Row],[Keskim. työttömyysaste 2023, %]]/$F$12</f>
        <v>1.2306346962997148</v>
      </c>
      <c r="H21" s="166">
        <v>0</v>
      </c>
      <c r="I21" s="383">
        <v>14</v>
      </c>
      <c r="J21" s="389">
        <v>59</v>
      </c>
      <c r="K21" s="269">
        <v>7953.44</v>
      </c>
      <c r="L21" s="170">
        <f t="shared" si="2"/>
        <v>0.22267094489931402</v>
      </c>
      <c r="M21" s="377">
        <v>82.760862568471069</v>
      </c>
      <c r="N21" s="166">
        <v>0</v>
      </c>
      <c r="O21" s="397">
        <v>0</v>
      </c>
      <c r="P21" s="269">
        <v>524</v>
      </c>
      <c r="Q21" s="15">
        <v>74</v>
      </c>
      <c r="R21" s="158">
        <v>0.14122137404580154</v>
      </c>
      <c r="S21" s="401">
        <v>1.0104183919918404</v>
      </c>
      <c r="T21" s="153">
        <v>133</v>
      </c>
      <c r="U21" s="197">
        <v>150469.50741501476</v>
      </c>
      <c r="V21" s="159">
        <v>0</v>
      </c>
      <c r="W21" s="159">
        <v>0</v>
      </c>
      <c r="X21" s="159">
        <v>107733.41</v>
      </c>
      <c r="Y21" s="159">
        <v>1466033.8</v>
      </c>
      <c r="Z21" s="159">
        <v>0</v>
      </c>
      <c r="AA21" s="155">
        <v>0</v>
      </c>
      <c r="AB21" s="159">
        <v>50713.040552645347</v>
      </c>
      <c r="AC21" s="159">
        <v>97665.89</v>
      </c>
      <c r="AD21" s="174">
        <f>SUM(Muut[[#This Row],[Työttömyysaste]:[Työttömät ja palveluissa olevat ]])</f>
        <v>1872615.6479676601</v>
      </c>
      <c r="AF21" s="62"/>
    </row>
    <row r="22" spans="1:32" s="45" customFormat="1">
      <c r="A22" s="90">
        <v>49</v>
      </c>
      <c r="B22" s="151" t="s">
        <v>21</v>
      </c>
      <c r="C22" s="395">
        <v>314024</v>
      </c>
      <c r="D22" s="134">
        <v>13541.166666666666</v>
      </c>
      <c r="E22" s="41">
        <v>153753</v>
      </c>
      <c r="F22" s="332">
        <f t="shared" si="1"/>
        <v>8.8070910269501507E-2</v>
      </c>
      <c r="G22" s="377">
        <f>Muut[[#This Row],[Keskim. työttömyysaste 2023, %]]/$F$12</f>
        <v>0.89628798857252889</v>
      </c>
      <c r="H22" s="166">
        <v>1</v>
      </c>
      <c r="I22" s="383">
        <v>20199</v>
      </c>
      <c r="J22" s="389">
        <v>74204</v>
      </c>
      <c r="K22" s="269">
        <v>312.38</v>
      </c>
      <c r="L22" s="170">
        <f t="shared" si="2"/>
        <v>1005.2628209232346</v>
      </c>
      <c r="M22" s="377">
        <v>1.8331961637533773E-2</v>
      </c>
      <c r="N22" s="166">
        <v>3</v>
      </c>
      <c r="O22" s="397">
        <v>639</v>
      </c>
      <c r="P22" s="269">
        <v>116547</v>
      </c>
      <c r="Q22" s="15">
        <v>20729</v>
      </c>
      <c r="R22" s="158">
        <v>0.1778595759650613</v>
      </c>
      <c r="S22" s="401">
        <v>1.2725593980460963</v>
      </c>
      <c r="T22" s="153">
        <v>19667</v>
      </c>
      <c r="U22" s="197">
        <v>19431718.050894432</v>
      </c>
      <c r="V22" s="159">
        <v>6441511.5072000008</v>
      </c>
      <c r="W22" s="159">
        <v>5504776.912800001</v>
      </c>
      <c r="X22" s="159">
        <v>135495761.96000001</v>
      </c>
      <c r="Y22" s="159">
        <v>238268.81638115447</v>
      </c>
      <c r="Z22" s="159">
        <v>0</v>
      </c>
      <c r="AA22" s="155">
        <v>188530.56000000003</v>
      </c>
      <c r="AB22" s="159">
        <v>11325066.212956855</v>
      </c>
      <c r="AC22" s="159">
        <v>14442068.110000001</v>
      </c>
      <c r="AD22" s="174">
        <f>SUM(Muut[[#This Row],[Työttömyysaste]:[Työttömät ja palveluissa olevat ]])</f>
        <v>193067702.13023245</v>
      </c>
      <c r="AF22" s="62"/>
    </row>
    <row r="23" spans="1:32" s="45" customFormat="1">
      <c r="A23" s="90">
        <v>50</v>
      </c>
      <c r="B23" s="151" t="s">
        <v>22</v>
      </c>
      <c r="C23" s="395">
        <v>11184</v>
      </c>
      <c r="D23" s="134">
        <v>332.91666666666669</v>
      </c>
      <c r="E23" s="41">
        <v>5100</v>
      </c>
      <c r="F23" s="332">
        <f t="shared" si="1"/>
        <v>6.5277777777777782E-2</v>
      </c>
      <c r="G23" s="377">
        <f>Muut[[#This Row],[Keskim. työttömyysaste 2023, %]]/$F$12</f>
        <v>0.66432478061022016</v>
      </c>
      <c r="H23" s="166">
        <v>0</v>
      </c>
      <c r="I23" s="383">
        <v>16</v>
      </c>
      <c r="J23" s="389">
        <v>486</v>
      </c>
      <c r="K23" s="269">
        <v>578.91</v>
      </c>
      <c r="L23" s="170">
        <f t="shared" si="2"/>
        <v>19.319065139659017</v>
      </c>
      <c r="M23" s="377">
        <v>0.95389913205339416</v>
      </c>
      <c r="N23" s="166">
        <v>0</v>
      </c>
      <c r="O23" s="397">
        <v>0</v>
      </c>
      <c r="P23" s="269">
        <v>3202</v>
      </c>
      <c r="Q23" s="15">
        <v>530</v>
      </c>
      <c r="R23" s="158">
        <v>0.16552154903185509</v>
      </c>
      <c r="S23" s="401">
        <v>1.1842826097876913</v>
      </c>
      <c r="T23" s="153">
        <v>460</v>
      </c>
      <c r="U23" s="197">
        <v>512953.96823163837</v>
      </c>
      <c r="V23" s="159">
        <v>0</v>
      </c>
      <c r="W23" s="159">
        <v>0</v>
      </c>
      <c r="X23" s="159">
        <v>887431.14</v>
      </c>
      <c r="Y23" s="159">
        <v>441565.40268651675</v>
      </c>
      <c r="Z23" s="159">
        <v>0</v>
      </c>
      <c r="AA23" s="155">
        <v>0</v>
      </c>
      <c r="AB23" s="159">
        <v>375363.77350090939</v>
      </c>
      <c r="AC23" s="159">
        <v>337791.80000000005</v>
      </c>
      <c r="AD23" s="174">
        <f>SUM(Muut[[#This Row],[Työttömyysaste]:[Työttömät ja palveluissa olevat ]])</f>
        <v>2555106.0844190642</v>
      </c>
      <c r="AF23" s="62"/>
    </row>
    <row r="24" spans="1:32" s="45" customFormat="1">
      <c r="A24" s="90">
        <v>51</v>
      </c>
      <c r="B24" s="151" t="s">
        <v>23</v>
      </c>
      <c r="C24" s="395">
        <v>9143</v>
      </c>
      <c r="D24" s="134">
        <v>257.91666666666669</v>
      </c>
      <c r="E24" s="41">
        <v>4160</v>
      </c>
      <c r="F24" s="332">
        <f t="shared" si="1"/>
        <v>6.199919871794872E-2</v>
      </c>
      <c r="G24" s="377">
        <f>Muut[[#This Row],[Keskim. työttömyysaste 2023, %]]/$F$12</f>
        <v>0.63095904132220682</v>
      </c>
      <c r="H24" s="166">
        <v>0</v>
      </c>
      <c r="I24" s="383">
        <v>31</v>
      </c>
      <c r="J24" s="389">
        <v>340</v>
      </c>
      <c r="K24" s="269">
        <v>515.03</v>
      </c>
      <c r="L24" s="170">
        <f t="shared" si="2"/>
        <v>17.752363939964663</v>
      </c>
      <c r="M24" s="377">
        <v>1.038083690213057</v>
      </c>
      <c r="N24" s="166">
        <v>0</v>
      </c>
      <c r="O24" s="397">
        <v>0</v>
      </c>
      <c r="P24" s="269">
        <v>2781</v>
      </c>
      <c r="Q24" s="15">
        <v>369</v>
      </c>
      <c r="R24" s="158">
        <v>0.13268608414239483</v>
      </c>
      <c r="S24" s="401">
        <v>0.94934963410971307</v>
      </c>
      <c r="T24" s="153">
        <v>370</v>
      </c>
      <c r="U24" s="197">
        <v>398281.99186240911</v>
      </c>
      <c r="V24" s="159">
        <v>0</v>
      </c>
      <c r="W24" s="159">
        <v>0</v>
      </c>
      <c r="X24" s="159">
        <v>620836.6</v>
      </c>
      <c r="Y24" s="159">
        <v>392840.73404438823</v>
      </c>
      <c r="Z24" s="159">
        <v>0</v>
      </c>
      <c r="AA24" s="155">
        <v>0</v>
      </c>
      <c r="AB24" s="159">
        <v>245988.47099020911</v>
      </c>
      <c r="AC24" s="159">
        <v>271702.10000000003</v>
      </c>
      <c r="AD24" s="174">
        <f>SUM(Muut[[#This Row],[Työttömyysaste]:[Työttömät ja palveluissa olevat ]])</f>
        <v>1929649.8968970065</v>
      </c>
      <c r="AF24" s="62"/>
    </row>
    <row r="25" spans="1:32" s="45" customFormat="1">
      <c r="A25" s="90">
        <v>52</v>
      </c>
      <c r="B25" s="151" t="s">
        <v>24</v>
      </c>
      <c r="C25" s="395">
        <v>2292</v>
      </c>
      <c r="D25" s="134">
        <v>45.083333333333336</v>
      </c>
      <c r="E25" s="41">
        <v>1005</v>
      </c>
      <c r="F25" s="332">
        <f t="shared" si="1"/>
        <v>4.4859038142620232E-2</v>
      </c>
      <c r="G25" s="377">
        <f>Muut[[#This Row],[Keskim. työttömyysaste 2023, %]]/$F$12</f>
        <v>0.45652550817418747</v>
      </c>
      <c r="H25" s="166">
        <v>0</v>
      </c>
      <c r="I25" s="383">
        <v>47</v>
      </c>
      <c r="J25" s="389">
        <v>98</v>
      </c>
      <c r="K25" s="269">
        <v>354.15</v>
      </c>
      <c r="L25" s="170">
        <f t="shared" si="2"/>
        <v>6.4718339686573492</v>
      </c>
      <c r="M25" s="377">
        <v>2.847483349859004</v>
      </c>
      <c r="N25" s="166">
        <v>0</v>
      </c>
      <c r="O25" s="397">
        <v>0</v>
      </c>
      <c r="P25" s="269">
        <v>637</v>
      </c>
      <c r="Q25" s="15">
        <v>84</v>
      </c>
      <c r="R25" s="158">
        <v>0.13186813186813187</v>
      </c>
      <c r="S25" s="401">
        <v>0.94349730455074132</v>
      </c>
      <c r="T25" s="153">
        <v>73</v>
      </c>
      <c r="U25" s="197">
        <v>72240.450325320824</v>
      </c>
      <c r="V25" s="159">
        <v>0</v>
      </c>
      <c r="W25" s="159">
        <v>0</v>
      </c>
      <c r="X25" s="159">
        <v>178947.02</v>
      </c>
      <c r="Y25" s="159">
        <v>270129.01376972231</v>
      </c>
      <c r="Z25" s="159">
        <v>0</v>
      </c>
      <c r="AA25" s="155">
        <v>0</v>
      </c>
      <c r="AB25" s="159">
        <v>61285.131596338681</v>
      </c>
      <c r="AC25" s="159">
        <v>53606.090000000004</v>
      </c>
      <c r="AD25" s="174">
        <f>SUM(Muut[[#This Row],[Työttömyysaste]:[Työttömät ja palveluissa olevat ]])</f>
        <v>636207.70569138182</v>
      </c>
      <c r="AF25" s="62"/>
    </row>
    <row r="26" spans="1:32" s="45" customFormat="1">
      <c r="A26" s="90">
        <v>61</v>
      </c>
      <c r="B26" s="151" t="s">
        <v>25</v>
      </c>
      <c r="C26" s="395">
        <v>16469</v>
      </c>
      <c r="D26" s="134">
        <v>812.5</v>
      </c>
      <c r="E26" s="41">
        <v>6973</v>
      </c>
      <c r="F26" s="332">
        <f t="shared" si="1"/>
        <v>0.11652086619819303</v>
      </c>
      <c r="G26" s="377">
        <f>Muut[[#This Row],[Keskim. työttömyysaste 2023, %]]/$F$12</f>
        <v>1.1858200678513133</v>
      </c>
      <c r="H26" s="166">
        <v>0</v>
      </c>
      <c r="I26" s="383">
        <v>51</v>
      </c>
      <c r="J26" s="389">
        <v>1302</v>
      </c>
      <c r="K26" s="269">
        <v>248.87</v>
      </c>
      <c r="L26" s="170">
        <f t="shared" si="2"/>
        <v>66.175111503998068</v>
      </c>
      <c r="M26" s="377">
        <v>0.27847991563550806</v>
      </c>
      <c r="N26" s="166">
        <v>0</v>
      </c>
      <c r="O26" s="397">
        <v>0</v>
      </c>
      <c r="P26" s="269">
        <v>4397</v>
      </c>
      <c r="Q26" s="15">
        <v>859</v>
      </c>
      <c r="R26" s="158">
        <v>0.19536047304980669</v>
      </c>
      <c r="S26" s="401">
        <v>1.3977757713483985</v>
      </c>
      <c r="T26" s="153">
        <v>1258</v>
      </c>
      <c r="U26" s="197">
        <v>1348300.8489514843</v>
      </c>
      <c r="V26" s="159">
        <v>0</v>
      </c>
      <c r="W26" s="159">
        <v>0</v>
      </c>
      <c r="X26" s="159">
        <v>2377438.98</v>
      </c>
      <c r="Y26" s="159">
        <v>189826.36638958292</v>
      </c>
      <c r="Z26" s="159">
        <v>0</v>
      </c>
      <c r="AA26" s="155">
        <v>0</v>
      </c>
      <c r="AB26" s="159">
        <v>652385.92651406419</v>
      </c>
      <c r="AC26" s="159">
        <v>923787.14</v>
      </c>
      <c r="AD26" s="174">
        <f>SUM(Muut[[#This Row],[Työttömyysaste]:[Työttömät ja palveluissa olevat ]])</f>
        <v>5491739.261855131</v>
      </c>
      <c r="AF26" s="62"/>
    </row>
    <row r="27" spans="1:32" s="45" customFormat="1">
      <c r="A27" s="90">
        <v>69</v>
      </c>
      <c r="B27" s="151" t="s">
        <v>26</v>
      </c>
      <c r="C27" s="395">
        <v>6558</v>
      </c>
      <c r="D27" s="134">
        <v>249.66666666666666</v>
      </c>
      <c r="E27" s="41">
        <v>2862</v>
      </c>
      <c r="F27" s="332">
        <f t="shared" si="1"/>
        <v>8.7235033775914281E-2</v>
      </c>
      <c r="G27" s="377">
        <f>Muut[[#This Row],[Keskim. työttömyysaste 2023, %]]/$F$12</f>
        <v>0.88778136522959072</v>
      </c>
      <c r="H27" s="166">
        <v>0</v>
      </c>
      <c r="I27" s="383">
        <v>4</v>
      </c>
      <c r="J27" s="389">
        <v>133</v>
      </c>
      <c r="K27" s="269">
        <v>766.48</v>
      </c>
      <c r="L27" s="170">
        <f t="shared" si="2"/>
        <v>8.5559962425634062</v>
      </c>
      <c r="M27" s="377">
        <v>2.1538625013797921</v>
      </c>
      <c r="N27" s="166">
        <v>0</v>
      </c>
      <c r="O27" s="397">
        <v>0</v>
      </c>
      <c r="P27" s="269">
        <v>1690</v>
      </c>
      <c r="Q27" s="15">
        <v>236</v>
      </c>
      <c r="R27" s="158">
        <v>0.13964497041420118</v>
      </c>
      <c r="S27" s="401">
        <v>0.99913945328065679</v>
      </c>
      <c r="T27" s="153">
        <v>344</v>
      </c>
      <c r="U27" s="197">
        <v>401955.7261368474</v>
      </c>
      <c r="V27" s="159">
        <v>0</v>
      </c>
      <c r="W27" s="159">
        <v>0</v>
      </c>
      <c r="X27" s="159">
        <v>242856.67</v>
      </c>
      <c r="Y27" s="159">
        <v>584635.00345677475</v>
      </c>
      <c r="Z27" s="159">
        <v>0</v>
      </c>
      <c r="AA27" s="155">
        <v>0</v>
      </c>
      <c r="AB27" s="159">
        <v>185693.78419097626</v>
      </c>
      <c r="AC27" s="159">
        <v>252609.52000000002</v>
      </c>
      <c r="AD27" s="174">
        <f>SUM(Muut[[#This Row],[Työttömyysaste]:[Työttömät ja palveluissa olevat ]])</f>
        <v>1667750.7037845985</v>
      </c>
      <c r="AF27" s="62"/>
    </row>
    <row r="28" spans="1:32" s="45" customFormat="1">
      <c r="A28" s="90">
        <v>71</v>
      </c>
      <c r="B28" s="151" t="s">
        <v>27</v>
      </c>
      <c r="C28" s="395">
        <v>6473</v>
      </c>
      <c r="D28" s="134">
        <v>233.08333333333334</v>
      </c>
      <c r="E28" s="41">
        <v>2741</v>
      </c>
      <c r="F28" s="332">
        <f t="shared" si="1"/>
        <v>8.503587498479874E-2</v>
      </c>
      <c r="G28" s="377">
        <f>Muut[[#This Row],[Keskim. työttömyysaste 2023, %]]/$F$12</f>
        <v>0.86540076755654594</v>
      </c>
      <c r="H28" s="166">
        <v>0</v>
      </c>
      <c r="I28" s="383">
        <v>1</v>
      </c>
      <c r="J28" s="389">
        <v>232</v>
      </c>
      <c r="K28" s="269">
        <v>1050.6300000000001</v>
      </c>
      <c r="L28" s="170">
        <f t="shared" si="2"/>
        <v>6.1610652656025424</v>
      </c>
      <c r="M28" s="377">
        <v>2.991112522649352</v>
      </c>
      <c r="N28" s="166">
        <v>0</v>
      </c>
      <c r="O28" s="397">
        <v>0</v>
      </c>
      <c r="P28" s="269">
        <v>1814</v>
      </c>
      <c r="Q28" s="15">
        <v>237</v>
      </c>
      <c r="R28" s="158">
        <v>0.13065049614112459</v>
      </c>
      <c r="S28" s="401">
        <v>0.93478529801754129</v>
      </c>
      <c r="T28" s="153">
        <v>316</v>
      </c>
      <c r="U28" s="197">
        <v>386744.07218588883</v>
      </c>
      <c r="V28" s="159">
        <v>0</v>
      </c>
      <c r="W28" s="159">
        <v>0</v>
      </c>
      <c r="X28" s="159">
        <v>423629.68</v>
      </c>
      <c r="Y28" s="159">
        <v>801371.29955353204</v>
      </c>
      <c r="Z28" s="159">
        <v>0</v>
      </c>
      <c r="AA28" s="155">
        <v>0</v>
      </c>
      <c r="AB28" s="159">
        <v>171481.5207334742</v>
      </c>
      <c r="AC28" s="159">
        <v>232048.28</v>
      </c>
      <c r="AD28" s="174">
        <f>SUM(Muut[[#This Row],[Työttömyysaste]:[Työttömät ja palveluissa olevat ]])</f>
        <v>2015274.8524728951</v>
      </c>
      <c r="AF28" s="62"/>
    </row>
    <row r="29" spans="1:32" s="45" customFormat="1">
      <c r="A29" s="90">
        <v>72</v>
      </c>
      <c r="B29" s="151" t="s">
        <v>28</v>
      </c>
      <c r="C29" s="395">
        <v>948</v>
      </c>
      <c r="D29" s="134">
        <v>36.916666666666664</v>
      </c>
      <c r="E29" s="41">
        <v>371</v>
      </c>
      <c r="F29" s="332">
        <f t="shared" si="1"/>
        <v>9.9505840071877807E-2</v>
      </c>
      <c r="G29" s="377">
        <f>Muut[[#This Row],[Keskim. työttömyysaste 2023, %]]/$F$12</f>
        <v>1.0126600142581665</v>
      </c>
      <c r="H29" s="166">
        <v>0</v>
      </c>
      <c r="I29" s="383">
        <v>0</v>
      </c>
      <c r="J29" s="389">
        <v>17</v>
      </c>
      <c r="K29" s="269">
        <v>205.58</v>
      </c>
      <c r="L29" s="170">
        <f t="shared" si="2"/>
        <v>4.6113435159062162</v>
      </c>
      <c r="M29" s="377">
        <v>3.9963276223593556</v>
      </c>
      <c r="N29" s="166">
        <v>2</v>
      </c>
      <c r="O29" s="397">
        <v>0</v>
      </c>
      <c r="P29" s="269">
        <v>217</v>
      </c>
      <c r="Q29" s="15">
        <v>17</v>
      </c>
      <c r="R29" s="158">
        <v>7.8341013824884786E-2</v>
      </c>
      <c r="S29" s="401">
        <v>0.56051855996159627</v>
      </c>
      <c r="T29" s="153">
        <v>50</v>
      </c>
      <c r="U29" s="197">
        <v>66278.516920395879</v>
      </c>
      <c r="V29" s="159">
        <v>0</v>
      </c>
      <c r="W29" s="159">
        <v>0</v>
      </c>
      <c r="X29" s="159">
        <v>31041.83</v>
      </c>
      <c r="Y29" s="159">
        <v>156806.78427440213</v>
      </c>
      <c r="Z29" s="159">
        <v>1147098.96</v>
      </c>
      <c r="AA29" s="155">
        <v>0</v>
      </c>
      <c r="AB29" s="159">
        <v>15059.070997867433</v>
      </c>
      <c r="AC29" s="159">
        <v>36716.5</v>
      </c>
      <c r="AD29" s="174">
        <f>SUM(Muut[[#This Row],[Työttömyysaste]:[Työttömät ja palveluissa olevat ]])</f>
        <v>1453001.6621926655</v>
      </c>
      <c r="AF29" s="62"/>
    </row>
    <row r="30" spans="1:32" s="45" customFormat="1">
      <c r="A30" s="90">
        <v>74</v>
      </c>
      <c r="B30" s="151" t="s">
        <v>29</v>
      </c>
      <c r="C30" s="395">
        <v>1013</v>
      </c>
      <c r="D30" s="134">
        <v>38.75</v>
      </c>
      <c r="E30" s="41">
        <v>429</v>
      </c>
      <c r="F30" s="332">
        <f t="shared" si="1"/>
        <v>9.0326340326340321E-2</v>
      </c>
      <c r="G30" s="377">
        <f>Muut[[#This Row],[Keskim. työttömyysaste 2023, %]]/$F$12</f>
        <v>0.91924125274141444</v>
      </c>
      <c r="H30" s="166">
        <v>0</v>
      </c>
      <c r="I30" s="383">
        <v>5</v>
      </c>
      <c r="J30" s="389">
        <v>51</v>
      </c>
      <c r="K30" s="269">
        <v>412.99</v>
      </c>
      <c r="L30" s="170">
        <f t="shared" si="2"/>
        <v>2.4528438945252913</v>
      </c>
      <c r="M30" s="377">
        <v>7.5130910327949145</v>
      </c>
      <c r="N30" s="166">
        <v>0</v>
      </c>
      <c r="O30" s="397">
        <v>0</v>
      </c>
      <c r="P30" s="269">
        <v>246</v>
      </c>
      <c r="Q30" s="15">
        <v>44</v>
      </c>
      <c r="R30" s="158">
        <v>0.17886178861788618</v>
      </c>
      <c r="S30" s="401">
        <v>1.2797300838147589</v>
      </c>
      <c r="T30" s="153">
        <v>53</v>
      </c>
      <c r="U30" s="197">
        <v>64289.453498427742</v>
      </c>
      <c r="V30" s="159">
        <v>0</v>
      </c>
      <c r="W30" s="159">
        <v>0</v>
      </c>
      <c r="X30" s="159">
        <v>93125.49</v>
      </c>
      <c r="Y30" s="159">
        <v>315009.40673939744</v>
      </c>
      <c r="Z30" s="159">
        <v>0</v>
      </c>
      <c r="AA30" s="155">
        <v>0</v>
      </c>
      <c r="AB30" s="159">
        <v>36739.028732789302</v>
      </c>
      <c r="AC30" s="159">
        <v>38919.490000000005</v>
      </c>
      <c r="AD30" s="174">
        <f>SUM(Muut[[#This Row],[Työttömyysaste]:[Työttömät ja palveluissa olevat ]])</f>
        <v>548082.86897061451</v>
      </c>
      <c r="AF30" s="62"/>
    </row>
    <row r="31" spans="1:32" s="45" customFormat="1">
      <c r="A31" s="90">
        <v>75</v>
      </c>
      <c r="B31" s="151" t="s">
        <v>30</v>
      </c>
      <c r="C31" s="395">
        <v>19534</v>
      </c>
      <c r="D31" s="134">
        <v>978.08333333333337</v>
      </c>
      <c r="E31" s="41">
        <v>8614</v>
      </c>
      <c r="F31" s="332">
        <f t="shared" si="1"/>
        <v>0.11354577819054253</v>
      </c>
      <c r="G31" s="377">
        <f>Muut[[#This Row],[Keskim. työttömyysaste 2023, %]]/$F$12</f>
        <v>1.1555429236950467</v>
      </c>
      <c r="H31" s="166">
        <v>0</v>
      </c>
      <c r="I31" s="383">
        <v>59</v>
      </c>
      <c r="J31" s="389">
        <v>1558</v>
      </c>
      <c r="K31" s="269">
        <v>609.89</v>
      </c>
      <c r="L31" s="170">
        <f t="shared" si="2"/>
        <v>32.028726491662432</v>
      </c>
      <c r="M31" s="377">
        <v>0.575372220109998</v>
      </c>
      <c r="N31" s="166">
        <v>0</v>
      </c>
      <c r="O31" s="397">
        <v>0</v>
      </c>
      <c r="P31" s="269">
        <v>5523</v>
      </c>
      <c r="Q31" s="15">
        <v>803</v>
      </c>
      <c r="R31" s="158">
        <v>0.14539199710302372</v>
      </c>
      <c r="S31" s="401">
        <v>1.0402585933888031</v>
      </c>
      <c r="T31" s="153">
        <v>1365</v>
      </c>
      <c r="U31" s="197">
        <v>1558396.8025495324</v>
      </c>
      <c r="V31" s="159">
        <v>0</v>
      </c>
      <c r="W31" s="159">
        <v>0</v>
      </c>
      <c r="X31" s="159">
        <v>2844892.42</v>
      </c>
      <c r="Y31" s="159">
        <v>465195.49402235192</v>
      </c>
      <c r="Z31" s="159">
        <v>0</v>
      </c>
      <c r="AA31" s="155">
        <v>0</v>
      </c>
      <c r="AB31" s="159">
        <v>575880.45803470002</v>
      </c>
      <c r="AC31" s="159">
        <v>1002360.4500000001</v>
      </c>
      <c r="AD31" s="174">
        <f>SUM(Muut[[#This Row],[Työttömyysaste]:[Työttömät ja palveluissa olevat ]])</f>
        <v>6446725.6246065842</v>
      </c>
      <c r="AF31" s="62"/>
    </row>
    <row r="32" spans="1:32" s="45" customFormat="1">
      <c r="A32" s="90">
        <v>77</v>
      </c>
      <c r="B32" s="151" t="s">
        <v>31</v>
      </c>
      <c r="C32" s="395">
        <v>4549</v>
      </c>
      <c r="D32" s="134">
        <v>191.41666666666666</v>
      </c>
      <c r="E32" s="41">
        <v>1847</v>
      </c>
      <c r="F32" s="332">
        <f t="shared" si="1"/>
        <v>0.10363652770258075</v>
      </c>
      <c r="G32" s="377">
        <f>Muut[[#This Row],[Keskim. työttömyysaste 2023, %]]/$F$12</f>
        <v>1.0546975689582938</v>
      </c>
      <c r="H32" s="166">
        <v>0</v>
      </c>
      <c r="I32" s="383">
        <v>12</v>
      </c>
      <c r="J32" s="389">
        <v>121</v>
      </c>
      <c r="K32" s="269">
        <v>571.69000000000005</v>
      </c>
      <c r="L32" s="170">
        <f t="shared" si="2"/>
        <v>7.9571096223477751</v>
      </c>
      <c r="M32" s="377">
        <v>2.3159715453770939</v>
      </c>
      <c r="N32" s="166">
        <v>0</v>
      </c>
      <c r="O32" s="397">
        <v>0</v>
      </c>
      <c r="P32" s="269">
        <v>1222</v>
      </c>
      <c r="Q32" s="15">
        <v>166</v>
      </c>
      <c r="R32" s="158">
        <v>0.13584288052373159</v>
      </c>
      <c r="S32" s="401">
        <v>0.97193605309216435</v>
      </c>
      <c r="T32" s="153">
        <v>275</v>
      </c>
      <c r="U32" s="197">
        <v>331241.44041184598</v>
      </c>
      <c r="V32" s="159">
        <v>0</v>
      </c>
      <c r="W32" s="159">
        <v>0</v>
      </c>
      <c r="X32" s="159">
        <v>220944.79</v>
      </c>
      <c r="Y32" s="159">
        <v>436058.32523510541</v>
      </c>
      <c r="Z32" s="159">
        <v>0</v>
      </c>
      <c r="AA32" s="155">
        <v>0</v>
      </c>
      <c r="AB32" s="159">
        <v>125300.6935703307</v>
      </c>
      <c r="AC32" s="159">
        <v>201940.75</v>
      </c>
      <c r="AD32" s="174">
        <f>SUM(Muut[[#This Row],[Työttömyysaste]:[Työttömät ja palveluissa olevat ]])</f>
        <v>1315485.999217282</v>
      </c>
      <c r="AF32" s="62"/>
    </row>
    <row r="33" spans="1:32" s="45" customFormat="1">
      <c r="A33" s="90">
        <v>78</v>
      </c>
      <c r="B33" s="151" t="s">
        <v>32</v>
      </c>
      <c r="C33" s="395">
        <v>7721</v>
      </c>
      <c r="D33" s="134">
        <v>345.08333333333331</v>
      </c>
      <c r="E33" s="41">
        <v>3484</v>
      </c>
      <c r="F33" s="332">
        <f t="shared" si="1"/>
        <v>9.9048029085342507E-2</v>
      </c>
      <c r="G33" s="377">
        <f>Muut[[#This Row],[Keskim. työttömyysaste 2023, %]]/$F$12</f>
        <v>1.008000922090134</v>
      </c>
      <c r="H33" s="166">
        <v>1</v>
      </c>
      <c r="I33" s="383">
        <v>3264</v>
      </c>
      <c r="J33" s="389">
        <v>410</v>
      </c>
      <c r="K33" s="269">
        <v>117.6</v>
      </c>
      <c r="L33" s="170">
        <f t="shared" si="2"/>
        <v>65.654761904761912</v>
      </c>
      <c r="M33" s="377">
        <v>0.28068702001441748</v>
      </c>
      <c r="N33" s="166">
        <v>0</v>
      </c>
      <c r="O33" s="397">
        <v>0</v>
      </c>
      <c r="P33" s="269">
        <v>2101</v>
      </c>
      <c r="Q33" s="15">
        <v>474</v>
      </c>
      <c r="R33" s="158">
        <v>0.2256068538791052</v>
      </c>
      <c r="S33" s="401">
        <v>1.6141842271335745</v>
      </c>
      <c r="T33" s="153">
        <v>477</v>
      </c>
      <c r="U33" s="197">
        <v>537322.79424737534</v>
      </c>
      <c r="V33" s="159">
        <v>158379.32880000002</v>
      </c>
      <c r="W33" s="159">
        <v>889528.78080000018</v>
      </c>
      <c r="X33" s="159">
        <v>748655.9</v>
      </c>
      <c r="Y33" s="159">
        <v>89699.765690581233</v>
      </c>
      <c r="Z33" s="159">
        <v>0</v>
      </c>
      <c r="AA33" s="155">
        <v>0</v>
      </c>
      <c r="AB33" s="159">
        <v>353204.71927757061</v>
      </c>
      <c r="AC33" s="159">
        <v>350275.41000000003</v>
      </c>
      <c r="AD33" s="174">
        <f>SUM(Muut[[#This Row],[Työttömyysaste]:[Työttömät ja palveluissa olevat ]])</f>
        <v>3127066.6988155274</v>
      </c>
      <c r="AF33" s="62"/>
    </row>
    <row r="34" spans="1:32" s="45" customFormat="1">
      <c r="A34" s="90">
        <v>79</v>
      </c>
      <c r="B34" s="151" t="s">
        <v>33</v>
      </c>
      <c r="C34" s="395">
        <v>6703</v>
      </c>
      <c r="D34" s="134">
        <v>274.58333333333331</v>
      </c>
      <c r="E34" s="41">
        <v>2791</v>
      </c>
      <c r="F34" s="332">
        <f t="shared" si="1"/>
        <v>9.8381703093275999E-2</v>
      </c>
      <c r="G34" s="377">
        <f>Muut[[#This Row],[Keskim. työttömyysaste 2023, %]]/$F$12</f>
        <v>1.0012197955940485</v>
      </c>
      <c r="H34" s="166">
        <v>0</v>
      </c>
      <c r="I34" s="383">
        <v>14</v>
      </c>
      <c r="J34" s="389">
        <v>330</v>
      </c>
      <c r="K34" s="269">
        <v>123.48</v>
      </c>
      <c r="L34" s="170">
        <f t="shared" si="2"/>
        <v>54.284094590217038</v>
      </c>
      <c r="M34" s="377">
        <v>0.33948138230760605</v>
      </c>
      <c r="N34" s="166">
        <v>0</v>
      </c>
      <c r="O34" s="397">
        <v>0</v>
      </c>
      <c r="P34" s="269">
        <v>1843</v>
      </c>
      <c r="Q34" s="15">
        <v>314</v>
      </c>
      <c r="R34" s="158">
        <v>0.17037438958220294</v>
      </c>
      <c r="S34" s="401">
        <v>1.2190039781259217</v>
      </c>
      <c r="T34" s="153">
        <v>420</v>
      </c>
      <c r="U34" s="197">
        <v>463339.61105241143</v>
      </c>
      <c r="V34" s="159">
        <v>0</v>
      </c>
      <c r="W34" s="159">
        <v>0</v>
      </c>
      <c r="X34" s="159">
        <v>602576.69999999995</v>
      </c>
      <c r="Y34" s="159">
        <v>94184.753975110303</v>
      </c>
      <c r="Z34" s="159">
        <v>0</v>
      </c>
      <c r="AA34" s="155">
        <v>0</v>
      </c>
      <c r="AB34" s="159">
        <v>231565.67707681403</v>
      </c>
      <c r="AC34" s="159">
        <v>308418.60000000003</v>
      </c>
      <c r="AD34" s="174">
        <f>SUM(Muut[[#This Row],[Työttömyysaste]:[Työttömät ja palveluissa olevat ]])</f>
        <v>1700085.3421043358</v>
      </c>
      <c r="AF34" s="62"/>
    </row>
    <row r="35" spans="1:32" s="45" customFormat="1">
      <c r="A35" s="90">
        <v>81</v>
      </c>
      <c r="B35" s="151" t="s">
        <v>34</v>
      </c>
      <c r="C35" s="395">
        <v>2531</v>
      </c>
      <c r="D35" s="134">
        <v>116.66666666666667</v>
      </c>
      <c r="E35" s="41">
        <v>1009</v>
      </c>
      <c r="F35" s="332">
        <f t="shared" si="1"/>
        <v>0.11562603237528907</v>
      </c>
      <c r="G35" s="377">
        <f>Muut[[#This Row],[Keskim. työttömyysaste 2023, %]]/$F$12</f>
        <v>1.1767134422381227</v>
      </c>
      <c r="H35" s="166">
        <v>0</v>
      </c>
      <c r="I35" s="383">
        <v>2</v>
      </c>
      <c r="J35" s="389">
        <v>86</v>
      </c>
      <c r="K35" s="269">
        <v>542.96</v>
      </c>
      <c r="L35" s="170">
        <f t="shared" si="2"/>
        <v>4.6614851922793576</v>
      </c>
      <c r="M35" s="377">
        <v>3.9533407720196236</v>
      </c>
      <c r="N35" s="166">
        <v>0</v>
      </c>
      <c r="O35" s="397">
        <v>0</v>
      </c>
      <c r="P35" s="269">
        <v>538</v>
      </c>
      <c r="Q35" s="15">
        <v>117</v>
      </c>
      <c r="R35" s="158">
        <v>0.21747211895910781</v>
      </c>
      <c r="S35" s="401">
        <v>1.5559813819008275</v>
      </c>
      <c r="T35" s="153">
        <v>166</v>
      </c>
      <c r="U35" s="197">
        <v>205619.18930791575</v>
      </c>
      <c r="V35" s="159">
        <v>0</v>
      </c>
      <c r="W35" s="159">
        <v>0</v>
      </c>
      <c r="X35" s="159">
        <v>157035.14000000001</v>
      </c>
      <c r="Y35" s="159">
        <v>414144.42839590122</v>
      </c>
      <c r="Z35" s="159">
        <v>0</v>
      </c>
      <c r="AA35" s="155">
        <v>0</v>
      </c>
      <c r="AB35" s="159">
        <v>111608.27279092878</v>
      </c>
      <c r="AC35" s="159">
        <v>121898.78000000001</v>
      </c>
      <c r="AD35" s="174">
        <f>SUM(Muut[[#This Row],[Työttömyysaste]:[Työttömät ja palveluissa olevat ]])</f>
        <v>1010305.8104947458</v>
      </c>
      <c r="AF35" s="62"/>
    </row>
    <row r="36" spans="1:32" s="45" customFormat="1">
      <c r="A36" s="90">
        <v>82</v>
      </c>
      <c r="B36" s="151" t="s">
        <v>35</v>
      </c>
      <c r="C36" s="395">
        <v>9371</v>
      </c>
      <c r="D36" s="134">
        <v>252.75</v>
      </c>
      <c r="E36" s="41">
        <v>4448</v>
      </c>
      <c r="F36" s="332">
        <f t="shared" si="1"/>
        <v>5.6823291366906475E-2</v>
      </c>
      <c r="G36" s="377">
        <f>Muut[[#This Row],[Keskim. työttömyysaste 2023, %]]/$F$12</f>
        <v>0.57828440023461591</v>
      </c>
      <c r="H36" s="166">
        <v>0</v>
      </c>
      <c r="I36" s="383">
        <v>38</v>
      </c>
      <c r="J36" s="389">
        <v>231</v>
      </c>
      <c r="K36" s="269">
        <v>357.79</v>
      </c>
      <c r="L36" s="170">
        <f t="shared" si="2"/>
        <v>26.191341289583274</v>
      </c>
      <c r="M36" s="377">
        <v>0.70360808425389854</v>
      </c>
      <c r="N36" s="166">
        <v>0</v>
      </c>
      <c r="O36" s="397">
        <v>0</v>
      </c>
      <c r="P36" s="269">
        <v>2945</v>
      </c>
      <c r="Q36" s="15">
        <v>267</v>
      </c>
      <c r="R36" s="158">
        <v>9.0662139219015281E-2</v>
      </c>
      <c r="S36" s="401">
        <v>0.64867442016608268</v>
      </c>
      <c r="T36" s="153">
        <v>384</v>
      </c>
      <c r="U36" s="197">
        <v>374134.8790318864</v>
      </c>
      <c r="V36" s="159">
        <v>0</v>
      </c>
      <c r="W36" s="159">
        <v>0</v>
      </c>
      <c r="X36" s="159">
        <v>421803.69</v>
      </c>
      <c r="Y36" s="159">
        <v>272905.43508871651</v>
      </c>
      <c r="Z36" s="159">
        <v>0</v>
      </c>
      <c r="AA36" s="155">
        <v>0</v>
      </c>
      <c r="AB36" s="159">
        <v>172271.15127560607</v>
      </c>
      <c r="AC36" s="159">
        <v>281982.72000000003</v>
      </c>
      <c r="AD36" s="174">
        <f>SUM(Muut[[#This Row],[Työttömyysaste]:[Työttömät ja palveluissa olevat ]])</f>
        <v>1523097.8753962091</v>
      </c>
      <c r="AF36" s="62"/>
    </row>
    <row r="37" spans="1:32" s="45" customFormat="1">
      <c r="A37" s="90">
        <v>86</v>
      </c>
      <c r="B37" s="151" t="s">
        <v>36</v>
      </c>
      <c r="C37" s="395">
        <v>7998</v>
      </c>
      <c r="D37" s="134">
        <v>243.33333333333334</v>
      </c>
      <c r="E37" s="41">
        <v>3865</v>
      </c>
      <c r="F37" s="332">
        <f t="shared" si="1"/>
        <v>6.2958171625700735E-2</v>
      </c>
      <c r="G37" s="377">
        <f>Muut[[#This Row],[Keskim. työttömyysaste 2023, %]]/$F$12</f>
        <v>0.64071840336302643</v>
      </c>
      <c r="H37" s="166">
        <v>0</v>
      </c>
      <c r="I37" s="383">
        <v>33</v>
      </c>
      <c r="J37" s="389">
        <v>284</v>
      </c>
      <c r="K37" s="269">
        <v>389.42</v>
      </c>
      <c r="L37" s="170">
        <f t="shared" si="2"/>
        <v>20.538236351497098</v>
      </c>
      <c r="M37" s="377">
        <v>0.8972746809129214</v>
      </c>
      <c r="N37" s="166">
        <v>0</v>
      </c>
      <c r="O37" s="397">
        <v>0</v>
      </c>
      <c r="P37" s="269">
        <v>2547</v>
      </c>
      <c r="Q37" s="15">
        <v>340</v>
      </c>
      <c r="R37" s="158">
        <v>0.13349038084020415</v>
      </c>
      <c r="S37" s="401">
        <v>0.95510426000523274</v>
      </c>
      <c r="T37" s="153">
        <v>373</v>
      </c>
      <c r="U37" s="197">
        <v>353793.11814833048</v>
      </c>
      <c r="V37" s="159">
        <v>0</v>
      </c>
      <c r="W37" s="159">
        <v>0</v>
      </c>
      <c r="X37" s="159">
        <v>518581.16</v>
      </c>
      <c r="Y37" s="159">
        <v>297031.31594580057</v>
      </c>
      <c r="Z37" s="159">
        <v>0</v>
      </c>
      <c r="AA37" s="155">
        <v>0</v>
      </c>
      <c r="AB37" s="159">
        <v>216487.10251892928</v>
      </c>
      <c r="AC37" s="159">
        <v>273905.09000000003</v>
      </c>
      <c r="AD37" s="174">
        <f>SUM(Muut[[#This Row],[Työttömyysaste]:[Työttömät ja palveluissa olevat ]])</f>
        <v>1659797.7866130604</v>
      </c>
      <c r="AF37" s="62"/>
    </row>
    <row r="38" spans="1:32" s="45" customFormat="1">
      <c r="A38" s="90">
        <v>90</v>
      </c>
      <c r="B38" s="151" t="s">
        <v>37</v>
      </c>
      <c r="C38" s="395">
        <v>3001</v>
      </c>
      <c r="D38" s="134">
        <v>139.16666666666666</v>
      </c>
      <c r="E38" s="41">
        <v>1191</v>
      </c>
      <c r="F38" s="332">
        <f t="shared" si="1"/>
        <v>0.11684858662188637</v>
      </c>
      <c r="G38" s="377">
        <f>Muut[[#This Row],[Keskim. työttömyysaste 2023, %]]/$F$12</f>
        <v>1.1891552426379415</v>
      </c>
      <c r="H38" s="166">
        <v>0</v>
      </c>
      <c r="I38" s="383">
        <v>9</v>
      </c>
      <c r="J38" s="389">
        <v>129</v>
      </c>
      <c r="K38" s="269">
        <v>1030</v>
      </c>
      <c r="L38" s="170">
        <f t="shared" si="2"/>
        <v>2.9135922330097088</v>
      </c>
      <c r="M38" s="377">
        <v>6.3249892212155387</v>
      </c>
      <c r="N38" s="166">
        <v>0</v>
      </c>
      <c r="O38" s="397">
        <v>0</v>
      </c>
      <c r="P38" s="269">
        <v>665</v>
      </c>
      <c r="Q38" s="15">
        <v>135</v>
      </c>
      <c r="R38" s="158">
        <v>0.20300751879699247</v>
      </c>
      <c r="S38" s="401">
        <v>1.4524892714794306</v>
      </c>
      <c r="T38" s="153">
        <v>210</v>
      </c>
      <c r="U38" s="197">
        <v>246379.93313312222</v>
      </c>
      <c r="V38" s="159">
        <v>0</v>
      </c>
      <c r="W38" s="159">
        <v>0</v>
      </c>
      <c r="X38" s="159">
        <v>235552.71</v>
      </c>
      <c r="Y38" s="159">
        <v>785635.70290219958</v>
      </c>
      <c r="Z38" s="159">
        <v>0</v>
      </c>
      <c r="AA38" s="155">
        <v>0</v>
      </c>
      <c r="AB38" s="159">
        <v>123531.80140713492</v>
      </c>
      <c r="AC38" s="159">
        <v>154209.30000000002</v>
      </c>
      <c r="AD38" s="174">
        <f>SUM(Muut[[#This Row],[Työttömyysaste]:[Työttömät ja palveluissa olevat ]])</f>
        <v>1545309.4474424566</v>
      </c>
      <c r="AF38" s="62"/>
    </row>
    <row r="39" spans="1:32" s="45" customFormat="1">
      <c r="A39" s="90">
        <v>91</v>
      </c>
      <c r="B39" s="151" t="s">
        <v>38</v>
      </c>
      <c r="C39" s="395">
        <v>674500</v>
      </c>
      <c r="D39" s="134">
        <v>37752.333333333336</v>
      </c>
      <c r="E39" s="41">
        <v>353085</v>
      </c>
      <c r="F39" s="332">
        <f t="shared" si="1"/>
        <v>0.10692137398454575</v>
      </c>
      <c r="G39" s="377">
        <f>Muut[[#This Row],[Keskim. työttömyysaste 2023, %]]/$F$12</f>
        <v>1.0881270890781956</v>
      </c>
      <c r="H39" s="166">
        <v>1</v>
      </c>
      <c r="I39" s="383">
        <v>36844</v>
      </c>
      <c r="J39" s="389">
        <v>131878</v>
      </c>
      <c r="K39" s="269">
        <v>214.51</v>
      </c>
      <c r="L39" s="170">
        <f t="shared" si="2"/>
        <v>3144.3755535872456</v>
      </c>
      <c r="M39" s="377">
        <v>5.8607628620505345E-3</v>
      </c>
      <c r="N39" s="166">
        <v>3</v>
      </c>
      <c r="O39" s="397">
        <v>972</v>
      </c>
      <c r="P39" s="269">
        <v>250771</v>
      </c>
      <c r="Q39" s="15">
        <v>42390</v>
      </c>
      <c r="R39" s="158">
        <v>0.16903868469639632</v>
      </c>
      <c r="S39" s="401">
        <v>1.2094472039335487</v>
      </c>
      <c r="T39" s="153">
        <v>50575</v>
      </c>
      <c r="U39" s="197">
        <v>50671336.458107099</v>
      </c>
      <c r="V39" s="159">
        <v>13835883.600000001</v>
      </c>
      <c r="W39" s="159">
        <v>10040992.156800002</v>
      </c>
      <c r="X39" s="159">
        <v>240807909.22</v>
      </c>
      <c r="Y39" s="159">
        <v>163618.16954325323</v>
      </c>
      <c r="Z39" s="159">
        <v>0</v>
      </c>
      <c r="AA39" s="155">
        <v>286778.88</v>
      </c>
      <c r="AB39" s="159">
        <v>23118982.42076708</v>
      </c>
      <c r="AC39" s="159">
        <v>37138739.75</v>
      </c>
      <c r="AD39" s="174">
        <f>SUM(Muut[[#This Row],[Työttömyysaste]:[Työttömät ja palveluissa olevat ]])</f>
        <v>376064240.65521741</v>
      </c>
      <c r="AF39" s="62"/>
    </row>
    <row r="40" spans="1:32" s="45" customFormat="1">
      <c r="A40" s="90">
        <v>92</v>
      </c>
      <c r="B40" s="151" t="s">
        <v>39</v>
      </c>
      <c r="C40" s="395">
        <v>247443</v>
      </c>
      <c r="D40" s="134">
        <v>14072.75</v>
      </c>
      <c r="E40" s="41">
        <v>128380</v>
      </c>
      <c r="F40" s="332">
        <f t="shared" si="1"/>
        <v>0.10961793114192242</v>
      </c>
      <c r="G40" s="377">
        <f>Muut[[#This Row],[Keskim. työttömyysaste 2023, %]]/$F$12</f>
        <v>1.1155696553382715</v>
      </c>
      <c r="H40" s="166">
        <v>1</v>
      </c>
      <c r="I40" s="383">
        <v>5386</v>
      </c>
      <c r="J40" s="389">
        <v>66586</v>
      </c>
      <c r="K40" s="269">
        <v>238.38</v>
      </c>
      <c r="L40" s="170">
        <f t="shared" si="2"/>
        <v>1038.0191291215706</v>
      </c>
      <c r="M40" s="377">
        <v>1.7753468073752061E-2</v>
      </c>
      <c r="N40" s="166">
        <v>0</v>
      </c>
      <c r="O40" s="397">
        <v>0</v>
      </c>
      <c r="P40" s="269">
        <v>92708</v>
      </c>
      <c r="Q40" s="15">
        <v>22070</v>
      </c>
      <c r="R40" s="158">
        <v>0.23805928290978126</v>
      </c>
      <c r="S40" s="401">
        <v>1.7032795457606791</v>
      </c>
      <c r="T40" s="153">
        <v>19875</v>
      </c>
      <c r="U40" s="197">
        <v>19057794.849673923</v>
      </c>
      <c r="V40" s="159">
        <v>5075748.7704000007</v>
      </c>
      <c r="W40" s="159">
        <v>1467831.4992000002</v>
      </c>
      <c r="X40" s="159">
        <v>121585370.14</v>
      </c>
      <c r="Y40" s="159">
        <v>181825.08626973431</v>
      </c>
      <c r="Z40" s="159">
        <v>0</v>
      </c>
      <c r="AA40" s="155">
        <v>0</v>
      </c>
      <c r="AB40" s="159">
        <v>11944306.782184636</v>
      </c>
      <c r="AC40" s="159">
        <v>14594808.75</v>
      </c>
      <c r="AD40" s="174">
        <f>SUM(Muut[[#This Row],[Työttömyysaste]:[Työttömät ja palveluissa olevat ]])</f>
        <v>173907685.87772828</v>
      </c>
      <c r="AF40" s="62"/>
    </row>
    <row r="41" spans="1:32" s="45" customFormat="1">
      <c r="A41" s="90">
        <v>97</v>
      </c>
      <c r="B41" s="151" t="s">
        <v>40</v>
      </c>
      <c r="C41" s="395">
        <v>2062</v>
      </c>
      <c r="D41" s="134">
        <v>85.333333333333329</v>
      </c>
      <c r="E41" s="41">
        <v>847</v>
      </c>
      <c r="F41" s="332">
        <f t="shared" si="1"/>
        <v>0.10074773711137347</v>
      </c>
      <c r="G41" s="377">
        <f>Muut[[#This Row],[Keskim. työttömyysaste 2023, %]]/$F$12</f>
        <v>1.0252986641385597</v>
      </c>
      <c r="H41" s="166">
        <v>0</v>
      </c>
      <c r="I41" s="383">
        <v>10</v>
      </c>
      <c r="J41" s="389">
        <v>63</v>
      </c>
      <c r="K41" s="269">
        <v>465.11</v>
      </c>
      <c r="L41" s="170">
        <f t="shared" si="2"/>
        <v>4.4333598503579799</v>
      </c>
      <c r="M41" s="377">
        <v>4.1567659948279818</v>
      </c>
      <c r="N41" s="166">
        <v>3</v>
      </c>
      <c r="O41" s="397">
        <v>1596</v>
      </c>
      <c r="P41" s="269">
        <v>482</v>
      </c>
      <c r="Q41" s="15">
        <v>65</v>
      </c>
      <c r="R41" s="158">
        <v>0.13485477178423236</v>
      </c>
      <c r="S41" s="401">
        <v>0.96486627877206677</v>
      </c>
      <c r="T41" s="153">
        <v>123</v>
      </c>
      <c r="U41" s="197">
        <v>145962.00997012417</v>
      </c>
      <c r="V41" s="159">
        <v>0</v>
      </c>
      <c r="W41" s="159">
        <v>0</v>
      </c>
      <c r="X41" s="159">
        <v>115037.37</v>
      </c>
      <c r="Y41" s="159">
        <v>354764.09881246806</v>
      </c>
      <c r="Z41" s="159">
        <v>0</v>
      </c>
      <c r="AA41" s="155">
        <v>470883.84000000003</v>
      </c>
      <c r="AB41" s="159">
        <v>56383.967921905562</v>
      </c>
      <c r="AC41" s="159">
        <v>90322.590000000011</v>
      </c>
      <c r="AD41" s="174">
        <f>SUM(Muut[[#This Row],[Työttömyysaste]:[Työttömät ja palveluissa olevat ]])</f>
        <v>1233353.8767044977</v>
      </c>
      <c r="AF41" s="62"/>
    </row>
    <row r="42" spans="1:32" s="45" customFormat="1">
      <c r="A42" s="90">
        <v>98</v>
      </c>
      <c r="B42" s="151" t="s">
        <v>41</v>
      </c>
      <c r="C42" s="395">
        <v>22885</v>
      </c>
      <c r="D42" s="134">
        <v>740.08333333333337</v>
      </c>
      <c r="E42" s="41">
        <v>10482</v>
      </c>
      <c r="F42" s="332">
        <f t="shared" si="1"/>
        <v>7.0605164408827831E-2</v>
      </c>
      <c r="G42" s="377">
        <f>Muut[[#This Row],[Keskim. työttömyysaste 2023, %]]/$F$12</f>
        <v>0.71854100970653212</v>
      </c>
      <c r="H42" s="166">
        <v>0</v>
      </c>
      <c r="I42" s="383">
        <v>76</v>
      </c>
      <c r="J42" s="389">
        <v>732</v>
      </c>
      <c r="K42" s="269">
        <v>651.80999999999995</v>
      </c>
      <c r="L42" s="170">
        <f t="shared" si="2"/>
        <v>35.109924671299922</v>
      </c>
      <c r="M42" s="377">
        <v>0.52487835395066429</v>
      </c>
      <c r="N42" s="166">
        <v>0</v>
      </c>
      <c r="O42" s="397">
        <v>0</v>
      </c>
      <c r="P42" s="269">
        <v>6942</v>
      </c>
      <c r="Q42" s="15">
        <v>830</v>
      </c>
      <c r="R42" s="158">
        <v>0.11956208585422068</v>
      </c>
      <c r="S42" s="401">
        <v>0.85544933511857157</v>
      </c>
      <c r="T42" s="153">
        <v>1059</v>
      </c>
      <c r="U42" s="197">
        <v>1135280.7119325309</v>
      </c>
      <c r="V42" s="159">
        <v>0</v>
      </c>
      <c r="W42" s="159">
        <v>0</v>
      </c>
      <c r="X42" s="159">
        <v>1336624.68</v>
      </c>
      <c r="Y42" s="159">
        <v>497170.10437736183</v>
      </c>
      <c r="Z42" s="159">
        <v>0</v>
      </c>
      <c r="AA42" s="155">
        <v>0</v>
      </c>
      <c r="AB42" s="159">
        <v>554810.99068890244</v>
      </c>
      <c r="AC42" s="159">
        <v>777655.47000000009</v>
      </c>
      <c r="AD42" s="174">
        <f>SUM(Muut[[#This Row],[Työttömyysaste]:[Työttömät ja palveluissa olevat ]])</f>
        <v>4301541.9569987953</v>
      </c>
      <c r="AF42" s="62"/>
    </row>
    <row r="43" spans="1:32" s="45" customFormat="1">
      <c r="A43" s="90">
        <v>102</v>
      </c>
      <c r="B43" s="151" t="s">
        <v>42</v>
      </c>
      <c r="C43" s="395">
        <v>9646</v>
      </c>
      <c r="D43" s="134">
        <v>280.41666666666669</v>
      </c>
      <c r="E43" s="41">
        <v>4327</v>
      </c>
      <c r="F43" s="332">
        <f t="shared" si="1"/>
        <v>6.4806255296202139E-2</v>
      </c>
      <c r="G43" s="377">
        <f>Muut[[#This Row],[Keskim. työttömyysaste 2023, %]]/$F$12</f>
        <v>0.65952614806191423</v>
      </c>
      <c r="H43" s="166">
        <v>0</v>
      </c>
      <c r="I43" s="383">
        <v>17</v>
      </c>
      <c r="J43" s="389">
        <v>494</v>
      </c>
      <c r="K43" s="269">
        <v>532.65</v>
      </c>
      <c r="L43" s="170">
        <f t="shared" si="2"/>
        <v>18.10945273631841</v>
      </c>
      <c r="M43" s="377">
        <v>1.0176143772608646</v>
      </c>
      <c r="N43" s="166">
        <v>0</v>
      </c>
      <c r="O43" s="397">
        <v>0</v>
      </c>
      <c r="P43" s="269">
        <v>2662</v>
      </c>
      <c r="Q43" s="15">
        <v>378</v>
      </c>
      <c r="R43" s="158">
        <v>0.14199849737039819</v>
      </c>
      <c r="S43" s="401">
        <v>1.0159785963541321</v>
      </c>
      <c r="T43" s="153">
        <v>451</v>
      </c>
      <c r="U43" s="197">
        <v>439217.92803912883</v>
      </c>
      <c r="V43" s="159">
        <v>0</v>
      </c>
      <c r="W43" s="159">
        <v>0</v>
      </c>
      <c r="X43" s="159">
        <v>902039.06</v>
      </c>
      <c r="Y43" s="159">
        <v>406280.44383578299</v>
      </c>
      <c r="Z43" s="159">
        <v>0</v>
      </c>
      <c r="AA43" s="155">
        <v>0</v>
      </c>
      <c r="AB43" s="159">
        <v>277735.67117584171</v>
      </c>
      <c r="AC43" s="159">
        <v>331182.83</v>
      </c>
      <c r="AD43" s="174">
        <f>SUM(Muut[[#This Row],[Työttömyysaste]:[Työttömät ja palveluissa olevat ]])</f>
        <v>2356455.9330507535</v>
      </c>
      <c r="AF43" s="62"/>
    </row>
    <row r="44" spans="1:32" s="45" customFormat="1">
      <c r="A44" s="90">
        <v>103</v>
      </c>
      <c r="B44" s="151" t="s">
        <v>43</v>
      </c>
      <c r="C44" s="395">
        <v>2125</v>
      </c>
      <c r="D44" s="134">
        <v>87.416666666666671</v>
      </c>
      <c r="E44" s="41">
        <v>941</v>
      </c>
      <c r="F44" s="332">
        <f t="shared" si="1"/>
        <v>9.2897626638328026E-2</v>
      </c>
      <c r="G44" s="377">
        <f>Muut[[#This Row],[Keskim. työttömyysaste 2023, %]]/$F$12</f>
        <v>0.94540895135567093</v>
      </c>
      <c r="H44" s="166">
        <v>0</v>
      </c>
      <c r="I44" s="383">
        <v>4</v>
      </c>
      <c r="J44" s="389">
        <v>45</v>
      </c>
      <c r="K44" s="269">
        <v>147.96</v>
      </c>
      <c r="L44" s="170">
        <f t="shared" si="2"/>
        <v>14.36198972695323</v>
      </c>
      <c r="M44" s="377">
        <v>1.28313971943727</v>
      </c>
      <c r="N44" s="166">
        <v>0</v>
      </c>
      <c r="O44" s="397">
        <v>0</v>
      </c>
      <c r="P44" s="269">
        <v>556</v>
      </c>
      <c r="Q44" s="15">
        <v>80</v>
      </c>
      <c r="R44" s="158">
        <v>0.14388489208633093</v>
      </c>
      <c r="S44" s="401">
        <v>1.0294754761884586</v>
      </c>
      <c r="T44" s="153">
        <v>127</v>
      </c>
      <c r="U44" s="197">
        <v>138700.94725339051</v>
      </c>
      <c r="V44" s="159">
        <v>0</v>
      </c>
      <c r="W44" s="159">
        <v>0</v>
      </c>
      <c r="X44" s="159">
        <v>82169.55</v>
      </c>
      <c r="Y44" s="159">
        <v>112856.9500984558</v>
      </c>
      <c r="Z44" s="159">
        <v>0</v>
      </c>
      <c r="AA44" s="155">
        <v>0</v>
      </c>
      <c r="AB44" s="159">
        <v>61997.586864759454</v>
      </c>
      <c r="AC44" s="159">
        <v>93259.91</v>
      </c>
      <c r="AD44" s="174">
        <f>SUM(Muut[[#This Row],[Työttömyysaste]:[Työttömät ja palveluissa olevat ]])</f>
        <v>488984.94421660574</v>
      </c>
      <c r="AF44" s="62"/>
    </row>
    <row r="45" spans="1:32" s="45" customFormat="1">
      <c r="A45" s="90">
        <v>105</v>
      </c>
      <c r="B45" s="151" t="s">
        <v>44</v>
      </c>
      <c r="C45" s="395">
        <v>2063</v>
      </c>
      <c r="D45" s="134">
        <v>91.5</v>
      </c>
      <c r="E45" s="41">
        <v>765</v>
      </c>
      <c r="F45" s="332">
        <f t="shared" si="1"/>
        <v>0.11960784313725491</v>
      </c>
      <c r="G45" s="377">
        <f>Muut[[#This Row],[Keskim. työttömyysaste 2023, %]]/$F$12</f>
        <v>1.2172358933834322</v>
      </c>
      <c r="H45" s="166">
        <v>0</v>
      </c>
      <c r="I45" s="383">
        <v>4</v>
      </c>
      <c r="J45" s="389">
        <v>43</v>
      </c>
      <c r="K45" s="269">
        <v>1421.27</v>
      </c>
      <c r="L45" s="170">
        <f t="shared" si="2"/>
        <v>1.451518712137736</v>
      </c>
      <c r="M45" s="377">
        <v>12.695970995553399</v>
      </c>
      <c r="N45" s="166">
        <v>0</v>
      </c>
      <c r="O45" s="397">
        <v>0</v>
      </c>
      <c r="P45" s="269">
        <v>397</v>
      </c>
      <c r="Q45" s="15">
        <v>54</v>
      </c>
      <c r="R45" s="158">
        <v>0.13602015113350127</v>
      </c>
      <c r="S45" s="401">
        <v>0.9732043985227421</v>
      </c>
      <c r="T45" s="153">
        <v>124</v>
      </c>
      <c r="U45" s="197">
        <v>173370.32402137347</v>
      </c>
      <c r="V45" s="159">
        <v>0</v>
      </c>
      <c r="W45" s="159">
        <v>0</v>
      </c>
      <c r="X45" s="159">
        <v>78517.570000000007</v>
      </c>
      <c r="Y45" s="159">
        <v>1084078.1121007856</v>
      </c>
      <c r="Z45" s="159">
        <v>0</v>
      </c>
      <c r="AA45" s="155">
        <v>0</v>
      </c>
      <c r="AB45" s="159">
        <v>56898.803905479494</v>
      </c>
      <c r="AC45" s="159">
        <v>91056.92</v>
      </c>
      <c r="AD45" s="174">
        <f>SUM(Muut[[#This Row],[Työttömyysaste]:[Työttömät ja palveluissa olevat ]])</f>
        <v>1483921.7300276384</v>
      </c>
      <c r="AF45" s="62"/>
    </row>
    <row r="46" spans="1:32" s="45" customFormat="1">
      <c r="A46" s="90">
        <v>106</v>
      </c>
      <c r="B46" s="151" t="s">
        <v>45</v>
      </c>
      <c r="C46" s="395">
        <v>46901</v>
      </c>
      <c r="D46" s="134">
        <v>2260.3333333333335</v>
      </c>
      <c r="E46" s="41">
        <v>23028</v>
      </c>
      <c r="F46" s="332">
        <f t="shared" si="1"/>
        <v>9.8155868218400791E-2</v>
      </c>
      <c r="G46" s="377">
        <f>Muut[[#This Row],[Keskim. työttömyysaste 2023, %]]/$F$12</f>
        <v>0.99892149885643067</v>
      </c>
      <c r="H46" s="166">
        <v>0</v>
      </c>
      <c r="I46" s="383">
        <v>438</v>
      </c>
      <c r="J46" s="389">
        <v>3681</v>
      </c>
      <c r="K46" s="269">
        <v>322.69</v>
      </c>
      <c r="L46" s="170">
        <f t="shared" si="2"/>
        <v>145.3438284421581</v>
      </c>
      <c r="M46" s="377">
        <v>0.12679203283913504</v>
      </c>
      <c r="N46" s="166">
        <v>0</v>
      </c>
      <c r="O46" s="397">
        <v>0</v>
      </c>
      <c r="P46" s="269">
        <v>14912</v>
      </c>
      <c r="Q46" s="15">
        <v>2219</v>
      </c>
      <c r="R46" s="158">
        <v>0.14880633047210301</v>
      </c>
      <c r="S46" s="401">
        <v>1.0646876520622466</v>
      </c>
      <c r="T46" s="153">
        <v>3254</v>
      </c>
      <c r="U46" s="197">
        <v>3234552.8047214323</v>
      </c>
      <c r="V46" s="159">
        <v>0</v>
      </c>
      <c r="W46" s="159">
        <v>0</v>
      </c>
      <c r="X46" s="159">
        <v>6721469.1900000004</v>
      </c>
      <c r="Y46" s="159">
        <v>246132.80094127261</v>
      </c>
      <c r="Z46" s="159">
        <v>0</v>
      </c>
      <c r="AA46" s="155">
        <v>0</v>
      </c>
      <c r="AB46" s="159">
        <v>1415155.5072359862</v>
      </c>
      <c r="AC46" s="159">
        <v>2389509.8200000003</v>
      </c>
      <c r="AD46" s="174">
        <f>SUM(Muut[[#This Row],[Työttömyysaste]:[Työttömät ja palveluissa olevat ]])</f>
        <v>14006820.12289869</v>
      </c>
      <c r="AF46" s="62"/>
    </row>
    <row r="47" spans="1:32" s="45" customFormat="1">
      <c r="A47" s="90">
        <v>108</v>
      </c>
      <c r="B47" s="151" t="s">
        <v>46</v>
      </c>
      <c r="C47" s="395">
        <v>10319</v>
      </c>
      <c r="D47" s="134">
        <v>393.5</v>
      </c>
      <c r="E47" s="41">
        <v>4640</v>
      </c>
      <c r="F47" s="332">
        <f t="shared" si="1"/>
        <v>8.4806034482758627E-2</v>
      </c>
      <c r="G47" s="377">
        <f>Muut[[#This Row],[Keskim. työttömyysaste 2023, %]]/$F$12</f>
        <v>0.86306170599086374</v>
      </c>
      <c r="H47" s="166">
        <v>0</v>
      </c>
      <c r="I47" s="383">
        <v>21</v>
      </c>
      <c r="J47" s="389">
        <v>214</v>
      </c>
      <c r="K47" s="269">
        <v>463.99</v>
      </c>
      <c r="L47" s="170">
        <f t="shared" si="2"/>
        <v>22.239703441884522</v>
      </c>
      <c r="M47" s="377">
        <v>0.82862793188586481</v>
      </c>
      <c r="N47" s="166">
        <v>0</v>
      </c>
      <c r="O47" s="397">
        <v>0</v>
      </c>
      <c r="P47" s="269">
        <v>3177</v>
      </c>
      <c r="Q47" s="15">
        <v>360</v>
      </c>
      <c r="R47" s="158">
        <v>0.11331444759206799</v>
      </c>
      <c r="S47" s="401">
        <v>0.81074839201244064</v>
      </c>
      <c r="T47" s="153">
        <v>578</v>
      </c>
      <c r="U47" s="197">
        <v>614865.66569402581</v>
      </c>
      <c r="V47" s="159">
        <v>0</v>
      </c>
      <c r="W47" s="159">
        <v>0</v>
      </c>
      <c r="X47" s="159">
        <v>390761.86</v>
      </c>
      <c r="Y47" s="159">
        <v>353909.81532970059</v>
      </c>
      <c r="Z47" s="159">
        <v>0</v>
      </c>
      <c r="AA47" s="155">
        <v>0</v>
      </c>
      <c r="AB47" s="159">
        <v>237095.63270437845</v>
      </c>
      <c r="AC47" s="159">
        <v>424442.74000000005</v>
      </c>
      <c r="AD47" s="174">
        <f>SUM(Muut[[#This Row],[Työttömyysaste]:[Työttömät ja palveluissa olevat ]])</f>
        <v>2021075.713728105</v>
      </c>
      <c r="AF47" s="62"/>
    </row>
    <row r="48" spans="1:32" s="45" customFormat="1">
      <c r="A48" s="90">
        <v>109</v>
      </c>
      <c r="B48" s="151" t="s">
        <v>47</v>
      </c>
      <c r="C48" s="395">
        <v>68319</v>
      </c>
      <c r="D48" s="134">
        <v>3215.0833333333335</v>
      </c>
      <c r="E48" s="41">
        <v>31383</v>
      </c>
      <c r="F48" s="332">
        <f t="shared" si="1"/>
        <v>0.10244665370848337</v>
      </c>
      <c r="G48" s="377">
        <f>Muut[[#This Row],[Keskim. työttömyysaste 2023, %]]/$F$12</f>
        <v>1.0425883519017101</v>
      </c>
      <c r="H48" s="166">
        <v>0</v>
      </c>
      <c r="I48" s="383">
        <v>256</v>
      </c>
      <c r="J48" s="389">
        <v>4660</v>
      </c>
      <c r="K48" s="269">
        <v>1785.56</v>
      </c>
      <c r="L48" s="170">
        <f t="shared" si="2"/>
        <v>38.261945832119899</v>
      </c>
      <c r="M48" s="377">
        <v>0.48163884684959041</v>
      </c>
      <c r="N48" s="166">
        <v>0</v>
      </c>
      <c r="O48" s="397">
        <v>0</v>
      </c>
      <c r="P48" s="269">
        <v>20246</v>
      </c>
      <c r="Q48" s="15">
        <v>2604</v>
      </c>
      <c r="R48" s="158">
        <v>0.12861799861701076</v>
      </c>
      <c r="S48" s="401">
        <v>0.92024307383994308</v>
      </c>
      <c r="T48" s="153">
        <v>4519</v>
      </c>
      <c r="U48" s="197">
        <v>4917622.1030810764</v>
      </c>
      <c r="V48" s="159">
        <v>0</v>
      </c>
      <c r="W48" s="159">
        <v>0</v>
      </c>
      <c r="X48" s="159">
        <v>8509113.4000000004</v>
      </c>
      <c r="Y48" s="159">
        <v>1361941.4424019917</v>
      </c>
      <c r="Z48" s="159">
        <v>0</v>
      </c>
      <c r="AA48" s="155">
        <v>0</v>
      </c>
      <c r="AB48" s="159">
        <v>1781738.2531577582</v>
      </c>
      <c r="AC48" s="159">
        <v>3318437.27</v>
      </c>
      <c r="AD48" s="174">
        <f>SUM(Muut[[#This Row],[Työttömyysaste]:[Työttömät ja palveluissa olevat ]])</f>
        <v>19888852.468640827</v>
      </c>
      <c r="AF48" s="62"/>
    </row>
    <row r="49" spans="1:32" s="45" customFormat="1">
      <c r="A49" s="90">
        <v>111</v>
      </c>
      <c r="B49" s="151" t="s">
        <v>48</v>
      </c>
      <c r="C49" s="395">
        <v>17953</v>
      </c>
      <c r="D49" s="134">
        <v>979.58333333333337</v>
      </c>
      <c r="E49" s="41">
        <v>7448</v>
      </c>
      <c r="F49" s="332">
        <f t="shared" si="1"/>
        <v>0.13152300393841748</v>
      </c>
      <c r="G49" s="377">
        <f>Muut[[#This Row],[Keskim. työttömyysaste 2023, %]]/$F$12</f>
        <v>1.3384951772413223</v>
      </c>
      <c r="H49" s="166">
        <v>0</v>
      </c>
      <c r="I49" s="383">
        <v>40</v>
      </c>
      <c r="J49" s="389">
        <v>903</v>
      </c>
      <c r="K49" s="269">
        <v>675.97</v>
      </c>
      <c r="L49" s="170">
        <f t="shared" si="2"/>
        <v>26.558870955811649</v>
      </c>
      <c r="M49" s="377">
        <v>0.6938713433814544</v>
      </c>
      <c r="N49" s="166">
        <v>0</v>
      </c>
      <c r="O49" s="397">
        <v>0</v>
      </c>
      <c r="P49" s="269">
        <v>4392</v>
      </c>
      <c r="Q49" s="15">
        <v>853</v>
      </c>
      <c r="R49" s="158">
        <v>0.19421675774134792</v>
      </c>
      <c r="S49" s="401">
        <v>1.389592654658891</v>
      </c>
      <c r="T49" s="153">
        <v>1289</v>
      </c>
      <c r="U49" s="197">
        <v>1659031.4704306093</v>
      </c>
      <c r="V49" s="159">
        <v>0</v>
      </c>
      <c r="W49" s="159">
        <v>0</v>
      </c>
      <c r="X49" s="159">
        <v>1648868.97</v>
      </c>
      <c r="Y49" s="159">
        <v>515598.2195056309</v>
      </c>
      <c r="Z49" s="159">
        <v>0</v>
      </c>
      <c r="AA49" s="155">
        <v>0</v>
      </c>
      <c r="AB49" s="159">
        <v>707008.09537044098</v>
      </c>
      <c r="AC49" s="159">
        <v>946551.37</v>
      </c>
      <c r="AD49" s="174">
        <f>SUM(Muut[[#This Row],[Työttömyysaste]:[Työttömät ja palveluissa olevat ]])</f>
        <v>5477058.1253066817</v>
      </c>
      <c r="AF49" s="62"/>
    </row>
    <row r="50" spans="1:32" s="45" customFormat="1">
      <c r="A50" s="90">
        <v>139</v>
      </c>
      <c r="B50" s="151" t="s">
        <v>49</v>
      </c>
      <c r="C50" s="395">
        <v>9766</v>
      </c>
      <c r="D50" s="134">
        <v>489.75</v>
      </c>
      <c r="E50" s="41">
        <v>4207</v>
      </c>
      <c r="F50" s="332">
        <f t="shared" si="1"/>
        <v>0.11641312098882814</v>
      </c>
      <c r="G50" s="377">
        <f>Muut[[#This Row],[Keskim. työttömyysaste 2023, %]]/$F$12</f>
        <v>1.1847235566799803</v>
      </c>
      <c r="H50" s="166">
        <v>0</v>
      </c>
      <c r="I50" s="383">
        <v>16</v>
      </c>
      <c r="J50" s="389">
        <v>88</v>
      </c>
      <c r="K50" s="269">
        <v>1615.71</v>
      </c>
      <c r="L50" s="170">
        <f t="shared" si="2"/>
        <v>6.0444015324532252</v>
      </c>
      <c r="M50" s="377">
        <v>3.0488443512329364</v>
      </c>
      <c r="N50" s="166">
        <v>0</v>
      </c>
      <c r="O50" s="397">
        <v>0</v>
      </c>
      <c r="P50" s="269">
        <v>2735</v>
      </c>
      <c r="Q50" s="15">
        <v>265</v>
      </c>
      <c r="R50" s="158">
        <v>9.6892138939670927E-2</v>
      </c>
      <c r="S50" s="401">
        <v>0.69324916207316045</v>
      </c>
      <c r="T50" s="153">
        <v>657</v>
      </c>
      <c r="U50" s="197">
        <v>798793.50797321298</v>
      </c>
      <c r="V50" s="159">
        <v>0</v>
      </c>
      <c r="W50" s="159">
        <v>0</v>
      </c>
      <c r="X50" s="159">
        <v>160687.12</v>
      </c>
      <c r="Y50" s="159">
        <v>1232387.8267340902</v>
      </c>
      <c r="Z50" s="159">
        <v>0</v>
      </c>
      <c r="AA50" s="155">
        <v>0</v>
      </c>
      <c r="AB50" s="159">
        <v>191869.48911829578</v>
      </c>
      <c r="AC50" s="159">
        <v>482454.81000000006</v>
      </c>
      <c r="AD50" s="174">
        <f>SUM(Muut[[#This Row],[Työttömyysaste]:[Työttömät ja palveluissa olevat ]])</f>
        <v>2866192.7538255989</v>
      </c>
      <c r="AF50" s="62"/>
    </row>
    <row r="51" spans="1:32" s="45" customFormat="1">
      <c r="A51" s="90">
        <v>140</v>
      </c>
      <c r="B51" s="151" t="s">
        <v>50</v>
      </c>
      <c r="C51" s="395">
        <v>20618</v>
      </c>
      <c r="D51" s="134">
        <v>1123.0833333333333</v>
      </c>
      <c r="E51" s="41">
        <v>9329</v>
      </c>
      <c r="F51" s="332">
        <f t="shared" si="1"/>
        <v>0.12038625075928108</v>
      </c>
      <c r="G51" s="377">
        <f>Muut[[#This Row],[Keskim. työttömyysaste 2023, %]]/$F$12</f>
        <v>1.2251576623273484</v>
      </c>
      <c r="H51" s="166">
        <v>0</v>
      </c>
      <c r="I51" s="383">
        <v>8</v>
      </c>
      <c r="J51" s="389">
        <v>851</v>
      </c>
      <c r="K51" s="269">
        <v>763</v>
      </c>
      <c r="L51" s="170">
        <f t="shared" si="2"/>
        <v>27.022280471821755</v>
      </c>
      <c r="M51" s="377">
        <v>0.6819720300076263</v>
      </c>
      <c r="N51" s="166">
        <v>0</v>
      </c>
      <c r="O51" s="397">
        <v>0</v>
      </c>
      <c r="P51" s="269">
        <v>5720</v>
      </c>
      <c r="Q51" s="15">
        <v>685</v>
      </c>
      <c r="R51" s="158">
        <v>0.11975524475524475</v>
      </c>
      <c r="S51" s="401">
        <v>0.85683135896227358</v>
      </c>
      <c r="T51" s="153">
        <v>1525</v>
      </c>
      <c r="U51" s="197">
        <v>1743971.1590759787</v>
      </c>
      <c r="V51" s="159">
        <v>0</v>
      </c>
      <c r="W51" s="159">
        <v>0</v>
      </c>
      <c r="X51" s="159">
        <v>1553917.49</v>
      </c>
      <c r="Y51" s="159">
        <v>581980.62263531878</v>
      </c>
      <c r="Z51" s="159">
        <v>0</v>
      </c>
      <c r="AA51" s="155">
        <v>0</v>
      </c>
      <c r="AB51" s="159">
        <v>500658.66150044498</v>
      </c>
      <c r="AC51" s="159">
        <v>1119853.25</v>
      </c>
      <c r="AD51" s="174">
        <f>SUM(Muut[[#This Row],[Työttömyysaste]:[Työttömät ja palveluissa olevat ]])</f>
        <v>5500381.183211742</v>
      </c>
      <c r="AF51" s="62"/>
    </row>
    <row r="52" spans="1:32" s="45" customFormat="1">
      <c r="A52" s="90">
        <v>142</v>
      </c>
      <c r="B52" s="151" t="s">
        <v>51</v>
      </c>
      <c r="C52" s="395">
        <v>6444</v>
      </c>
      <c r="D52" s="134">
        <v>243.91666666666666</v>
      </c>
      <c r="E52" s="41">
        <v>2782</v>
      </c>
      <c r="F52" s="332">
        <f t="shared" si="1"/>
        <v>8.7676731368320146E-2</v>
      </c>
      <c r="G52" s="377">
        <f>Muut[[#This Row],[Keskim. työttömyysaste 2023, %]]/$F$12</f>
        <v>0.89227647315391379</v>
      </c>
      <c r="H52" s="166">
        <v>0</v>
      </c>
      <c r="I52" s="383">
        <v>14</v>
      </c>
      <c r="J52" s="389">
        <v>157</v>
      </c>
      <c r="K52" s="269">
        <v>589.87</v>
      </c>
      <c r="L52" s="170">
        <f t="shared" si="2"/>
        <v>10.924440978520691</v>
      </c>
      <c r="M52" s="377">
        <v>1.6868999983648745</v>
      </c>
      <c r="N52" s="166">
        <v>0</v>
      </c>
      <c r="O52" s="397">
        <v>0</v>
      </c>
      <c r="P52" s="269">
        <v>1655</v>
      </c>
      <c r="Q52" s="15">
        <v>230</v>
      </c>
      <c r="R52" s="158">
        <v>0.13897280966767372</v>
      </c>
      <c r="S52" s="401">
        <v>0.9943302408986413</v>
      </c>
      <c r="T52" s="153">
        <v>357</v>
      </c>
      <c r="U52" s="197">
        <v>396968.23510098387</v>
      </c>
      <c r="V52" s="159">
        <v>0</v>
      </c>
      <c r="W52" s="159">
        <v>0</v>
      </c>
      <c r="X52" s="159">
        <v>286680.43</v>
      </c>
      <c r="Y52" s="159">
        <v>449925.17676788394</v>
      </c>
      <c r="Z52" s="159">
        <v>0</v>
      </c>
      <c r="AA52" s="155">
        <v>0</v>
      </c>
      <c r="AB52" s="159">
        <v>181587.53181042292</v>
      </c>
      <c r="AC52" s="159">
        <v>262155.81</v>
      </c>
      <c r="AD52" s="174">
        <f>SUM(Muut[[#This Row],[Työttömyysaste]:[Työttömät ja palveluissa olevat ]])</f>
        <v>1577317.1836792906</v>
      </c>
      <c r="AF52" s="62"/>
    </row>
    <row r="53" spans="1:32" s="45" customFormat="1">
      <c r="A53" s="90">
        <v>143</v>
      </c>
      <c r="B53" s="151" t="s">
        <v>52</v>
      </c>
      <c r="C53" s="395">
        <v>6850</v>
      </c>
      <c r="D53" s="134">
        <v>252.16666666666666</v>
      </c>
      <c r="E53" s="41">
        <v>2743</v>
      </c>
      <c r="F53" s="332">
        <f t="shared" si="1"/>
        <v>9.1930975817231739E-2</v>
      </c>
      <c r="G53" s="377">
        <f>Muut[[#This Row],[Keskim. työttömyysaste 2023, %]]/$F$12</f>
        <v>0.93557145203335035</v>
      </c>
      <c r="H53" s="166">
        <v>0</v>
      </c>
      <c r="I53" s="383">
        <v>12</v>
      </c>
      <c r="J53" s="389">
        <v>321</v>
      </c>
      <c r="K53" s="269">
        <v>750.48</v>
      </c>
      <c r="L53" s="170">
        <f t="shared" si="2"/>
        <v>9.1274917386206162</v>
      </c>
      <c r="M53" s="377">
        <v>2.0190036865033307</v>
      </c>
      <c r="N53" s="166">
        <v>0</v>
      </c>
      <c r="O53" s="397">
        <v>0</v>
      </c>
      <c r="P53" s="269">
        <v>1789</v>
      </c>
      <c r="Q53" s="15">
        <v>265</v>
      </c>
      <c r="R53" s="158">
        <v>0.14812744550027948</v>
      </c>
      <c r="S53" s="401">
        <v>1.0598303288262123</v>
      </c>
      <c r="T53" s="153">
        <v>397</v>
      </c>
      <c r="U53" s="197">
        <v>442454.19338142028</v>
      </c>
      <c r="V53" s="159">
        <v>0</v>
      </c>
      <c r="W53" s="159">
        <v>0</v>
      </c>
      <c r="X53" s="159">
        <v>586142.79</v>
      </c>
      <c r="Y53" s="159">
        <v>572430.95370295411</v>
      </c>
      <c r="Z53" s="159">
        <v>0</v>
      </c>
      <c r="AA53" s="155">
        <v>0</v>
      </c>
      <c r="AB53" s="159">
        <v>205743.80190470378</v>
      </c>
      <c r="AC53" s="159">
        <v>291529.01</v>
      </c>
      <c r="AD53" s="174">
        <f>SUM(Muut[[#This Row],[Työttömyysaste]:[Työttömät ja palveluissa olevat ]])</f>
        <v>2098300.7489890782</v>
      </c>
      <c r="AF53" s="62"/>
    </row>
    <row r="54" spans="1:32" s="45" customFormat="1">
      <c r="A54" s="90">
        <v>145</v>
      </c>
      <c r="B54" s="151" t="s">
        <v>53</v>
      </c>
      <c r="C54" s="395">
        <v>12343</v>
      </c>
      <c r="D54" s="134">
        <v>307.58333333333331</v>
      </c>
      <c r="E54" s="41">
        <v>5706</v>
      </c>
      <c r="F54" s="332">
        <f t="shared" si="1"/>
        <v>5.390524593994625E-2</v>
      </c>
      <c r="G54" s="377">
        <f>Muut[[#This Row],[Keskim. työttömyysaste 2023, %]]/$F$12</f>
        <v>0.54858777216196219</v>
      </c>
      <c r="H54" s="166">
        <v>0</v>
      </c>
      <c r="I54" s="383">
        <v>26</v>
      </c>
      <c r="J54" s="389">
        <v>202</v>
      </c>
      <c r="K54" s="269">
        <v>576.74</v>
      </c>
      <c r="L54" s="170">
        <f t="shared" si="2"/>
        <v>21.40132468703402</v>
      </c>
      <c r="M54" s="377">
        <v>0.86108872877241005</v>
      </c>
      <c r="N54" s="166">
        <v>0</v>
      </c>
      <c r="O54" s="397">
        <v>0</v>
      </c>
      <c r="P54" s="269">
        <v>3810</v>
      </c>
      <c r="Q54" s="15">
        <v>304</v>
      </c>
      <c r="R54" s="158">
        <v>7.9790026246719159E-2</v>
      </c>
      <c r="S54" s="401">
        <v>0.57088603309474428</v>
      </c>
      <c r="T54" s="153">
        <v>468</v>
      </c>
      <c r="U54" s="197">
        <v>467484.95090873371</v>
      </c>
      <c r="V54" s="159">
        <v>0</v>
      </c>
      <c r="W54" s="159">
        <v>0</v>
      </c>
      <c r="X54" s="159">
        <v>368849.98</v>
      </c>
      <c r="Y54" s="159">
        <v>439910.22843865491</v>
      </c>
      <c r="Z54" s="159">
        <v>0</v>
      </c>
      <c r="AA54" s="155">
        <v>0</v>
      </c>
      <c r="AB54" s="159">
        <v>199696.28832588205</v>
      </c>
      <c r="AC54" s="159">
        <v>343666.44</v>
      </c>
      <c r="AD54" s="174">
        <f>SUM(Muut[[#This Row],[Työttömyysaste]:[Työttömät ja palveluissa olevat ]])</f>
        <v>1819607.8876732707</v>
      </c>
      <c r="AF54" s="62"/>
    </row>
    <row r="55" spans="1:32" s="45" customFormat="1">
      <c r="A55" s="90">
        <v>146</v>
      </c>
      <c r="B55" s="151" t="s">
        <v>54</v>
      </c>
      <c r="C55" s="395">
        <v>4406</v>
      </c>
      <c r="D55" s="134">
        <v>240.16666666666666</v>
      </c>
      <c r="E55" s="41">
        <v>1688</v>
      </c>
      <c r="F55" s="332">
        <f t="shared" si="1"/>
        <v>0.14227883096366509</v>
      </c>
      <c r="G55" s="377">
        <f>Muut[[#This Row],[Keskim. työttömyysaste 2023, %]]/$F$12</f>
        <v>1.44795604849147</v>
      </c>
      <c r="H55" s="166">
        <v>0</v>
      </c>
      <c r="I55" s="383">
        <v>11</v>
      </c>
      <c r="J55" s="389">
        <v>193</v>
      </c>
      <c r="K55" s="269">
        <v>2763.44</v>
      </c>
      <c r="L55" s="170">
        <f t="shared" si="2"/>
        <v>1.5943896013664129</v>
      </c>
      <c r="M55" s="377">
        <v>11.558303850583512</v>
      </c>
      <c r="N55" s="166">
        <v>0</v>
      </c>
      <c r="O55" s="397">
        <v>0</v>
      </c>
      <c r="P55" s="269">
        <v>907</v>
      </c>
      <c r="Q55" s="15">
        <v>160</v>
      </c>
      <c r="R55" s="158">
        <v>0.17640573318632854</v>
      </c>
      <c r="S55" s="401">
        <v>1.26215736441187</v>
      </c>
      <c r="T55" s="153">
        <v>313</v>
      </c>
      <c r="U55" s="197">
        <v>440454.09790007205</v>
      </c>
      <c r="V55" s="159">
        <v>0</v>
      </c>
      <c r="W55" s="159">
        <v>0</v>
      </c>
      <c r="X55" s="159">
        <v>352416.07</v>
      </c>
      <c r="Y55" s="159">
        <v>2107822.4532311209</v>
      </c>
      <c r="Z55" s="159">
        <v>0</v>
      </c>
      <c r="AA55" s="155">
        <v>0</v>
      </c>
      <c r="AB55" s="159">
        <v>157600.59195094713</v>
      </c>
      <c r="AC55" s="159">
        <v>229845.29</v>
      </c>
      <c r="AD55" s="174">
        <f>SUM(Muut[[#This Row],[Työttömyysaste]:[Työttömät ja palveluissa olevat ]])</f>
        <v>3288138.5030821399</v>
      </c>
      <c r="AF55" s="62"/>
    </row>
    <row r="56" spans="1:32" s="45" customFormat="1">
      <c r="A56" s="90">
        <v>148</v>
      </c>
      <c r="B56" s="151" t="s">
        <v>55</v>
      </c>
      <c r="C56" s="395">
        <v>7127</v>
      </c>
      <c r="D56" s="134">
        <v>358.66666666666669</v>
      </c>
      <c r="E56" s="41">
        <v>3479</v>
      </c>
      <c r="F56" s="332">
        <f t="shared" si="1"/>
        <v>0.10309475903037271</v>
      </c>
      <c r="G56" s="377">
        <f>Muut[[#This Row],[Keskim. työttömyysaste 2023, %]]/$F$12</f>
        <v>1.049184048637009</v>
      </c>
      <c r="H56" s="166">
        <v>0</v>
      </c>
      <c r="I56" s="383">
        <v>28</v>
      </c>
      <c r="J56" s="389">
        <v>358</v>
      </c>
      <c r="K56" s="269">
        <v>15065.87</v>
      </c>
      <c r="L56" s="170">
        <f t="shared" si="2"/>
        <v>0.473055986809922</v>
      </c>
      <c r="M56" s="377">
        <v>38.956148918179586</v>
      </c>
      <c r="N56" s="166">
        <v>0</v>
      </c>
      <c r="O56" s="397">
        <v>0</v>
      </c>
      <c r="P56" s="269">
        <v>2290</v>
      </c>
      <c r="Q56" s="15">
        <v>320</v>
      </c>
      <c r="R56" s="158">
        <v>0.13973799126637554</v>
      </c>
      <c r="S56" s="401">
        <v>0.99980500394896599</v>
      </c>
      <c r="T56" s="153">
        <v>475</v>
      </c>
      <c r="U56" s="197">
        <v>516248.99669846689</v>
      </c>
      <c r="V56" s="159">
        <v>0</v>
      </c>
      <c r="W56" s="159">
        <v>0</v>
      </c>
      <c r="X56" s="159">
        <v>653704.42000000004</v>
      </c>
      <c r="Y56" s="159">
        <v>5899730.5999999996</v>
      </c>
      <c r="Z56" s="159">
        <v>0</v>
      </c>
      <c r="AA56" s="155">
        <v>0</v>
      </c>
      <c r="AB56" s="159">
        <v>201939.79485750891</v>
      </c>
      <c r="AC56" s="159">
        <v>348806.75</v>
      </c>
      <c r="AD56" s="174">
        <f>SUM(Muut[[#This Row],[Työttömyysaste]:[Työttömät ja palveluissa olevat ]])</f>
        <v>7620430.5615559751</v>
      </c>
      <c r="AF56" s="62"/>
    </row>
    <row r="57" spans="1:32" s="45" customFormat="1">
      <c r="A57" s="90">
        <v>149</v>
      </c>
      <c r="B57" s="151" t="s">
        <v>56</v>
      </c>
      <c r="C57" s="395">
        <v>5379</v>
      </c>
      <c r="D57" s="134">
        <v>143.66666666666666</v>
      </c>
      <c r="E57" s="41">
        <v>2571</v>
      </c>
      <c r="F57" s="332">
        <f t="shared" si="1"/>
        <v>5.5879683650978861E-2</v>
      </c>
      <c r="G57" s="377">
        <f>Muut[[#This Row],[Keskim. työttömyysaste 2023, %]]/$F$12</f>
        <v>0.56868140806475798</v>
      </c>
      <c r="H57" s="166">
        <v>3</v>
      </c>
      <c r="I57" s="383">
        <v>2774</v>
      </c>
      <c r="J57" s="389">
        <v>278</v>
      </c>
      <c r="K57" s="269">
        <v>350.85</v>
      </c>
      <c r="L57" s="170">
        <f t="shared" si="2"/>
        <v>15.331338178708849</v>
      </c>
      <c r="M57" s="377">
        <v>1.2020111521899584</v>
      </c>
      <c r="N57" s="166">
        <v>3</v>
      </c>
      <c r="O57" s="397">
        <v>228</v>
      </c>
      <c r="P57" s="269">
        <v>1654</v>
      </c>
      <c r="Q57" s="15">
        <v>225</v>
      </c>
      <c r="R57" s="158">
        <v>0.13603385731559856</v>
      </c>
      <c r="S57" s="401">
        <v>0.97330246426221423</v>
      </c>
      <c r="T57" s="153">
        <v>188</v>
      </c>
      <c r="U57" s="197">
        <v>211189.03077640227</v>
      </c>
      <c r="V57" s="159">
        <v>110338.3512</v>
      </c>
      <c r="W57" s="159">
        <v>755990.45280000009</v>
      </c>
      <c r="X57" s="159">
        <v>507625.22000000003</v>
      </c>
      <c r="Y57" s="159">
        <v>267611.92850799684</v>
      </c>
      <c r="Z57" s="159">
        <v>0</v>
      </c>
      <c r="AA57" s="155">
        <v>67269.12000000001</v>
      </c>
      <c r="AB57" s="159">
        <v>148371.06469225121</v>
      </c>
      <c r="AC57" s="159">
        <v>138054.04</v>
      </c>
      <c r="AD57" s="174">
        <f>SUM(Muut[[#This Row],[Työttömyysaste]:[Työttömät ja palveluissa olevat ]])</f>
        <v>2206449.2079766504</v>
      </c>
      <c r="AF57" s="62"/>
    </row>
    <row r="58" spans="1:32" s="45" customFormat="1">
      <c r="A58" s="90">
        <v>151</v>
      </c>
      <c r="B58" s="151" t="s">
        <v>57</v>
      </c>
      <c r="C58" s="395">
        <v>1814</v>
      </c>
      <c r="D58" s="134">
        <v>37.333333333333336</v>
      </c>
      <c r="E58" s="41">
        <v>805</v>
      </c>
      <c r="F58" s="332">
        <f t="shared" si="1"/>
        <v>4.6376811594202899E-2</v>
      </c>
      <c r="G58" s="377">
        <f>Muut[[#This Row],[Keskim. työttömyysaste 2023, %]]/$F$12</f>
        <v>0.47197172202465221</v>
      </c>
      <c r="H58" s="166">
        <v>0</v>
      </c>
      <c r="I58" s="383">
        <v>14</v>
      </c>
      <c r="J58" s="389">
        <v>80</v>
      </c>
      <c r="K58" s="269">
        <v>642.4</v>
      </c>
      <c r="L58" s="170">
        <f t="shared" si="2"/>
        <v>2.823785803237858</v>
      </c>
      <c r="M58" s="377">
        <v>6.5261463697681972</v>
      </c>
      <c r="N58" s="166">
        <v>0</v>
      </c>
      <c r="O58" s="397">
        <v>0</v>
      </c>
      <c r="P58" s="269">
        <v>439</v>
      </c>
      <c r="Q58" s="15">
        <v>76</v>
      </c>
      <c r="R58" s="158">
        <v>0.17312072892938496</v>
      </c>
      <c r="S58" s="401">
        <v>1.2386536367260681</v>
      </c>
      <c r="T58" s="153">
        <v>57</v>
      </c>
      <c r="U58" s="197">
        <v>59109.058827087742</v>
      </c>
      <c r="V58" s="159">
        <v>0</v>
      </c>
      <c r="W58" s="159">
        <v>0</v>
      </c>
      <c r="X58" s="159">
        <v>146079.20000000001</v>
      </c>
      <c r="Y58" s="159">
        <v>489992.59761589608</v>
      </c>
      <c r="Z58" s="159">
        <v>0</v>
      </c>
      <c r="AA58" s="155">
        <v>0</v>
      </c>
      <c r="AB58" s="159">
        <v>63677.647533577619</v>
      </c>
      <c r="AC58" s="159">
        <v>41856.810000000005</v>
      </c>
      <c r="AD58" s="174">
        <f>SUM(Muut[[#This Row],[Työttömyysaste]:[Työttömät ja palveluissa olevat ]])</f>
        <v>800715.31397656153</v>
      </c>
      <c r="AF58" s="62"/>
    </row>
    <row r="59" spans="1:32" s="45" customFormat="1">
      <c r="A59" s="90">
        <v>152</v>
      </c>
      <c r="B59" s="151" t="s">
        <v>58</v>
      </c>
      <c r="C59" s="395">
        <v>4357</v>
      </c>
      <c r="D59" s="134">
        <v>110.75</v>
      </c>
      <c r="E59" s="41">
        <v>1902</v>
      </c>
      <c r="F59" s="332">
        <f t="shared" si="1"/>
        <v>5.8228180862250262E-2</v>
      </c>
      <c r="G59" s="377">
        <f>Muut[[#This Row],[Keskim. työttömyysaste 2023, %]]/$F$12</f>
        <v>0.59258180645075675</v>
      </c>
      <c r="H59" s="166">
        <v>0</v>
      </c>
      <c r="I59" s="383">
        <v>30</v>
      </c>
      <c r="J59" s="389">
        <v>79</v>
      </c>
      <c r="K59" s="269">
        <v>354.15</v>
      </c>
      <c r="L59" s="170">
        <f t="shared" si="2"/>
        <v>12.302696597486941</v>
      </c>
      <c r="M59" s="377">
        <v>1.4979187142246586</v>
      </c>
      <c r="N59" s="166">
        <v>0</v>
      </c>
      <c r="O59" s="397">
        <v>0</v>
      </c>
      <c r="P59" s="269">
        <v>1171</v>
      </c>
      <c r="Q59" s="15">
        <v>128</v>
      </c>
      <c r="R59" s="158">
        <v>0.10930828351836037</v>
      </c>
      <c r="S59" s="401">
        <v>0.78208487072352939</v>
      </c>
      <c r="T59" s="153">
        <v>167</v>
      </c>
      <c r="U59" s="197">
        <v>178252.92137593863</v>
      </c>
      <c r="V59" s="159">
        <v>0</v>
      </c>
      <c r="W59" s="159">
        <v>0</v>
      </c>
      <c r="X59" s="159">
        <v>144253.21</v>
      </c>
      <c r="Y59" s="159">
        <v>270129.01376972231</v>
      </c>
      <c r="Z59" s="159">
        <v>0</v>
      </c>
      <c r="AA59" s="155">
        <v>0</v>
      </c>
      <c r="AB59" s="159">
        <v>96569.79077458012</v>
      </c>
      <c r="AC59" s="159">
        <v>122633.11</v>
      </c>
      <c r="AD59" s="174">
        <f>SUM(Muut[[#This Row],[Työttömyysaste]:[Työttömät ja palveluissa olevat ]])</f>
        <v>811838.04592024104</v>
      </c>
      <c r="AF59" s="62"/>
    </row>
    <row r="60" spans="1:32" s="45" customFormat="1">
      <c r="A60" s="90">
        <v>153</v>
      </c>
      <c r="B60" s="151" t="s">
        <v>59</v>
      </c>
      <c r="C60" s="395">
        <v>24919</v>
      </c>
      <c r="D60" s="134">
        <v>1536.3333333333333</v>
      </c>
      <c r="E60" s="41">
        <v>10850</v>
      </c>
      <c r="F60" s="332">
        <f t="shared" si="1"/>
        <v>0.14159754224270352</v>
      </c>
      <c r="G60" s="377">
        <f>Muut[[#This Row],[Keskim. työttömyysaste 2023, %]]/$F$12</f>
        <v>1.4410226479454868</v>
      </c>
      <c r="H60" s="166">
        <v>0</v>
      </c>
      <c r="I60" s="383">
        <v>29</v>
      </c>
      <c r="J60" s="389">
        <v>2136</v>
      </c>
      <c r="K60" s="269">
        <v>154.99</v>
      </c>
      <c r="L60" s="170">
        <f t="shared" si="2"/>
        <v>160.77811471707852</v>
      </c>
      <c r="M60" s="377">
        <v>0.11462032317789192</v>
      </c>
      <c r="N60" s="166">
        <v>0</v>
      </c>
      <c r="O60" s="397">
        <v>0</v>
      </c>
      <c r="P60" s="269">
        <v>7026</v>
      </c>
      <c r="Q60" s="15">
        <v>1084</v>
      </c>
      <c r="R60" s="158">
        <v>0.15428408767435239</v>
      </c>
      <c r="S60" s="401">
        <v>1.1038802081566481</v>
      </c>
      <c r="T60" s="153">
        <v>2227</v>
      </c>
      <c r="U60" s="197">
        <v>2479146.5458611646</v>
      </c>
      <c r="V60" s="159">
        <v>0</v>
      </c>
      <c r="W60" s="159">
        <v>0</v>
      </c>
      <c r="X60" s="159">
        <v>3900314.64</v>
      </c>
      <c r="Y60" s="159">
        <v>118219.10445904071</v>
      </c>
      <c r="Z60" s="159">
        <v>0</v>
      </c>
      <c r="AA60" s="155">
        <v>0</v>
      </c>
      <c r="AB60" s="159">
        <v>779565.12630595325</v>
      </c>
      <c r="AC60" s="159">
        <v>1635352.9100000001</v>
      </c>
      <c r="AD60" s="174">
        <f>SUM(Muut[[#This Row],[Työttömyysaste]:[Työttömät ja palveluissa olevat ]])</f>
        <v>8912598.3266261593</v>
      </c>
      <c r="AF60" s="62"/>
    </row>
    <row r="61" spans="1:32" s="45" customFormat="1">
      <c r="A61" s="90">
        <v>165</v>
      </c>
      <c r="B61" s="151" t="s">
        <v>60</v>
      </c>
      <c r="C61" s="395">
        <v>16123</v>
      </c>
      <c r="D61" s="134">
        <v>590.08333333333337</v>
      </c>
      <c r="E61" s="41">
        <v>7647</v>
      </c>
      <c r="F61" s="332">
        <f t="shared" si="1"/>
        <v>7.7165337169260287E-2</v>
      </c>
      <c r="G61" s="377">
        <f>Muut[[#This Row],[Keskim. työttömyysaste 2023, %]]/$F$12</f>
        <v>0.78530316795088084</v>
      </c>
      <c r="H61" s="166">
        <v>0</v>
      </c>
      <c r="I61" s="383">
        <v>67</v>
      </c>
      <c r="J61" s="389">
        <v>612</v>
      </c>
      <c r="K61" s="269">
        <v>547.45000000000005</v>
      </c>
      <c r="L61" s="170">
        <f t="shared" si="2"/>
        <v>29.451091423874324</v>
      </c>
      <c r="M61" s="377">
        <v>0.62573027272818937</v>
      </c>
      <c r="N61" s="166">
        <v>0</v>
      </c>
      <c r="O61" s="397">
        <v>0</v>
      </c>
      <c r="P61" s="269">
        <v>5040</v>
      </c>
      <c r="Q61" s="15">
        <v>645</v>
      </c>
      <c r="R61" s="158">
        <v>0.12797619047619047</v>
      </c>
      <c r="S61" s="401">
        <v>0.91565102993726444</v>
      </c>
      <c r="T61" s="153">
        <v>864</v>
      </c>
      <c r="U61" s="197">
        <v>874146.02312324673</v>
      </c>
      <c r="V61" s="159">
        <v>0</v>
      </c>
      <c r="W61" s="159">
        <v>0</v>
      </c>
      <c r="X61" s="159">
        <v>1117505.8800000001</v>
      </c>
      <c r="Y61" s="159">
        <v>417569.18985806714</v>
      </c>
      <c r="Z61" s="159">
        <v>0</v>
      </c>
      <c r="AA61" s="155">
        <v>0</v>
      </c>
      <c r="AB61" s="159">
        <v>418384.59768792905</v>
      </c>
      <c r="AC61" s="159">
        <v>634461.12</v>
      </c>
      <c r="AD61" s="174">
        <f>SUM(Muut[[#This Row],[Työttömyysaste]:[Työttömät ja palveluissa olevat ]])</f>
        <v>3462066.8106692433</v>
      </c>
      <c r="AF61" s="62"/>
    </row>
    <row r="62" spans="1:32" s="45" customFormat="1">
      <c r="A62" s="90">
        <v>167</v>
      </c>
      <c r="B62" s="151" t="s">
        <v>61</v>
      </c>
      <c r="C62" s="395">
        <v>78062</v>
      </c>
      <c r="D62" s="134">
        <v>4851.333333333333</v>
      </c>
      <c r="E62" s="41">
        <v>35544</v>
      </c>
      <c r="F62" s="332">
        <f t="shared" si="1"/>
        <v>0.13648810863530647</v>
      </c>
      <c r="G62" s="377">
        <f>Muut[[#This Row],[Keskim. työttömyysaste 2023, %]]/$F$12</f>
        <v>1.3890245028518888</v>
      </c>
      <c r="H62" s="166">
        <v>0</v>
      </c>
      <c r="I62" s="383">
        <v>84</v>
      </c>
      <c r="J62" s="389">
        <v>5753</v>
      </c>
      <c r="K62" s="269">
        <v>2381.8200000000002</v>
      </c>
      <c r="L62" s="170">
        <f t="shared" si="2"/>
        <v>32.774097119009831</v>
      </c>
      <c r="M62" s="377">
        <v>0.5622867169120197</v>
      </c>
      <c r="N62" s="166">
        <v>0</v>
      </c>
      <c r="O62" s="397">
        <v>0</v>
      </c>
      <c r="P62" s="269">
        <v>22685</v>
      </c>
      <c r="Q62" s="15">
        <v>2376</v>
      </c>
      <c r="R62" s="158">
        <v>0.10473881419440159</v>
      </c>
      <c r="S62" s="401">
        <v>0.74939098229646273</v>
      </c>
      <c r="T62" s="153">
        <v>6813</v>
      </c>
      <c r="U62" s="197">
        <v>7486009.3224017331</v>
      </c>
      <c r="V62" s="159">
        <v>0</v>
      </c>
      <c r="W62" s="159">
        <v>0</v>
      </c>
      <c r="X62" s="159">
        <v>10504920.470000001</v>
      </c>
      <c r="Y62" s="159">
        <v>1816740.6115403078</v>
      </c>
      <c r="Z62" s="159">
        <v>0</v>
      </c>
      <c r="AA62" s="155">
        <v>0</v>
      </c>
      <c r="AB62" s="159">
        <v>1657860.4940931504</v>
      </c>
      <c r="AC62" s="159">
        <v>5002990.29</v>
      </c>
      <c r="AD62" s="174">
        <f>SUM(Muut[[#This Row],[Työttömyysaste]:[Työttömät ja palveluissa olevat ]])</f>
        <v>26468521.18803519</v>
      </c>
      <c r="AF62" s="62"/>
    </row>
    <row r="63" spans="1:32" s="45" customFormat="1">
      <c r="A63" s="90">
        <v>169</v>
      </c>
      <c r="B63" s="151" t="s">
        <v>62</v>
      </c>
      <c r="C63" s="395">
        <v>4916</v>
      </c>
      <c r="D63" s="134">
        <v>165</v>
      </c>
      <c r="E63" s="41">
        <v>2309</v>
      </c>
      <c r="F63" s="332">
        <f t="shared" si="1"/>
        <v>7.1459506279774793E-2</v>
      </c>
      <c r="G63" s="377">
        <f>Muut[[#This Row],[Keskim. työttömyysaste 2023, %]]/$F$12</f>
        <v>0.72723555316839883</v>
      </c>
      <c r="H63" s="166">
        <v>0</v>
      </c>
      <c r="I63" s="383">
        <v>22</v>
      </c>
      <c r="J63" s="389">
        <v>172</v>
      </c>
      <c r="K63" s="269">
        <v>180.42</v>
      </c>
      <c r="L63" s="170">
        <f t="shared" si="2"/>
        <v>27.247533532867756</v>
      </c>
      <c r="M63" s="377">
        <v>0.67633422476842286</v>
      </c>
      <c r="N63" s="166">
        <v>0</v>
      </c>
      <c r="O63" s="397">
        <v>0</v>
      </c>
      <c r="P63" s="269">
        <v>1380</v>
      </c>
      <c r="Q63" s="15">
        <v>201</v>
      </c>
      <c r="R63" s="158">
        <v>0.14565217391304347</v>
      </c>
      <c r="S63" s="401">
        <v>1.0421201206242516</v>
      </c>
      <c r="T63" s="153">
        <v>248</v>
      </c>
      <c r="U63" s="197">
        <v>246824.21217610865</v>
      </c>
      <c r="V63" s="159">
        <v>0</v>
      </c>
      <c r="W63" s="159">
        <v>0</v>
      </c>
      <c r="X63" s="159">
        <v>314070.28000000003</v>
      </c>
      <c r="Y63" s="159">
        <v>137615.91603651925</v>
      </c>
      <c r="Z63" s="159">
        <v>0</v>
      </c>
      <c r="AA63" s="155">
        <v>0</v>
      </c>
      <c r="AB63" s="159">
        <v>145187.59161810321</v>
      </c>
      <c r="AC63" s="159">
        <v>182113.84</v>
      </c>
      <c r="AD63" s="174">
        <f>SUM(Muut[[#This Row],[Työttömyysaste]:[Työttömät ja palveluissa olevat ]])</f>
        <v>1025811.839830731</v>
      </c>
      <c r="AF63" s="62"/>
    </row>
    <row r="64" spans="1:32" s="45" customFormat="1">
      <c r="A64" s="90">
        <v>171</v>
      </c>
      <c r="B64" s="151" t="s">
        <v>63</v>
      </c>
      <c r="C64" s="395">
        <v>4590</v>
      </c>
      <c r="D64" s="134">
        <v>167.75</v>
      </c>
      <c r="E64" s="41">
        <v>1960</v>
      </c>
      <c r="F64" s="332">
        <f t="shared" si="1"/>
        <v>8.558673469387755E-2</v>
      </c>
      <c r="G64" s="377">
        <f>Muut[[#This Row],[Keskim. työttömyysaste 2023, %]]/$F$12</f>
        <v>0.87100680636237937</v>
      </c>
      <c r="H64" s="166">
        <v>0</v>
      </c>
      <c r="I64" s="383">
        <v>17</v>
      </c>
      <c r="J64" s="389">
        <v>262</v>
      </c>
      <c r="K64" s="269">
        <v>574.85</v>
      </c>
      <c r="L64" s="170">
        <f t="shared" si="2"/>
        <v>7.9846916586935723</v>
      </c>
      <c r="M64" s="377">
        <v>2.3079713352160827</v>
      </c>
      <c r="N64" s="166">
        <v>0</v>
      </c>
      <c r="O64" s="397">
        <v>0</v>
      </c>
      <c r="P64" s="269">
        <v>1257</v>
      </c>
      <c r="Q64" s="15">
        <v>173</v>
      </c>
      <c r="R64" s="158">
        <v>0.13762927605409706</v>
      </c>
      <c r="S64" s="401">
        <v>0.98471745329768756</v>
      </c>
      <c r="T64" s="153">
        <v>253</v>
      </c>
      <c r="U64" s="197">
        <v>276016.48249267734</v>
      </c>
      <c r="V64" s="159">
        <v>0</v>
      </c>
      <c r="W64" s="159">
        <v>0</v>
      </c>
      <c r="X64" s="159">
        <v>478409.38</v>
      </c>
      <c r="Y64" s="159">
        <v>438468.62506148487</v>
      </c>
      <c r="Z64" s="159">
        <v>0</v>
      </c>
      <c r="AA64" s="155">
        <v>0</v>
      </c>
      <c r="AB64" s="159">
        <v>128092.63715543518</v>
      </c>
      <c r="AC64" s="159">
        <v>185785.49000000002</v>
      </c>
      <c r="AD64" s="174">
        <f>SUM(Muut[[#This Row],[Työttömyysaste]:[Työttömät ja palveluissa olevat ]])</f>
        <v>1506772.6147095975</v>
      </c>
      <c r="AF64" s="62"/>
    </row>
    <row r="65" spans="1:32" s="45" customFormat="1">
      <c r="A65" s="90">
        <v>172</v>
      </c>
      <c r="B65" s="151" t="s">
        <v>64</v>
      </c>
      <c r="C65" s="395">
        <v>4079</v>
      </c>
      <c r="D65" s="134">
        <v>202.83333333333334</v>
      </c>
      <c r="E65" s="41">
        <v>1644</v>
      </c>
      <c r="F65" s="332">
        <f t="shared" si="1"/>
        <v>0.12337793998377941</v>
      </c>
      <c r="G65" s="377">
        <f>Muut[[#This Row],[Keskim. työttömyysaste 2023, %]]/$F$12</f>
        <v>1.2556037552455939</v>
      </c>
      <c r="H65" s="166">
        <v>0</v>
      </c>
      <c r="I65" s="383">
        <v>11</v>
      </c>
      <c r="J65" s="389">
        <v>120</v>
      </c>
      <c r="K65" s="269">
        <v>867.06</v>
      </c>
      <c r="L65" s="170">
        <f t="shared" si="2"/>
        <v>4.7044033861555139</v>
      </c>
      <c r="M65" s="377">
        <v>3.9172745098850097</v>
      </c>
      <c r="N65" s="166">
        <v>3</v>
      </c>
      <c r="O65" s="397">
        <v>244</v>
      </c>
      <c r="P65" s="269">
        <v>948</v>
      </c>
      <c r="Q65" s="15">
        <v>162</v>
      </c>
      <c r="R65" s="158">
        <v>0.17088607594936708</v>
      </c>
      <c r="S65" s="401">
        <v>1.2226650196630651</v>
      </c>
      <c r="T65" s="153">
        <v>265</v>
      </c>
      <c r="U65" s="197">
        <v>353595.79682633362</v>
      </c>
      <c r="V65" s="159">
        <v>0</v>
      </c>
      <c r="W65" s="159">
        <v>0</v>
      </c>
      <c r="X65" s="159">
        <v>219118.8</v>
      </c>
      <c r="Y65" s="159">
        <v>661352.71122172929</v>
      </c>
      <c r="Z65" s="159">
        <v>0</v>
      </c>
      <c r="AA65" s="155">
        <v>71989.760000000009</v>
      </c>
      <c r="AB65" s="159">
        <v>141338.6824349279</v>
      </c>
      <c r="AC65" s="159">
        <v>194597.45</v>
      </c>
      <c r="AD65" s="174">
        <f>SUM(Muut[[#This Row],[Työttömyysaste]:[Työttömät ja palveluissa olevat ]])</f>
        <v>1641993.2004829908</v>
      </c>
      <c r="AF65" s="62"/>
    </row>
    <row r="66" spans="1:32" s="45" customFormat="1">
      <c r="A66" s="90">
        <v>176</v>
      </c>
      <c r="B66" s="151" t="s">
        <v>65</v>
      </c>
      <c r="C66" s="395">
        <v>4259</v>
      </c>
      <c r="D66" s="134">
        <v>273.5</v>
      </c>
      <c r="E66" s="41">
        <v>1663</v>
      </c>
      <c r="F66" s="332">
        <f t="shared" si="1"/>
        <v>0.16446181599518941</v>
      </c>
      <c r="G66" s="377">
        <f>Muut[[#This Row],[Keskim. työttömyysaste 2023, %]]/$F$12</f>
        <v>1.6737098527112568</v>
      </c>
      <c r="H66" s="166">
        <v>0</v>
      </c>
      <c r="I66" s="383">
        <v>2</v>
      </c>
      <c r="J66" s="389">
        <v>136</v>
      </c>
      <c r="K66" s="269">
        <v>1501.63</v>
      </c>
      <c r="L66" s="170">
        <f t="shared" si="2"/>
        <v>2.8362512736160039</v>
      </c>
      <c r="M66" s="377">
        <v>6.497463620460139</v>
      </c>
      <c r="N66" s="166">
        <v>3</v>
      </c>
      <c r="O66" s="397">
        <v>182</v>
      </c>
      <c r="P66" s="269">
        <v>911</v>
      </c>
      <c r="Q66" s="15">
        <v>161</v>
      </c>
      <c r="R66" s="158">
        <v>0.17672886937431395</v>
      </c>
      <c r="S66" s="401">
        <v>1.26446935683982</v>
      </c>
      <c r="T66" s="153">
        <v>357</v>
      </c>
      <c r="U66" s="197">
        <v>492139.92133661779</v>
      </c>
      <c r="V66" s="159">
        <v>0</v>
      </c>
      <c r="W66" s="159">
        <v>0</v>
      </c>
      <c r="X66" s="159">
        <v>248334.64</v>
      </c>
      <c r="Y66" s="159">
        <v>1145372.9519893494</v>
      </c>
      <c r="Z66" s="159">
        <v>0</v>
      </c>
      <c r="AA66" s="155">
        <v>53697.280000000006</v>
      </c>
      <c r="AB66" s="159">
        <v>152621.52723872769</v>
      </c>
      <c r="AC66" s="159">
        <v>262155.81</v>
      </c>
      <c r="AD66" s="174">
        <f>SUM(Muut[[#This Row],[Työttömyysaste]:[Työttömät ja palveluissa olevat ]])</f>
        <v>2354322.1305646952</v>
      </c>
      <c r="AF66" s="62"/>
    </row>
    <row r="67" spans="1:32" s="45" customFormat="1">
      <c r="A67" s="90">
        <v>177</v>
      </c>
      <c r="B67" s="151" t="s">
        <v>66</v>
      </c>
      <c r="C67" s="395">
        <v>1708</v>
      </c>
      <c r="D67" s="134">
        <v>51.916666666666664</v>
      </c>
      <c r="E67" s="41">
        <v>748</v>
      </c>
      <c r="F67" s="332">
        <f t="shared" si="1"/>
        <v>6.9407308377896604E-2</v>
      </c>
      <c r="G67" s="377">
        <f>Muut[[#This Row],[Keskim. työttömyysaste 2023, %]]/$F$12</f>
        <v>0.70635056033706978</v>
      </c>
      <c r="H67" s="166">
        <v>0</v>
      </c>
      <c r="I67" s="383">
        <v>4</v>
      </c>
      <c r="J67" s="389">
        <v>29</v>
      </c>
      <c r="K67" s="269">
        <v>258.48</v>
      </c>
      <c r="L67" s="170">
        <f t="shared" si="2"/>
        <v>6.6078613432373876</v>
      </c>
      <c r="M67" s="377">
        <v>2.7888659449042073</v>
      </c>
      <c r="N67" s="166">
        <v>0</v>
      </c>
      <c r="O67" s="397">
        <v>0</v>
      </c>
      <c r="P67" s="269">
        <v>462</v>
      </c>
      <c r="Q67" s="15">
        <v>72</v>
      </c>
      <c r="R67" s="158">
        <v>0.15584415584415584</v>
      </c>
      <c r="S67" s="401">
        <v>1.1150422690145123</v>
      </c>
      <c r="T67" s="153">
        <v>83</v>
      </c>
      <c r="U67" s="197">
        <v>83293.08410712659</v>
      </c>
      <c r="V67" s="159">
        <v>0</v>
      </c>
      <c r="W67" s="159">
        <v>0</v>
      </c>
      <c r="X67" s="159">
        <v>52953.71</v>
      </c>
      <c r="Y67" s="159">
        <v>197156.42377297144</v>
      </c>
      <c r="Z67" s="159">
        <v>0</v>
      </c>
      <c r="AA67" s="155">
        <v>0</v>
      </c>
      <c r="AB67" s="159">
        <v>53973.30881981214</v>
      </c>
      <c r="AC67" s="159">
        <v>60949.390000000007</v>
      </c>
      <c r="AD67" s="174">
        <f>SUM(Muut[[#This Row],[Työttömyysaste]:[Työttömät ja palveluissa olevat ]])</f>
        <v>448325.91669991019</v>
      </c>
      <c r="AF67" s="62"/>
    </row>
    <row r="68" spans="1:32" s="45" customFormat="1">
      <c r="A68" s="90">
        <v>178</v>
      </c>
      <c r="B68" s="151" t="s">
        <v>67</v>
      </c>
      <c r="C68" s="395">
        <v>5734</v>
      </c>
      <c r="D68" s="134">
        <v>179.25</v>
      </c>
      <c r="E68" s="41">
        <v>2378</v>
      </c>
      <c r="F68" s="332">
        <f t="shared" si="1"/>
        <v>7.5378469301934398E-2</v>
      </c>
      <c r="G68" s="377">
        <f>Muut[[#This Row],[Keskim. työttömyysaste 2023, %]]/$F$12</f>
        <v>0.76711840976285284</v>
      </c>
      <c r="H68" s="166">
        <v>0</v>
      </c>
      <c r="I68" s="383">
        <v>14</v>
      </c>
      <c r="J68" s="389">
        <v>226</v>
      </c>
      <c r="K68" s="269">
        <v>1163.5</v>
      </c>
      <c r="L68" s="170">
        <f t="shared" si="2"/>
        <v>4.9282337773957883</v>
      </c>
      <c r="M68" s="377">
        <v>3.739359839894163</v>
      </c>
      <c r="N68" s="166">
        <v>0</v>
      </c>
      <c r="O68" s="397">
        <v>0</v>
      </c>
      <c r="P68" s="269">
        <v>1333</v>
      </c>
      <c r="Q68" s="15">
        <v>170</v>
      </c>
      <c r="R68" s="158">
        <v>0.12753188297074269</v>
      </c>
      <c r="S68" s="401">
        <v>0.91247207435608702</v>
      </c>
      <c r="T68" s="153">
        <v>267</v>
      </c>
      <c r="U68" s="197">
        <v>303683.27662749693</v>
      </c>
      <c r="V68" s="159">
        <v>0</v>
      </c>
      <c r="W68" s="159">
        <v>0</v>
      </c>
      <c r="X68" s="159">
        <v>412673.74</v>
      </c>
      <c r="Y68" s="159">
        <v>887463.2430356401</v>
      </c>
      <c r="Z68" s="159">
        <v>0</v>
      </c>
      <c r="AA68" s="155">
        <v>0</v>
      </c>
      <c r="AB68" s="159">
        <v>148278.13553930016</v>
      </c>
      <c r="AC68" s="159">
        <v>196066.11000000002</v>
      </c>
      <c r="AD68" s="174">
        <f>SUM(Muut[[#This Row],[Työttömyysaste]:[Työttömät ja palveluissa olevat ]])</f>
        <v>1948164.5052024375</v>
      </c>
      <c r="AF68" s="62"/>
    </row>
    <row r="69" spans="1:32" s="45" customFormat="1">
      <c r="A69" s="90">
        <v>179</v>
      </c>
      <c r="B69" s="151" t="s">
        <v>68</v>
      </c>
      <c r="C69" s="395">
        <v>147746</v>
      </c>
      <c r="D69" s="134">
        <v>9048.9166666666661</v>
      </c>
      <c r="E69" s="41">
        <v>70552</v>
      </c>
      <c r="F69" s="332">
        <f t="shared" si="1"/>
        <v>0.12825882564160712</v>
      </c>
      <c r="G69" s="377">
        <f>Muut[[#This Row],[Keskim. työttömyysaste 2023, %]]/$F$12</f>
        <v>1.305275992938155</v>
      </c>
      <c r="H69" s="166">
        <v>0</v>
      </c>
      <c r="I69" s="383">
        <v>292</v>
      </c>
      <c r="J69" s="389">
        <v>10003</v>
      </c>
      <c r="K69" s="269">
        <v>1171.03</v>
      </c>
      <c r="L69" s="170">
        <f t="shared" si="2"/>
        <v>126.16756188996013</v>
      </c>
      <c r="M69" s="377">
        <v>0.14606321302203254</v>
      </c>
      <c r="N69" s="166">
        <v>3</v>
      </c>
      <c r="O69" s="397">
        <v>432</v>
      </c>
      <c r="P69" s="269">
        <v>47034</v>
      </c>
      <c r="Q69" s="15">
        <v>4290</v>
      </c>
      <c r="R69" s="158">
        <v>9.1210613598673301E-2</v>
      </c>
      <c r="S69" s="401">
        <v>0.65259867458215315</v>
      </c>
      <c r="T69" s="153">
        <v>13154</v>
      </c>
      <c r="U69" s="197">
        <v>13314316.145106316</v>
      </c>
      <c r="V69" s="159">
        <v>0</v>
      </c>
      <c r="W69" s="159">
        <v>0</v>
      </c>
      <c r="X69" s="159">
        <v>18265377.969999999</v>
      </c>
      <c r="Y69" s="159">
        <v>893206.77395103185</v>
      </c>
      <c r="Z69" s="159">
        <v>0</v>
      </c>
      <c r="AA69" s="155">
        <v>127457.28000000001</v>
      </c>
      <c r="AB69" s="159">
        <v>2732510.0325782513</v>
      </c>
      <c r="AC69" s="159">
        <v>9659376.8200000003</v>
      </c>
      <c r="AD69" s="174">
        <f>SUM(Muut[[#This Row],[Työttömyysaste]:[Työttömät ja palveluissa olevat ]])</f>
        <v>44992245.021635599</v>
      </c>
      <c r="AF69" s="62"/>
    </row>
    <row r="70" spans="1:32" s="45" customFormat="1">
      <c r="A70" s="90">
        <v>181</v>
      </c>
      <c r="B70" s="151" t="s">
        <v>69</v>
      </c>
      <c r="C70" s="395">
        <v>1682</v>
      </c>
      <c r="D70" s="134">
        <v>49.25</v>
      </c>
      <c r="E70" s="41">
        <v>720</v>
      </c>
      <c r="F70" s="332">
        <f t="shared" si="1"/>
        <v>6.8402777777777785E-2</v>
      </c>
      <c r="G70" s="377">
        <f>Muut[[#This Row],[Keskim. työttömyysaste 2023, %]]/$F$12</f>
        <v>0.69612756266070941</v>
      </c>
      <c r="H70" s="166">
        <v>0</v>
      </c>
      <c r="I70" s="383">
        <v>3</v>
      </c>
      <c r="J70" s="389">
        <v>53</v>
      </c>
      <c r="K70" s="269">
        <v>215.08</v>
      </c>
      <c r="L70" s="170">
        <f t="shared" si="2"/>
        <v>7.8203459177980283</v>
      </c>
      <c r="M70" s="377">
        <v>2.3564736985435815</v>
      </c>
      <c r="N70" s="166">
        <v>0</v>
      </c>
      <c r="O70" s="397">
        <v>0</v>
      </c>
      <c r="P70" s="269">
        <v>450</v>
      </c>
      <c r="Q70" s="15">
        <v>63</v>
      </c>
      <c r="R70" s="158">
        <v>0.14000000000000001</v>
      </c>
      <c r="S70" s="401">
        <v>1.0016796383313704</v>
      </c>
      <c r="T70" s="153">
        <v>74</v>
      </c>
      <c r="U70" s="197">
        <v>80838.008129692447</v>
      </c>
      <c r="V70" s="159">
        <v>0</v>
      </c>
      <c r="W70" s="159">
        <v>0</v>
      </c>
      <c r="X70" s="159">
        <v>96777.47</v>
      </c>
      <c r="Y70" s="159">
        <v>164052.93881573307</v>
      </c>
      <c r="Z70" s="159">
        <v>0</v>
      </c>
      <c r="AA70" s="155">
        <v>0</v>
      </c>
      <c r="AB70" s="159">
        <v>47747.944798423167</v>
      </c>
      <c r="AC70" s="159">
        <v>54340.420000000006</v>
      </c>
      <c r="AD70" s="174">
        <f>SUM(Muut[[#This Row],[Työttömyysaste]:[Työttömät ja palveluissa olevat ]])</f>
        <v>443756.78174384864</v>
      </c>
      <c r="AF70" s="62"/>
    </row>
    <row r="71" spans="1:32" s="45" customFormat="1">
      <c r="A71" s="90">
        <v>182</v>
      </c>
      <c r="B71" s="151" t="s">
        <v>70</v>
      </c>
      <c r="C71" s="395">
        <v>19182</v>
      </c>
      <c r="D71" s="134">
        <v>1108.5833333333333</v>
      </c>
      <c r="E71" s="41">
        <v>8304</v>
      </c>
      <c r="F71" s="332">
        <f t="shared" si="1"/>
        <v>0.13349991971740527</v>
      </c>
      <c r="G71" s="377">
        <f>Muut[[#This Row],[Keskim. työttömyysaste 2023, %]]/$F$12</f>
        <v>1.3586140321697451</v>
      </c>
      <c r="H71" s="166">
        <v>0</v>
      </c>
      <c r="I71" s="383">
        <v>27</v>
      </c>
      <c r="J71" s="389">
        <v>630</v>
      </c>
      <c r="K71" s="269">
        <v>1571.41</v>
      </c>
      <c r="L71" s="170">
        <f t="shared" si="2"/>
        <v>12.206871535754512</v>
      </c>
      <c r="M71" s="377">
        <v>1.5096775135894513</v>
      </c>
      <c r="N71" s="166">
        <v>0</v>
      </c>
      <c r="O71" s="397">
        <v>0</v>
      </c>
      <c r="P71" s="269">
        <v>4885</v>
      </c>
      <c r="Q71" s="15">
        <v>586</v>
      </c>
      <c r="R71" s="158">
        <v>0.11995905834186285</v>
      </c>
      <c r="S71" s="401">
        <v>0.85828961553177807</v>
      </c>
      <c r="T71" s="153">
        <v>1584</v>
      </c>
      <c r="U71" s="197">
        <v>1799246.9085651271</v>
      </c>
      <c r="V71" s="159">
        <v>0</v>
      </c>
      <c r="W71" s="159">
        <v>0</v>
      </c>
      <c r="X71" s="159">
        <v>1150373.7</v>
      </c>
      <c r="Y71" s="159">
        <v>1198597.8639781997</v>
      </c>
      <c r="Z71" s="159">
        <v>0</v>
      </c>
      <c r="AA71" s="155">
        <v>0</v>
      </c>
      <c r="AB71" s="159">
        <v>466581.58122140024</v>
      </c>
      <c r="AC71" s="159">
        <v>1163178.72</v>
      </c>
      <c r="AD71" s="174">
        <f>SUM(Muut[[#This Row],[Työttömyysaste]:[Työttömät ja palveluissa olevat ]])</f>
        <v>5777978.7737647267</v>
      </c>
      <c r="AF71" s="62"/>
    </row>
    <row r="72" spans="1:32" s="45" customFormat="1">
      <c r="A72" s="90">
        <v>186</v>
      </c>
      <c r="B72" s="151" t="s">
        <v>71</v>
      </c>
      <c r="C72" s="395">
        <v>46490</v>
      </c>
      <c r="D72" s="134">
        <v>2309.6666666666665</v>
      </c>
      <c r="E72" s="41">
        <v>23331</v>
      </c>
      <c r="F72" s="332">
        <f t="shared" si="1"/>
        <v>9.8995613847098984E-2</v>
      </c>
      <c r="G72" s="377">
        <f>Muut[[#This Row],[Keskim. työttömyysaste 2023, %]]/$F$12</f>
        <v>1.0074674979627793</v>
      </c>
      <c r="H72" s="166">
        <v>0</v>
      </c>
      <c r="I72" s="383">
        <v>493</v>
      </c>
      <c r="J72" s="389">
        <v>3945</v>
      </c>
      <c r="K72" s="269">
        <v>37.54</v>
      </c>
      <c r="L72" s="170">
        <f t="shared" si="2"/>
        <v>1238.4123601491742</v>
      </c>
      <c r="M72" s="377">
        <v>1.4880697303912491E-2</v>
      </c>
      <c r="N72" s="166">
        <v>0</v>
      </c>
      <c r="O72" s="397">
        <v>0</v>
      </c>
      <c r="P72" s="269">
        <v>15701</v>
      </c>
      <c r="Q72" s="15">
        <v>2117</v>
      </c>
      <c r="R72" s="158">
        <v>0.13483217629450353</v>
      </c>
      <c r="S72" s="401">
        <v>0.96470461132935614</v>
      </c>
      <c r="T72" s="153">
        <v>3005</v>
      </c>
      <c r="U72" s="197">
        <v>3233637.8011991954</v>
      </c>
      <c r="V72" s="159">
        <v>0</v>
      </c>
      <c r="W72" s="159">
        <v>0</v>
      </c>
      <c r="X72" s="159">
        <v>7203530.5499999998</v>
      </c>
      <c r="Y72" s="159">
        <v>28633.751734901525</v>
      </c>
      <c r="Z72" s="159">
        <v>0</v>
      </c>
      <c r="AA72" s="155">
        <v>0</v>
      </c>
      <c r="AB72" s="159">
        <v>1271023.9865690882</v>
      </c>
      <c r="AC72" s="159">
        <v>2206661.65</v>
      </c>
      <c r="AD72" s="174">
        <f>SUM(Muut[[#This Row],[Työttömyysaste]:[Työttömät ja palveluissa olevat ]])</f>
        <v>13943487.739503184</v>
      </c>
      <c r="AF72" s="62"/>
    </row>
    <row r="73" spans="1:32" s="45" customFormat="1">
      <c r="A73" s="90">
        <v>202</v>
      </c>
      <c r="B73" s="151" t="s">
        <v>72</v>
      </c>
      <c r="C73" s="395">
        <v>36339</v>
      </c>
      <c r="D73" s="134">
        <v>969.58333333333337</v>
      </c>
      <c r="E73" s="41">
        <v>17313</v>
      </c>
      <c r="F73" s="332">
        <f t="shared" si="1"/>
        <v>5.6003196056912917E-2</v>
      </c>
      <c r="G73" s="377">
        <f>Muut[[#This Row],[Keskim. työttömyysaste 2023, %]]/$F$12</f>
        <v>0.5699383802652227</v>
      </c>
      <c r="H73" s="166">
        <v>0</v>
      </c>
      <c r="I73" s="383">
        <v>1785</v>
      </c>
      <c r="J73" s="389">
        <v>2306</v>
      </c>
      <c r="K73" s="269">
        <v>150.57</v>
      </c>
      <c r="L73" s="170">
        <f t="shared" si="2"/>
        <v>241.34289699143255</v>
      </c>
      <c r="M73" s="377">
        <v>7.6357911082247071E-2</v>
      </c>
      <c r="N73" s="166">
        <v>3</v>
      </c>
      <c r="O73" s="397">
        <v>227</v>
      </c>
      <c r="P73" s="269">
        <v>12406</v>
      </c>
      <c r="Q73" s="15">
        <v>1129</v>
      </c>
      <c r="R73" s="158">
        <v>9.1004352732548768E-2</v>
      </c>
      <c r="S73" s="401">
        <v>0.65112290808371365</v>
      </c>
      <c r="T73" s="153">
        <v>1482</v>
      </c>
      <c r="U73" s="197">
        <v>1429886.8048636157</v>
      </c>
      <c r="V73" s="159">
        <v>0</v>
      </c>
      <c r="W73" s="159">
        <v>0</v>
      </c>
      <c r="X73" s="159">
        <v>4210732.9400000004</v>
      </c>
      <c r="Y73" s="159">
        <v>114847.73571454776</v>
      </c>
      <c r="Z73" s="159">
        <v>0</v>
      </c>
      <c r="AA73" s="155">
        <v>66974.080000000002</v>
      </c>
      <c r="AB73" s="159">
        <v>670557.14281324437</v>
      </c>
      <c r="AC73" s="159">
        <v>1088277.06</v>
      </c>
      <c r="AD73" s="174">
        <f>SUM(Muut[[#This Row],[Työttömyysaste]:[Työttömät ja palveluissa olevat ]])</f>
        <v>7581275.7633914091</v>
      </c>
      <c r="AF73" s="62"/>
    </row>
    <row r="74" spans="1:32" s="45" customFormat="1">
      <c r="A74" s="90">
        <v>204</v>
      </c>
      <c r="B74" s="151" t="s">
        <v>73</v>
      </c>
      <c r="C74" s="395">
        <v>2628</v>
      </c>
      <c r="D74" s="134">
        <v>134.41666666666666</v>
      </c>
      <c r="E74" s="41">
        <v>1013</v>
      </c>
      <c r="F74" s="332">
        <f t="shared" si="1"/>
        <v>0.13269167489305692</v>
      </c>
      <c r="G74" s="377">
        <f>Muut[[#This Row],[Keskim. työttömyysaste 2023, %]]/$F$12</f>
        <v>1.3503886132922454</v>
      </c>
      <c r="H74" s="166">
        <v>0</v>
      </c>
      <c r="I74" s="383">
        <v>4</v>
      </c>
      <c r="J74" s="389">
        <v>49</v>
      </c>
      <c r="K74" s="269">
        <v>674.1</v>
      </c>
      <c r="L74" s="170">
        <f t="shared" si="2"/>
        <v>3.8985313751668889</v>
      </c>
      <c r="M74" s="377">
        <v>4.7270209459362968</v>
      </c>
      <c r="N74" s="166">
        <v>0</v>
      </c>
      <c r="O74" s="397">
        <v>0</v>
      </c>
      <c r="P74" s="269">
        <v>635</v>
      </c>
      <c r="Q74" s="15">
        <v>114</v>
      </c>
      <c r="R74" s="158">
        <v>0.17952755905511811</v>
      </c>
      <c r="S74" s="401">
        <v>1.2844935744631745</v>
      </c>
      <c r="T74" s="153">
        <v>172</v>
      </c>
      <c r="U74" s="197">
        <v>245010.6208765388</v>
      </c>
      <c r="V74" s="159">
        <v>0</v>
      </c>
      <c r="W74" s="159">
        <v>0</v>
      </c>
      <c r="X74" s="159">
        <v>89473.51</v>
      </c>
      <c r="Y74" s="159">
        <v>514171.87119065318</v>
      </c>
      <c r="Z74" s="159">
        <v>0</v>
      </c>
      <c r="AA74" s="155">
        <v>0</v>
      </c>
      <c r="AB74" s="159">
        <v>95665.895881952558</v>
      </c>
      <c r="AC74" s="159">
        <v>126304.76000000001</v>
      </c>
      <c r="AD74" s="174">
        <f>SUM(Muut[[#This Row],[Työttömyysaste]:[Työttömät ja palveluissa olevat ]])</f>
        <v>1070626.6579491445</v>
      </c>
      <c r="AF74" s="62"/>
    </row>
    <row r="75" spans="1:32" s="45" customFormat="1">
      <c r="A75" s="90">
        <v>205</v>
      </c>
      <c r="B75" s="151" t="s">
        <v>74</v>
      </c>
      <c r="C75" s="395">
        <v>36513</v>
      </c>
      <c r="D75" s="134">
        <v>1499.9166666666667</v>
      </c>
      <c r="E75" s="41">
        <v>16615</v>
      </c>
      <c r="F75" s="332">
        <f t="shared" si="1"/>
        <v>9.0274852041328124E-2</v>
      </c>
      <c r="G75" s="377">
        <f>Muut[[#This Row],[Keskim. työttömyysaste 2023, %]]/$F$12</f>
        <v>0.91871726211536764</v>
      </c>
      <c r="H75" s="166">
        <v>0</v>
      </c>
      <c r="I75" s="383">
        <v>40</v>
      </c>
      <c r="J75" s="389">
        <v>2501</v>
      </c>
      <c r="K75" s="269">
        <v>1834.83</v>
      </c>
      <c r="L75" s="170">
        <f t="shared" si="2"/>
        <v>19.899936233874527</v>
      </c>
      <c r="M75" s="377">
        <v>0.92605520199778524</v>
      </c>
      <c r="N75" s="166">
        <v>0</v>
      </c>
      <c r="O75" s="397">
        <v>0</v>
      </c>
      <c r="P75" s="269">
        <v>10708</v>
      </c>
      <c r="Q75" s="15">
        <v>1139</v>
      </c>
      <c r="R75" s="158">
        <v>0.10636906985431453</v>
      </c>
      <c r="S75" s="401">
        <v>0.76105522443795748</v>
      </c>
      <c r="T75" s="153">
        <v>2536</v>
      </c>
      <c r="U75" s="197">
        <v>2315955.3189573358</v>
      </c>
      <c r="V75" s="159">
        <v>0</v>
      </c>
      <c r="W75" s="159">
        <v>0</v>
      </c>
      <c r="X75" s="159">
        <v>4566800.99</v>
      </c>
      <c r="Y75" s="159">
        <v>1399522.288112663</v>
      </c>
      <c r="Z75" s="159">
        <v>0</v>
      </c>
      <c r="AA75" s="155">
        <v>0</v>
      </c>
      <c r="AB75" s="159">
        <v>787523.52267665509</v>
      </c>
      <c r="AC75" s="159">
        <v>1862260.8800000001</v>
      </c>
      <c r="AD75" s="174">
        <f>SUM(Muut[[#This Row],[Työttömyysaste]:[Työttömät ja palveluissa olevat ]])</f>
        <v>10932062.999746656</v>
      </c>
      <c r="AF75" s="62"/>
    </row>
    <row r="76" spans="1:32" s="45" customFormat="1">
      <c r="A76" s="90">
        <v>208</v>
      </c>
      <c r="B76" s="151" t="s">
        <v>75</v>
      </c>
      <c r="C76" s="395">
        <v>12372</v>
      </c>
      <c r="D76" s="134">
        <v>417.41666666666669</v>
      </c>
      <c r="E76" s="41">
        <v>5377</v>
      </c>
      <c r="F76" s="332">
        <f t="shared" si="1"/>
        <v>7.7630029136445358E-2</v>
      </c>
      <c r="G76" s="377">
        <f>Muut[[#This Row],[Keskim. työttömyysaste 2023, %]]/$F$12</f>
        <v>0.79003228710384088</v>
      </c>
      <c r="H76" s="166">
        <v>0</v>
      </c>
      <c r="I76" s="383">
        <v>49</v>
      </c>
      <c r="J76" s="389">
        <v>472</v>
      </c>
      <c r="K76" s="269">
        <v>924.07</v>
      </c>
      <c r="L76" s="170">
        <f t="shared" si="2"/>
        <v>13.388596102026902</v>
      </c>
      <c r="M76" s="377">
        <v>1.3764280682135026</v>
      </c>
      <c r="N76" s="166">
        <v>0</v>
      </c>
      <c r="O76" s="397">
        <v>0</v>
      </c>
      <c r="P76" s="269">
        <v>3416</v>
      </c>
      <c r="Q76" s="15">
        <v>411</v>
      </c>
      <c r="R76" s="158">
        <v>0.12031615925058547</v>
      </c>
      <c r="S76" s="401">
        <v>0.86084462059675726</v>
      </c>
      <c r="T76" s="153">
        <v>571</v>
      </c>
      <c r="U76" s="197">
        <v>674816.25364560378</v>
      </c>
      <c r="V76" s="159">
        <v>0</v>
      </c>
      <c r="W76" s="159">
        <v>0</v>
      </c>
      <c r="X76" s="159">
        <v>861867.28</v>
      </c>
      <c r="Y76" s="159">
        <v>704837.26600081136</v>
      </c>
      <c r="Z76" s="159">
        <v>0</v>
      </c>
      <c r="AA76" s="155">
        <v>0</v>
      </c>
      <c r="AB76" s="159">
        <v>301831.47576829407</v>
      </c>
      <c r="AC76" s="159">
        <v>419302.43000000005</v>
      </c>
      <c r="AD76" s="174">
        <f>SUM(Muut[[#This Row],[Työttömyysaste]:[Työttömät ja palveluissa olevat ]])</f>
        <v>2962654.7054147096</v>
      </c>
      <c r="AF76" s="62"/>
    </row>
    <row r="77" spans="1:32" s="45" customFormat="1">
      <c r="A77" s="90">
        <v>211</v>
      </c>
      <c r="B77" s="151" t="s">
        <v>76</v>
      </c>
      <c r="C77" s="395">
        <v>33473</v>
      </c>
      <c r="D77" s="134">
        <v>1102.9166666666667</v>
      </c>
      <c r="E77" s="41">
        <v>15904</v>
      </c>
      <c r="F77" s="332">
        <f t="shared" ref="F77:F140" si="3">D77/E77</f>
        <v>6.934838195841718E-2</v>
      </c>
      <c r="G77" s="377">
        <f>Muut[[#This Row],[Keskim. työttömyysaste 2023, %]]/$F$12</f>
        <v>0.70575087263283942</v>
      </c>
      <c r="H77" s="166">
        <v>0</v>
      </c>
      <c r="I77" s="383">
        <v>76</v>
      </c>
      <c r="J77" s="389">
        <v>1132</v>
      </c>
      <c r="K77" s="269">
        <v>658.01</v>
      </c>
      <c r="L77" s="170">
        <f t="shared" si="2"/>
        <v>50.870047567666148</v>
      </c>
      <c r="M77" s="377">
        <v>0.36226503315709779</v>
      </c>
      <c r="N77" s="166">
        <v>0</v>
      </c>
      <c r="O77" s="397">
        <v>0</v>
      </c>
      <c r="P77" s="269">
        <v>11216</v>
      </c>
      <c r="Q77" s="15">
        <v>881</v>
      </c>
      <c r="R77" s="158">
        <v>7.8548502139800289E-2</v>
      </c>
      <c r="S77" s="401">
        <v>0.56200310867761449</v>
      </c>
      <c r="T77" s="153">
        <v>1486</v>
      </c>
      <c r="U77" s="197">
        <v>1630973.2721734794</v>
      </c>
      <c r="V77" s="159">
        <v>0</v>
      </c>
      <c r="W77" s="159">
        <v>0</v>
      </c>
      <c r="X77" s="159">
        <v>2067020.68</v>
      </c>
      <c r="Y77" s="159">
        <v>501899.17365696729</v>
      </c>
      <c r="Z77" s="159">
        <v>0</v>
      </c>
      <c r="AA77" s="155">
        <v>0</v>
      </c>
      <c r="AB77" s="159">
        <v>533130.09780874243</v>
      </c>
      <c r="AC77" s="159">
        <v>1091214.3800000001</v>
      </c>
      <c r="AD77" s="174">
        <f>SUM(Muut[[#This Row],[Työttömyysaste]:[Työttömät ja palveluissa olevat ]])</f>
        <v>5824237.6036391882</v>
      </c>
      <c r="AF77" s="62"/>
    </row>
    <row r="78" spans="1:32" s="45" customFormat="1">
      <c r="A78" s="90">
        <v>213</v>
      </c>
      <c r="B78" s="151" t="s">
        <v>77</v>
      </c>
      <c r="C78" s="395">
        <v>5114</v>
      </c>
      <c r="D78" s="134">
        <v>185.16666666666666</v>
      </c>
      <c r="E78" s="41">
        <v>2037</v>
      </c>
      <c r="F78" s="332">
        <f t="shared" si="3"/>
        <v>9.0901652757322857E-2</v>
      </c>
      <c r="G78" s="377">
        <f>Muut[[#This Row],[Keskim. työttömyysaste 2023, %]]/$F$12</f>
        <v>0.92509614421452635</v>
      </c>
      <c r="H78" s="166">
        <v>0</v>
      </c>
      <c r="I78" s="383">
        <v>10</v>
      </c>
      <c r="J78" s="389">
        <v>143</v>
      </c>
      <c r="K78" s="269">
        <v>1068.8900000000001</v>
      </c>
      <c r="L78" s="170">
        <f t="shared" ref="L78:L141" si="4">C78/K78</f>
        <v>4.7844025110161006</v>
      </c>
      <c r="M78" s="377">
        <v>3.8517744747378977</v>
      </c>
      <c r="N78" s="166">
        <v>0</v>
      </c>
      <c r="O78" s="397">
        <v>0</v>
      </c>
      <c r="P78" s="269">
        <v>1160</v>
      </c>
      <c r="Q78" s="15">
        <v>156</v>
      </c>
      <c r="R78" s="158">
        <v>0.13448275862068965</v>
      </c>
      <c r="S78" s="401">
        <v>0.9622045786926956</v>
      </c>
      <c r="T78" s="153">
        <v>312</v>
      </c>
      <c r="U78" s="197">
        <v>326624.2136916637</v>
      </c>
      <c r="V78" s="159">
        <v>0</v>
      </c>
      <c r="W78" s="159">
        <v>0</v>
      </c>
      <c r="X78" s="159">
        <v>261116.57</v>
      </c>
      <c r="Y78" s="159">
        <v>815299.17133507971</v>
      </c>
      <c r="Z78" s="159">
        <v>0</v>
      </c>
      <c r="AA78" s="155">
        <v>0</v>
      </c>
      <c r="AB78" s="159">
        <v>139453.04086541219</v>
      </c>
      <c r="AC78" s="159">
        <v>229110.96000000002</v>
      </c>
      <c r="AD78" s="174">
        <f>SUM(Muut[[#This Row],[Työttömyysaste]:[Työttömät ja palveluissa olevat ]])</f>
        <v>1771603.9558921556</v>
      </c>
      <c r="AF78" s="62"/>
    </row>
    <row r="79" spans="1:32" s="45" customFormat="1">
      <c r="A79" s="90">
        <v>214</v>
      </c>
      <c r="B79" s="151" t="s">
        <v>78</v>
      </c>
      <c r="C79" s="395">
        <v>12394</v>
      </c>
      <c r="D79" s="134">
        <v>509.5</v>
      </c>
      <c r="E79" s="41">
        <v>5409</v>
      </c>
      <c r="F79" s="332">
        <f t="shared" si="3"/>
        <v>9.4194860417822143E-2</v>
      </c>
      <c r="G79" s="377">
        <f>Muut[[#This Row],[Keskim. työttömyysaste 2023, %]]/$F$12</f>
        <v>0.95861075716616173</v>
      </c>
      <c r="H79" s="166">
        <v>0</v>
      </c>
      <c r="I79" s="383">
        <v>13</v>
      </c>
      <c r="J79" s="389">
        <v>636</v>
      </c>
      <c r="K79" s="269">
        <v>1021.24</v>
      </c>
      <c r="L79" s="170">
        <f t="shared" si="4"/>
        <v>12.136226548117975</v>
      </c>
      <c r="M79" s="377">
        <v>1.5184653480007351</v>
      </c>
      <c r="N79" s="166">
        <v>0</v>
      </c>
      <c r="O79" s="397">
        <v>0</v>
      </c>
      <c r="P79" s="269">
        <v>3272</v>
      </c>
      <c r="Q79" s="15">
        <v>533</v>
      </c>
      <c r="R79" s="158">
        <v>0.16289731051344744</v>
      </c>
      <c r="S79" s="401">
        <v>1.1655065648590213</v>
      </c>
      <c r="T79" s="153">
        <v>841</v>
      </c>
      <c r="U79" s="197">
        <v>820265.73984687414</v>
      </c>
      <c r="V79" s="159">
        <v>0</v>
      </c>
      <c r="W79" s="159">
        <v>0</v>
      </c>
      <c r="X79" s="159">
        <v>1161329.6399999999</v>
      </c>
      <c r="Y79" s="159">
        <v>778953.98566198279</v>
      </c>
      <c r="Z79" s="159">
        <v>0</v>
      </c>
      <c r="AA79" s="155">
        <v>0</v>
      </c>
      <c r="AB79" s="159">
        <v>409379.47226020921</v>
      </c>
      <c r="AC79" s="159">
        <v>617571.53</v>
      </c>
      <c r="AD79" s="174">
        <f>SUM(Muut[[#This Row],[Työttömyysaste]:[Työttömät ja palveluissa olevat ]])</f>
        <v>3787500.3677690662</v>
      </c>
      <c r="AF79" s="62"/>
    </row>
    <row r="80" spans="1:32" s="45" customFormat="1">
      <c r="A80" s="90">
        <v>216</v>
      </c>
      <c r="B80" s="151" t="s">
        <v>79</v>
      </c>
      <c r="C80" s="395">
        <v>1217</v>
      </c>
      <c r="D80" s="134">
        <v>61.833333333333336</v>
      </c>
      <c r="E80" s="41">
        <v>497</v>
      </c>
      <c r="F80" s="332">
        <f t="shared" si="3"/>
        <v>0.12441314553990611</v>
      </c>
      <c r="G80" s="377">
        <f>Muut[[#This Row],[Keskim. työttömyysaste 2023, %]]/$F$12</f>
        <v>1.2661389285828588</v>
      </c>
      <c r="H80" s="166">
        <v>0</v>
      </c>
      <c r="I80" s="383">
        <v>1</v>
      </c>
      <c r="J80" s="389">
        <v>19</v>
      </c>
      <c r="K80" s="269">
        <v>445</v>
      </c>
      <c r="L80" s="170">
        <f t="shared" si="4"/>
        <v>2.7348314606741573</v>
      </c>
      <c r="M80" s="377">
        <v>6.7384187046981561</v>
      </c>
      <c r="N80" s="166">
        <v>0</v>
      </c>
      <c r="O80" s="397">
        <v>0</v>
      </c>
      <c r="P80" s="269">
        <v>256</v>
      </c>
      <c r="Q80" s="15">
        <v>44</v>
      </c>
      <c r="R80" s="158">
        <v>0.171875</v>
      </c>
      <c r="S80" s="401">
        <v>1.2297406274157447</v>
      </c>
      <c r="T80" s="153">
        <v>84</v>
      </c>
      <c r="U80" s="197">
        <v>106383.11989293185</v>
      </c>
      <c r="V80" s="159">
        <v>0</v>
      </c>
      <c r="W80" s="159">
        <v>0</v>
      </c>
      <c r="X80" s="159">
        <v>34693.81</v>
      </c>
      <c r="Y80" s="159">
        <v>339425.13377813483</v>
      </c>
      <c r="Z80" s="159">
        <v>0</v>
      </c>
      <c r="AA80" s="155">
        <v>0</v>
      </c>
      <c r="AB80" s="159">
        <v>42413.483696631003</v>
      </c>
      <c r="AC80" s="159">
        <v>61683.72</v>
      </c>
      <c r="AD80" s="174">
        <f>SUM(Muut[[#This Row],[Työttömyysaste]:[Työttömät ja palveluissa olevat ]])</f>
        <v>584599.26736769767</v>
      </c>
      <c r="AF80" s="62"/>
    </row>
    <row r="81" spans="1:32" s="45" customFormat="1">
      <c r="A81" s="90">
        <v>217</v>
      </c>
      <c r="B81" s="151" t="s">
        <v>80</v>
      </c>
      <c r="C81" s="395">
        <v>5246</v>
      </c>
      <c r="D81" s="134">
        <v>200.75</v>
      </c>
      <c r="E81" s="41">
        <v>2404</v>
      </c>
      <c r="F81" s="332">
        <f t="shared" si="3"/>
        <v>8.3506655574043256E-2</v>
      </c>
      <c r="G81" s="377">
        <f>Muut[[#This Row],[Keskim. työttömyysaste 2023, %]]/$F$12</f>
        <v>0.84983806943570295</v>
      </c>
      <c r="H81" s="166">
        <v>0</v>
      </c>
      <c r="I81" s="383">
        <v>19</v>
      </c>
      <c r="J81" s="389">
        <v>146</v>
      </c>
      <c r="K81" s="269">
        <v>468.02</v>
      </c>
      <c r="L81" s="170">
        <f t="shared" si="4"/>
        <v>11.2089226956113</v>
      </c>
      <c r="M81" s="377">
        <v>1.6440865879126032</v>
      </c>
      <c r="N81" s="166">
        <v>0</v>
      </c>
      <c r="O81" s="397">
        <v>0</v>
      </c>
      <c r="P81" s="269">
        <v>1436</v>
      </c>
      <c r="Q81" s="15">
        <v>199</v>
      </c>
      <c r="R81" s="158">
        <v>0.13857938718662952</v>
      </c>
      <c r="S81" s="401">
        <v>0.99151536026632847</v>
      </c>
      <c r="T81" s="153">
        <v>280</v>
      </c>
      <c r="U81" s="197">
        <v>307797.61536640959</v>
      </c>
      <c r="V81" s="159">
        <v>0</v>
      </c>
      <c r="W81" s="159">
        <v>0</v>
      </c>
      <c r="X81" s="159">
        <v>266594.53999999998</v>
      </c>
      <c r="Y81" s="159">
        <v>356983.7103614441</v>
      </c>
      <c r="Z81" s="159">
        <v>0</v>
      </c>
      <c r="AA81" s="155">
        <v>0</v>
      </c>
      <c r="AB81" s="159">
        <v>147410.21469598589</v>
      </c>
      <c r="AC81" s="159">
        <v>205612.40000000002</v>
      </c>
      <c r="AD81" s="174">
        <f>SUM(Muut[[#This Row],[Työttömyysaste]:[Työttömät ja palveluissa olevat ]])</f>
        <v>1284398.4804238398</v>
      </c>
      <c r="AF81" s="62"/>
    </row>
    <row r="82" spans="1:32" s="45" customFormat="1">
      <c r="A82" s="90">
        <v>218</v>
      </c>
      <c r="B82" s="151" t="s">
        <v>81</v>
      </c>
      <c r="C82" s="395">
        <v>1188</v>
      </c>
      <c r="D82" s="134">
        <v>33.833333333333336</v>
      </c>
      <c r="E82" s="41">
        <v>514</v>
      </c>
      <c r="F82" s="332">
        <f t="shared" si="3"/>
        <v>6.5823605706874191E-2</v>
      </c>
      <c r="G82" s="377">
        <f>Muut[[#This Row],[Keskim. työttömyysaste 2023, %]]/$F$12</f>
        <v>0.66987961154337949</v>
      </c>
      <c r="H82" s="166">
        <v>0</v>
      </c>
      <c r="I82" s="383">
        <v>20</v>
      </c>
      <c r="J82" s="389">
        <v>27</v>
      </c>
      <c r="K82" s="269">
        <v>185.58</v>
      </c>
      <c r="L82" s="170">
        <f t="shared" si="4"/>
        <v>6.4015518913676042</v>
      </c>
      <c r="M82" s="377">
        <v>2.8787456200510055</v>
      </c>
      <c r="N82" s="166">
        <v>0</v>
      </c>
      <c r="O82" s="397">
        <v>0</v>
      </c>
      <c r="P82" s="269">
        <v>280</v>
      </c>
      <c r="Q82" s="15">
        <v>46</v>
      </c>
      <c r="R82" s="158">
        <v>0.16428571428571428</v>
      </c>
      <c r="S82" s="401">
        <v>1.1754403919194651</v>
      </c>
      <c r="T82" s="153">
        <v>48</v>
      </c>
      <c r="U82" s="197">
        <v>54943.204196574457</v>
      </c>
      <c r="V82" s="159">
        <v>0</v>
      </c>
      <c r="W82" s="159">
        <v>0</v>
      </c>
      <c r="X82" s="159">
        <v>49301.73</v>
      </c>
      <c r="Y82" s="159">
        <v>141551.72208212642</v>
      </c>
      <c r="Z82" s="159">
        <v>0</v>
      </c>
      <c r="AA82" s="155">
        <v>0</v>
      </c>
      <c r="AB82" s="159">
        <v>39574.633079913197</v>
      </c>
      <c r="AC82" s="159">
        <v>35247.840000000004</v>
      </c>
      <c r="AD82" s="174">
        <f>SUM(Muut[[#This Row],[Työttömyysaste]:[Työttömät ja palveluissa olevat ]])</f>
        <v>320619.1293586141</v>
      </c>
      <c r="AF82" s="62"/>
    </row>
    <row r="83" spans="1:32" s="45" customFormat="1">
      <c r="A83" s="90">
        <v>224</v>
      </c>
      <c r="B83" s="151" t="s">
        <v>82</v>
      </c>
      <c r="C83" s="395">
        <v>8581</v>
      </c>
      <c r="D83" s="134">
        <v>425.66666666666669</v>
      </c>
      <c r="E83" s="41">
        <v>3980</v>
      </c>
      <c r="F83" s="332">
        <f t="shared" si="3"/>
        <v>0.10695142378559465</v>
      </c>
      <c r="G83" s="377">
        <f>Muut[[#This Row],[Keskim. työttömyysaste 2023, %]]/$F$12</f>
        <v>1.0884329026056896</v>
      </c>
      <c r="H83" s="166">
        <v>0</v>
      </c>
      <c r="I83" s="383">
        <v>59</v>
      </c>
      <c r="J83" s="389">
        <v>766</v>
      </c>
      <c r="K83" s="269">
        <v>242.44</v>
      </c>
      <c r="L83" s="170">
        <f t="shared" si="4"/>
        <v>35.394324368916024</v>
      </c>
      <c r="M83" s="377">
        <v>0.52066086293168323</v>
      </c>
      <c r="N83" s="166">
        <v>0</v>
      </c>
      <c r="O83" s="397">
        <v>0</v>
      </c>
      <c r="P83" s="269">
        <v>2628</v>
      </c>
      <c r="Q83" s="15">
        <v>593</v>
      </c>
      <c r="R83" s="158">
        <v>0.2256468797564688</v>
      </c>
      <c r="S83" s="401">
        <v>1.6144706064647276</v>
      </c>
      <c r="T83" s="153">
        <v>631</v>
      </c>
      <c r="U83" s="197">
        <v>644822.74258039065</v>
      </c>
      <c r="V83" s="159">
        <v>0</v>
      </c>
      <c r="W83" s="159">
        <v>0</v>
      </c>
      <c r="X83" s="159">
        <v>1398708.34</v>
      </c>
      <c r="Y83" s="159">
        <v>184921.86389476628</v>
      </c>
      <c r="Z83" s="159">
        <v>0</v>
      </c>
      <c r="AA83" s="155">
        <v>0</v>
      </c>
      <c r="AB83" s="159">
        <v>392615.90624725231</v>
      </c>
      <c r="AC83" s="159">
        <v>463362.23000000004</v>
      </c>
      <c r="AD83" s="174">
        <f>SUM(Muut[[#This Row],[Työttömyysaste]:[Työttömät ja palveluissa olevat ]])</f>
        <v>3084431.0827224092</v>
      </c>
      <c r="AF83" s="62"/>
    </row>
    <row r="84" spans="1:32" s="45" customFormat="1">
      <c r="A84" s="90">
        <v>226</v>
      </c>
      <c r="B84" s="151" t="s">
        <v>83</v>
      </c>
      <c r="C84" s="395">
        <v>3625</v>
      </c>
      <c r="D84" s="134">
        <v>160.5</v>
      </c>
      <c r="E84" s="41">
        <v>1478</v>
      </c>
      <c r="F84" s="332">
        <f t="shared" si="3"/>
        <v>0.10859269282814614</v>
      </c>
      <c r="G84" s="377">
        <f>Muut[[#This Row],[Keskim. työttömyysaste 2023, %]]/$F$12</f>
        <v>1.1051359175325632</v>
      </c>
      <c r="H84" s="166">
        <v>0</v>
      </c>
      <c r="I84" s="383">
        <v>2</v>
      </c>
      <c r="J84" s="389">
        <v>84</v>
      </c>
      <c r="K84" s="269">
        <v>887.06</v>
      </c>
      <c r="L84" s="170">
        <f t="shared" si="4"/>
        <v>4.0865330417333663</v>
      </c>
      <c r="M84" s="377">
        <v>4.5095535214336628</v>
      </c>
      <c r="N84" s="166">
        <v>0</v>
      </c>
      <c r="O84" s="397">
        <v>0</v>
      </c>
      <c r="P84" s="269">
        <v>852</v>
      </c>
      <c r="Q84" s="15">
        <v>104</v>
      </c>
      <c r="R84" s="158">
        <v>0.12206572769953052</v>
      </c>
      <c r="S84" s="401">
        <v>0.87336252839086614</v>
      </c>
      <c r="T84" s="153">
        <v>237</v>
      </c>
      <c r="U84" s="197">
        <v>276582.36608087464</v>
      </c>
      <c r="V84" s="159">
        <v>0</v>
      </c>
      <c r="W84" s="159">
        <v>0</v>
      </c>
      <c r="X84" s="159">
        <v>153383.16</v>
      </c>
      <c r="Y84" s="159">
        <v>676607.77341400506</v>
      </c>
      <c r="Z84" s="159">
        <v>0</v>
      </c>
      <c r="AA84" s="155">
        <v>0</v>
      </c>
      <c r="AB84" s="159">
        <v>89722.715947914665</v>
      </c>
      <c r="AC84" s="159">
        <v>174036.21000000002</v>
      </c>
      <c r="AD84" s="174">
        <f>SUM(Muut[[#This Row],[Työttömyysaste]:[Työttömät ja palveluissa olevat ]])</f>
        <v>1370332.2254427944</v>
      </c>
      <c r="AF84" s="62"/>
    </row>
    <row r="85" spans="1:32" s="45" customFormat="1">
      <c r="A85" s="90">
        <v>230</v>
      </c>
      <c r="B85" s="151" t="s">
        <v>84</v>
      </c>
      <c r="C85" s="395">
        <v>2216</v>
      </c>
      <c r="D85" s="134">
        <v>78</v>
      </c>
      <c r="E85" s="41">
        <v>942</v>
      </c>
      <c r="F85" s="332">
        <f t="shared" si="3"/>
        <v>8.2802547770700632E-2</v>
      </c>
      <c r="G85" s="377">
        <f>Muut[[#This Row],[Keskim. työttömyysaste 2023, %]]/$F$12</f>
        <v>0.84267244159258159</v>
      </c>
      <c r="H85" s="166">
        <v>0</v>
      </c>
      <c r="I85" s="383">
        <v>1</v>
      </c>
      <c r="J85" s="389">
        <v>109</v>
      </c>
      <c r="K85" s="269">
        <v>502.22</v>
      </c>
      <c r="L85" s="170">
        <f t="shared" si="4"/>
        <v>4.4124089044641792</v>
      </c>
      <c r="M85" s="377">
        <v>4.1765031001907058</v>
      </c>
      <c r="N85" s="166">
        <v>0</v>
      </c>
      <c r="O85" s="397">
        <v>0</v>
      </c>
      <c r="P85" s="269">
        <v>573</v>
      </c>
      <c r="Q85" s="15">
        <v>122</v>
      </c>
      <c r="R85" s="158">
        <v>0.21291448516579406</v>
      </c>
      <c r="S85" s="401">
        <v>1.5233721749741607</v>
      </c>
      <c r="T85" s="153">
        <v>134</v>
      </c>
      <c r="U85" s="197">
        <v>128922.68149449489</v>
      </c>
      <c r="V85" s="159">
        <v>0</v>
      </c>
      <c r="W85" s="159">
        <v>0</v>
      </c>
      <c r="X85" s="159">
        <v>199032.91</v>
      </c>
      <c r="Y85" s="159">
        <v>383069.8667102356</v>
      </c>
      <c r="Z85" s="159">
        <v>0</v>
      </c>
      <c r="AA85" s="155">
        <v>0</v>
      </c>
      <c r="AB85" s="159">
        <v>95669.966244309253</v>
      </c>
      <c r="AC85" s="159">
        <v>98400.22</v>
      </c>
      <c r="AD85" s="174">
        <f>SUM(Muut[[#This Row],[Työttömyysaste]:[Työttömät ja palveluissa olevat ]])</f>
        <v>905095.6444490396</v>
      </c>
      <c r="AF85" s="62"/>
    </row>
    <row r="86" spans="1:32" s="45" customFormat="1">
      <c r="A86" s="90">
        <v>231</v>
      </c>
      <c r="B86" s="151" t="s">
        <v>85</v>
      </c>
      <c r="C86" s="395">
        <v>1208</v>
      </c>
      <c r="D86" s="134">
        <v>45.75</v>
      </c>
      <c r="E86" s="41">
        <v>511</v>
      </c>
      <c r="F86" s="332">
        <f t="shared" si="3"/>
        <v>8.9530332681017608E-2</v>
      </c>
      <c r="G86" s="377">
        <f>Muut[[#This Row],[Keskim. työttömyysaste 2023, %]]/$F$12</f>
        <v>0.91114037029190365</v>
      </c>
      <c r="H86" s="166">
        <v>1</v>
      </c>
      <c r="I86" s="383">
        <v>332</v>
      </c>
      <c r="J86" s="389">
        <v>166</v>
      </c>
      <c r="K86" s="269">
        <v>10.64</v>
      </c>
      <c r="L86" s="170">
        <f t="shared" si="4"/>
        <v>113.53383458646616</v>
      </c>
      <c r="M86" s="377">
        <v>0.16231671850005927</v>
      </c>
      <c r="N86" s="166">
        <v>0</v>
      </c>
      <c r="O86" s="397">
        <v>0</v>
      </c>
      <c r="P86" s="269">
        <v>293</v>
      </c>
      <c r="Q86" s="15">
        <v>91</v>
      </c>
      <c r="R86" s="158">
        <v>0.31058020477815701</v>
      </c>
      <c r="S86" s="401">
        <v>2.2221561942504802</v>
      </c>
      <c r="T86" s="153">
        <v>62</v>
      </c>
      <c r="U86" s="197">
        <v>75989.398447263273</v>
      </c>
      <c r="V86" s="159">
        <v>24779.462400000004</v>
      </c>
      <c r="W86" s="159">
        <v>90479.030400000018</v>
      </c>
      <c r="X86" s="159">
        <v>303114.34000000003</v>
      </c>
      <c r="Y86" s="159">
        <v>8115.6930862906838</v>
      </c>
      <c r="Z86" s="159">
        <v>0</v>
      </c>
      <c r="AA86" s="155">
        <v>0</v>
      </c>
      <c r="AB86" s="159">
        <v>76074.895106430806</v>
      </c>
      <c r="AC86" s="159">
        <v>45528.46</v>
      </c>
      <c r="AD86" s="174">
        <f>SUM(Muut[[#This Row],[Työttömyysaste]:[Työttömät ja palveluissa olevat ]])</f>
        <v>624081.27943998482</v>
      </c>
      <c r="AF86" s="62"/>
    </row>
    <row r="87" spans="1:32" s="45" customFormat="1">
      <c r="A87" s="90">
        <v>232</v>
      </c>
      <c r="B87" s="151" t="s">
        <v>86</v>
      </c>
      <c r="C87" s="395">
        <v>12618</v>
      </c>
      <c r="D87" s="134">
        <v>425.91666666666669</v>
      </c>
      <c r="E87" s="41">
        <v>5586</v>
      </c>
      <c r="F87" s="332">
        <f t="shared" si="3"/>
        <v>7.6247165532879815E-2</v>
      </c>
      <c r="G87" s="377">
        <f>Muut[[#This Row],[Keskim. työttömyysaste 2023, %]]/$F$12</f>
        <v>0.77595903597112115</v>
      </c>
      <c r="H87" s="166">
        <v>0</v>
      </c>
      <c r="I87" s="383">
        <v>47</v>
      </c>
      <c r="J87" s="389">
        <v>443</v>
      </c>
      <c r="K87" s="269">
        <v>1299.01</v>
      </c>
      <c r="L87" s="170">
        <f t="shared" si="4"/>
        <v>9.7135510889061667</v>
      </c>
      <c r="M87" s="377">
        <v>1.8971887109185863</v>
      </c>
      <c r="N87" s="166">
        <v>0</v>
      </c>
      <c r="O87" s="397">
        <v>0</v>
      </c>
      <c r="P87" s="269">
        <v>3429</v>
      </c>
      <c r="Q87" s="15">
        <v>520</v>
      </c>
      <c r="R87" s="158">
        <v>0.15164771070282881</v>
      </c>
      <c r="S87" s="401">
        <v>1.085017314361356</v>
      </c>
      <c r="T87" s="153">
        <v>694</v>
      </c>
      <c r="U87" s="197">
        <v>675974.16904060438</v>
      </c>
      <c r="V87" s="159">
        <v>0</v>
      </c>
      <c r="W87" s="159">
        <v>0</v>
      </c>
      <c r="X87" s="159">
        <v>808913.57</v>
      </c>
      <c r="Y87" s="159">
        <v>990823.91691940418</v>
      </c>
      <c r="Z87" s="159">
        <v>0</v>
      </c>
      <c r="AA87" s="155">
        <v>0</v>
      </c>
      <c r="AB87" s="159">
        <v>387995.81171381241</v>
      </c>
      <c r="AC87" s="159">
        <v>509625.02</v>
      </c>
      <c r="AD87" s="174">
        <f>SUM(Muut[[#This Row],[Työttömyysaste]:[Työttömät ja palveluissa olevat ]])</f>
        <v>3373332.4876738209</v>
      </c>
      <c r="AF87" s="62"/>
    </row>
    <row r="88" spans="1:32" s="45" customFormat="1">
      <c r="A88" s="90">
        <v>233</v>
      </c>
      <c r="B88" s="151" t="s">
        <v>87</v>
      </c>
      <c r="C88" s="395">
        <v>15165</v>
      </c>
      <c r="D88" s="134">
        <v>392.16666666666669</v>
      </c>
      <c r="E88" s="41">
        <v>6481</v>
      </c>
      <c r="F88" s="332">
        <f t="shared" si="3"/>
        <v>6.0510209329835932E-2</v>
      </c>
      <c r="G88" s="377">
        <f>Muut[[#This Row],[Keskim. työttömyysaste 2023, %]]/$F$12</f>
        <v>0.61580575972680129</v>
      </c>
      <c r="H88" s="166">
        <v>0</v>
      </c>
      <c r="I88" s="383">
        <v>104</v>
      </c>
      <c r="J88" s="389">
        <v>812</v>
      </c>
      <c r="K88" s="269">
        <v>1313.85</v>
      </c>
      <c r="L88" s="170">
        <f t="shared" si="4"/>
        <v>11.542413517524832</v>
      </c>
      <c r="M88" s="377">
        <v>1.5965845826632223</v>
      </c>
      <c r="N88" s="166">
        <v>0</v>
      </c>
      <c r="O88" s="397">
        <v>0</v>
      </c>
      <c r="P88" s="269">
        <v>4075</v>
      </c>
      <c r="Q88" s="15">
        <v>533</v>
      </c>
      <c r="R88" s="158">
        <v>0.13079754601226995</v>
      </c>
      <c r="S88" s="401">
        <v>0.93583741845858093</v>
      </c>
      <c r="T88" s="153">
        <v>584</v>
      </c>
      <c r="U88" s="197">
        <v>644743.45766557939</v>
      </c>
      <c r="V88" s="159">
        <v>0</v>
      </c>
      <c r="W88" s="159">
        <v>0</v>
      </c>
      <c r="X88" s="159">
        <v>1482703.8800000001</v>
      </c>
      <c r="Y88" s="159">
        <v>1002143.1730660726</v>
      </c>
      <c r="Z88" s="159">
        <v>0</v>
      </c>
      <c r="AA88" s="155">
        <v>0</v>
      </c>
      <c r="AB88" s="159">
        <v>402200.5559391969</v>
      </c>
      <c r="AC88" s="159">
        <v>428848.72000000003</v>
      </c>
      <c r="AD88" s="174">
        <f>SUM(Muut[[#This Row],[Työttömyysaste]:[Työttömät ja palveluissa olevat ]])</f>
        <v>3960639.7866708492</v>
      </c>
      <c r="AF88" s="62"/>
    </row>
    <row r="89" spans="1:32" s="45" customFormat="1">
      <c r="A89" s="90">
        <v>235</v>
      </c>
      <c r="B89" s="151" t="s">
        <v>88</v>
      </c>
      <c r="C89" s="395">
        <v>10270</v>
      </c>
      <c r="D89" s="134">
        <v>262.83333333333331</v>
      </c>
      <c r="E89" s="41">
        <v>4783</v>
      </c>
      <c r="F89" s="332">
        <f t="shared" si="3"/>
        <v>5.4951564568959506E-2</v>
      </c>
      <c r="G89" s="377">
        <f>Muut[[#This Row],[Keskim. työttömyysaste 2023, %]]/$F$12</f>
        <v>0.55923604202240218</v>
      </c>
      <c r="H89" s="166">
        <v>1</v>
      </c>
      <c r="I89" s="383">
        <v>3124</v>
      </c>
      <c r="J89" s="389">
        <v>1113</v>
      </c>
      <c r="K89" s="269">
        <v>5.89</v>
      </c>
      <c r="L89" s="170">
        <f t="shared" si="4"/>
        <v>1743.6332767402378</v>
      </c>
      <c r="M89" s="377">
        <v>1.0568988166626476E-2</v>
      </c>
      <c r="N89" s="166">
        <v>0</v>
      </c>
      <c r="O89" s="397">
        <v>0</v>
      </c>
      <c r="P89" s="269">
        <v>3209</v>
      </c>
      <c r="Q89" s="15">
        <v>334</v>
      </c>
      <c r="R89" s="158">
        <v>0.10408226861950763</v>
      </c>
      <c r="S89" s="401">
        <v>0.74469349419640674</v>
      </c>
      <c r="T89" s="153">
        <v>365</v>
      </c>
      <c r="U89" s="197">
        <v>396521.17062439775</v>
      </c>
      <c r="V89" s="159">
        <v>210666.45600000003</v>
      </c>
      <c r="W89" s="159">
        <v>851374.97280000011</v>
      </c>
      <c r="X89" s="159">
        <v>2032326.87</v>
      </c>
      <c r="Y89" s="159">
        <v>4492.6158156251995</v>
      </c>
      <c r="Z89" s="159">
        <v>0</v>
      </c>
      <c r="AA89" s="155">
        <v>0</v>
      </c>
      <c r="AB89" s="159">
        <v>216744.38193415373</v>
      </c>
      <c r="AC89" s="159">
        <v>268030.45</v>
      </c>
      <c r="AD89" s="174">
        <f>SUM(Muut[[#This Row],[Työttömyysaste]:[Työttömät ja palveluissa olevat ]])</f>
        <v>3980156.9171741772</v>
      </c>
      <c r="AF89" s="62"/>
    </row>
    <row r="90" spans="1:32" s="45" customFormat="1">
      <c r="A90" s="90">
        <v>236</v>
      </c>
      <c r="B90" s="151" t="s">
        <v>89</v>
      </c>
      <c r="C90" s="395">
        <v>4137</v>
      </c>
      <c r="D90" s="134">
        <v>137.33333333333334</v>
      </c>
      <c r="E90" s="41">
        <v>1951</v>
      </c>
      <c r="F90" s="332">
        <f t="shared" si="3"/>
        <v>7.0391252349222624E-2</v>
      </c>
      <c r="G90" s="377">
        <f>Muut[[#This Row],[Keskim. työttömyysaste 2023, %]]/$F$12</f>
        <v>0.71636405015146154</v>
      </c>
      <c r="H90" s="166">
        <v>0</v>
      </c>
      <c r="I90" s="383">
        <v>76</v>
      </c>
      <c r="J90" s="389">
        <v>122</v>
      </c>
      <c r="K90" s="269">
        <v>353.91</v>
      </c>
      <c r="L90" s="170">
        <f t="shared" si="4"/>
        <v>11.689412562515892</v>
      </c>
      <c r="M90" s="377">
        <v>1.5765068920484229</v>
      </c>
      <c r="N90" s="166">
        <v>0</v>
      </c>
      <c r="O90" s="397">
        <v>0</v>
      </c>
      <c r="P90" s="269">
        <v>1256</v>
      </c>
      <c r="Q90" s="15">
        <v>120</v>
      </c>
      <c r="R90" s="158">
        <v>9.5541401273885357E-2</v>
      </c>
      <c r="S90" s="401">
        <v>0.68358483052641295</v>
      </c>
      <c r="T90" s="153">
        <v>199</v>
      </c>
      <c r="U90" s="197">
        <v>204606.81113090427</v>
      </c>
      <c r="V90" s="159">
        <v>0</v>
      </c>
      <c r="W90" s="159">
        <v>0</v>
      </c>
      <c r="X90" s="159">
        <v>222770.78</v>
      </c>
      <c r="Y90" s="159">
        <v>269945.95302341506</v>
      </c>
      <c r="Z90" s="159">
        <v>0</v>
      </c>
      <c r="AA90" s="155">
        <v>0</v>
      </c>
      <c r="AB90" s="159">
        <v>80145.249179779406</v>
      </c>
      <c r="AC90" s="159">
        <v>146131.67000000001</v>
      </c>
      <c r="AD90" s="174">
        <f>SUM(Muut[[#This Row],[Työttömyysaste]:[Työttömät ja palveluissa olevat ]])</f>
        <v>923600.46333409881</v>
      </c>
      <c r="AF90" s="62"/>
    </row>
    <row r="91" spans="1:32" s="45" customFormat="1">
      <c r="A91" s="90">
        <v>239</v>
      </c>
      <c r="B91" s="151" t="s">
        <v>90</v>
      </c>
      <c r="C91" s="395">
        <v>2035</v>
      </c>
      <c r="D91" s="134">
        <v>69.583333333333329</v>
      </c>
      <c r="E91" s="41">
        <v>795</v>
      </c>
      <c r="F91" s="332">
        <f t="shared" si="3"/>
        <v>8.7526205450733752E-2</v>
      </c>
      <c r="G91" s="377">
        <f>Muut[[#This Row],[Keskim. työttömyysaste 2023, %]]/$F$12</f>
        <v>0.89074458740992979</v>
      </c>
      <c r="H91" s="166">
        <v>0</v>
      </c>
      <c r="I91" s="383">
        <v>2</v>
      </c>
      <c r="J91" s="389">
        <v>73</v>
      </c>
      <c r="K91" s="269">
        <v>482.89</v>
      </c>
      <c r="L91" s="170">
        <f t="shared" si="4"/>
        <v>4.2142102756321318</v>
      </c>
      <c r="M91" s="377">
        <v>4.3729283219118562</v>
      </c>
      <c r="N91" s="166">
        <v>0</v>
      </c>
      <c r="O91" s="397">
        <v>0</v>
      </c>
      <c r="P91" s="269">
        <v>471</v>
      </c>
      <c r="Q91" s="15">
        <v>79</v>
      </c>
      <c r="R91" s="158">
        <v>0.16772823779193205</v>
      </c>
      <c r="S91" s="401">
        <v>1.200071146924147</v>
      </c>
      <c r="T91" s="153">
        <v>92</v>
      </c>
      <c r="U91" s="197">
        <v>125146.40785058049</v>
      </c>
      <c r="V91" s="159">
        <v>0</v>
      </c>
      <c r="W91" s="159">
        <v>0</v>
      </c>
      <c r="X91" s="159">
        <v>133297.26999999999</v>
      </c>
      <c r="Y91" s="159">
        <v>368325.84910140105</v>
      </c>
      <c r="Z91" s="159">
        <v>0</v>
      </c>
      <c r="AA91" s="155">
        <v>0</v>
      </c>
      <c r="AB91" s="159">
        <v>69210.383178294709</v>
      </c>
      <c r="AC91" s="159">
        <v>67558.36</v>
      </c>
      <c r="AD91" s="174">
        <f>SUM(Muut[[#This Row],[Työttömyysaste]:[Työttömät ja palveluissa olevat ]])</f>
        <v>763538.27013027621</v>
      </c>
      <c r="AF91" s="62"/>
    </row>
    <row r="92" spans="1:32" s="45" customFormat="1">
      <c r="A92" s="90">
        <v>240</v>
      </c>
      <c r="B92" s="151" t="s">
        <v>91</v>
      </c>
      <c r="C92" s="395">
        <v>19371</v>
      </c>
      <c r="D92" s="134">
        <v>1170.25</v>
      </c>
      <c r="E92" s="41">
        <v>8200</v>
      </c>
      <c r="F92" s="332">
        <f t="shared" si="3"/>
        <v>0.14271341463414633</v>
      </c>
      <c r="G92" s="377">
        <f>Muut[[#This Row],[Keskim. työttömyysaste 2023, %]]/$F$12</f>
        <v>1.4523787588130752</v>
      </c>
      <c r="H92" s="166">
        <v>0</v>
      </c>
      <c r="I92" s="383">
        <v>35</v>
      </c>
      <c r="J92" s="389">
        <v>1165</v>
      </c>
      <c r="K92" s="269">
        <v>95.38</v>
      </c>
      <c r="L92" s="170">
        <f t="shared" si="4"/>
        <v>203.09289159152863</v>
      </c>
      <c r="M92" s="377">
        <v>9.0738968382349849E-2</v>
      </c>
      <c r="N92" s="166">
        <v>0</v>
      </c>
      <c r="O92" s="397">
        <v>0</v>
      </c>
      <c r="P92" s="269">
        <v>5334</v>
      </c>
      <c r="Q92" s="15">
        <v>780</v>
      </c>
      <c r="R92" s="158">
        <v>0.14623172103487064</v>
      </c>
      <c r="S92" s="401">
        <v>1.0462666959913076</v>
      </c>
      <c r="T92" s="153">
        <v>1787</v>
      </c>
      <c r="U92" s="197">
        <v>1942373.3578082765</v>
      </c>
      <c r="V92" s="159">
        <v>0</v>
      </c>
      <c r="W92" s="159">
        <v>0</v>
      </c>
      <c r="X92" s="159">
        <v>2127278.35</v>
      </c>
      <c r="Y92" s="159">
        <v>72751.391594962915</v>
      </c>
      <c r="Z92" s="159">
        <v>0</v>
      </c>
      <c r="AA92" s="155">
        <v>0</v>
      </c>
      <c r="AB92" s="159">
        <v>574373.35964246956</v>
      </c>
      <c r="AC92" s="159">
        <v>1312247.71</v>
      </c>
      <c r="AD92" s="174">
        <f>SUM(Muut[[#This Row],[Työttömyysaste]:[Työttömät ja palveluissa olevat ]])</f>
        <v>6029024.1690457091</v>
      </c>
      <c r="AF92" s="62"/>
    </row>
    <row r="93" spans="1:32" s="45" customFormat="1">
      <c r="A93" s="90">
        <v>241</v>
      </c>
      <c r="B93" s="151" t="s">
        <v>92</v>
      </c>
      <c r="C93" s="395">
        <v>7691</v>
      </c>
      <c r="D93" s="134">
        <v>274.16666666666669</v>
      </c>
      <c r="E93" s="41">
        <v>3530</v>
      </c>
      <c r="F93" s="332">
        <f t="shared" si="3"/>
        <v>7.766761095372994E-2</v>
      </c>
      <c r="G93" s="377">
        <f>Muut[[#This Row],[Keskim. työttömyysaste 2023, %]]/$F$12</f>
        <v>0.79041475313397302</v>
      </c>
      <c r="H93" s="166">
        <v>0</v>
      </c>
      <c r="I93" s="383">
        <v>10</v>
      </c>
      <c r="J93" s="389">
        <v>91</v>
      </c>
      <c r="K93" s="269">
        <v>627.27</v>
      </c>
      <c r="L93" s="170">
        <f t="shared" si="4"/>
        <v>12.261067801744066</v>
      </c>
      <c r="M93" s="377">
        <v>1.5030044500840605</v>
      </c>
      <c r="N93" s="166">
        <v>0</v>
      </c>
      <c r="O93" s="397">
        <v>0</v>
      </c>
      <c r="P93" s="269">
        <v>2244</v>
      </c>
      <c r="Q93" s="15">
        <v>186</v>
      </c>
      <c r="R93" s="158">
        <v>8.2887700534759357E-2</v>
      </c>
      <c r="S93" s="401">
        <v>0.59304944209840493</v>
      </c>
      <c r="T93" s="153">
        <v>411</v>
      </c>
      <c r="U93" s="197">
        <v>419699.67397303786</v>
      </c>
      <c r="V93" s="159">
        <v>0</v>
      </c>
      <c r="W93" s="159">
        <v>0</v>
      </c>
      <c r="X93" s="159">
        <v>166165.09</v>
      </c>
      <c r="Y93" s="159">
        <v>478452.14306743949</v>
      </c>
      <c r="Z93" s="159">
        <v>0</v>
      </c>
      <c r="AA93" s="155">
        <v>0</v>
      </c>
      <c r="AB93" s="159">
        <v>129262.79996512811</v>
      </c>
      <c r="AC93" s="159">
        <v>301809.63</v>
      </c>
      <c r="AD93" s="174">
        <f>SUM(Muut[[#This Row],[Työttömyysaste]:[Työttömät ja palveluissa olevat ]])</f>
        <v>1495389.3370056055</v>
      </c>
      <c r="AF93" s="62"/>
    </row>
    <row r="94" spans="1:32" s="45" customFormat="1">
      <c r="A94" s="90">
        <v>244</v>
      </c>
      <c r="B94" s="151" t="s">
        <v>93</v>
      </c>
      <c r="C94" s="395">
        <v>19514</v>
      </c>
      <c r="D94" s="134">
        <v>706.08333333333337</v>
      </c>
      <c r="E94" s="41">
        <v>9119</v>
      </c>
      <c r="F94" s="332">
        <f t="shared" si="3"/>
        <v>7.7429908250173637E-2</v>
      </c>
      <c r="G94" s="377">
        <f>Muut[[#This Row],[Keskim. työttömyysaste 2023, %]]/$F$12</f>
        <v>0.78799567880628874</v>
      </c>
      <c r="H94" s="166">
        <v>0</v>
      </c>
      <c r="I94" s="383">
        <v>26</v>
      </c>
      <c r="J94" s="389">
        <v>271</v>
      </c>
      <c r="K94" s="269">
        <v>110.14</v>
      </c>
      <c r="L94" s="170">
        <f t="shared" si="4"/>
        <v>177.17450517523153</v>
      </c>
      <c r="M94" s="377">
        <v>0.10401293036251111</v>
      </c>
      <c r="N94" s="166">
        <v>0</v>
      </c>
      <c r="O94" s="397">
        <v>0</v>
      </c>
      <c r="P94" s="269">
        <v>6477</v>
      </c>
      <c r="Q94" s="15">
        <v>351</v>
      </c>
      <c r="R94" s="158">
        <v>5.4191755442334413E-2</v>
      </c>
      <c r="S94" s="401">
        <v>0.38773412851442574</v>
      </c>
      <c r="T94" s="153">
        <v>936</v>
      </c>
      <c r="U94" s="197">
        <v>1061624.4675666376</v>
      </c>
      <c r="V94" s="159">
        <v>0</v>
      </c>
      <c r="W94" s="159">
        <v>0</v>
      </c>
      <c r="X94" s="159">
        <v>494843.29</v>
      </c>
      <c r="Y94" s="159">
        <v>84009.62749286239</v>
      </c>
      <c r="Z94" s="159">
        <v>0</v>
      </c>
      <c r="AA94" s="155">
        <v>0</v>
      </c>
      <c r="AB94" s="159">
        <v>214427.34883375649</v>
      </c>
      <c r="AC94" s="159">
        <v>687332.88</v>
      </c>
      <c r="AD94" s="174">
        <f>SUM(Muut[[#This Row],[Työttömyysaste]:[Työttömät ja palveluissa olevat ]])</f>
        <v>2542237.6138932565</v>
      </c>
      <c r="AF94" s="62"/>
    </row>
    <row r="95" spans="1:32" s="45" customFormat="1">
      <c r="A95" s="90">
        <v>245</v>
      </c>
      <c r="B95" s="151" t="s">
        <v>94</v>
      </c>
      <c r="C95" s="395">
        <v>38211</v>
      </c>
      <c r="D95" s="134">
        <v>1908.3333333333333</v>
      </c>
      <c r="E95" s="41">
        <v>18875</v>
      </c>
      <c r="F95" s="332">
        <f t="shared" si="3"/>
        <v>0.1011037527593819</v>
      </c>
      <c r="G95" s="377">
        <f>Muut[[#This Row],[Keskim. työttömyysaste 2023, %]]/$F$12</f>
        <v>1.0289217963178159</v>
      </c>
      <c r="H95" s="166">
        <v>0</v>
      </c>
      <c r="I95" s="383">
        <v>454</v>
      </c>
      <c r="J95" s="389">
        <v>6191</v>
      </c>
      <c r="K95" s="269">
        <v>30.63</v>
      </c>
      <c r="L95" s="170">
        <f t="shared" si="4"/>
        <v>1247.5024485798237</v>
      </c>
      <c r="M95" s="377">
        <v>1.4772267172527751E-2</v>
      </c>
      <c r="N95" s="166">
        <v>0</v>
      </c>
      <c r="O95" s="397">
        <v>0</v>
      </c>
      <c r="P95" s="269">
        <v>13072</v>
      </c>
      <c r="Q95" s="15">
        <v>2591</v>
      </c>
      <c r="R95" s="158">
        <v>0.19820991432068544</v>
      </c>
      <c r="S95" s="401">
        <v>1.4181631092174007</v>
      </c>
      <c r="T95" s="153">
        <v>2753</v>
      </c>
      <c r="U95" s="197">
        <v>2714385.6676082695</v>
      </c>
      <c r="V95" s="159">
        <v>0</v>
      </c>
      <c r="W95" s="159">
        <v>0</v>
      </c>
      <c r="X95" s="159">
        <v>11304704.09</v>
      </c>
      <c r="Y95" s="159">
        <v>23363.127747470266</v>
      </c>
      <c r="Z95" s="159">
        <v>0</v>
      </c>
      <c r="AA95" s="155">
        <v>0</v>
      </c>
      <c r="AB95" s="159">
        <v>1535728.4622491149</v>
      </c>
      <c r="AC95" s="159">
        <v>2021610.4900000002</v>
      </c>
      <c r="AD95" s="174">
        <f>SUM(Muut[[#This Row],[Työttömyysaste]:[Työttömät ja palveluissa olevat ]])</f>
        <v>17599791.837604854</v>
      </c>
      <c r="AF95" s="62"/>
    </row>
    <row r="96" spans="1:32" s="45" customFormat="1">
      <c r="A96" s="90">
        <v>249</v>
      </c>
      <c r="B96" s="151" t="s">
        <v>95</v>
      </c>
      <c r="C96" s="395">
        <v>9184</v>
      </c>
      <c r="D96" s="134">
        <v>396</v>
      </c>
      <c r="E96" s="41">
        <v>3759</v>
      </c>
      <c r="F96" s="332">
        <f t="shared" si="3"/>
        <v>0.10534716679968077</v>
      </c>
      <c r="G96" s="377">
        <f>Muut[[#This Row],[Keskim. työttömyysaste 2023, %]]/$F$12</f>
        <v>1.0721065553173714</v>
      </c>
      <c r="H96" s="166">
        <v>0</v>
      </c>
      <c r="I96" s="383">
        <v>15</v>
      </c>
      <c r="J96" s="389">
        <v>351</v>
      </c>
      <c r="K96" s="269">
        <v>1257.97</v>
      </c>
      <c r="L96" s="170">
        <f t="shared" si="4"/>
        <v>7.3006510489121359</v>
      </c>
      <c r="M96" s="377">
        <v>2.5242186409593876</v>
      </c>
      <c r="N96" s="166">
        <v>0</v>
      </c>
      <c r="O96" s="397">
        <v>0</v>
      </c>
      <c r="P96" s="269">
        <v>2332</v>
      </c>
      <c r="Q96" s="15">
        <v>324</v>
      </c>
      <c r="R96" s="158">
        <v>0.13893653516295026</v>
      </c>
      <c r="S96" s="401">
        <v>0.99407070209312676</v>
      </c>
      <c r="T96" s="153">
        <v>664</v>
      </c>
      <c r="U96" s="197">
        <v>679783.48474255868</v>
      </c>
      <c r="V96" s="159">
        <v>0</v>
      </c>
      <c r="W96" s="159">
        <v>0</v>
      </c>
      <c r="X96" s="159">
        <v>640922.49</v>
      </c>
      <c r="Y96" s="159">
        <v>959520.52930085431</v>
      </c>
      <c r="Z96" s="159">
        <v>0</v>
      </c>
      <c r="AA96" s="155">
        <v>0</v>
      </c>
      <c r="AB96" s="159">
        <v>258731.31459617964</v>
      </c>
      <c r="AC96" s="159">
        <v>487595.12000000005</v>
      </c>
      <c r="AD96" s="174">
        <f>SUM(Muut[[#This Row],[Työttömyysaste]:[Työttömät ja palveluissa olevat ]])</f>
        <v>3026552.9386395933</v>
      </c>
      <c r="AF96" s="62"/>
    </row>
    <row r="97" spans="1:32" s="45" customFormat="1">
      <c r="A97" s="90">
        <v>250</v>
      </c>
      <c r="B97" s="151" t="s">
        <v>96</v>
      </c>
      <c r="C97" s="395">
        <v>1749</v>
      </c>
      <c r="D97" s="134">
        <v>52.083333333333336</v>
      </c>
      <c r="E97" s="41">
        <v>743</v>
      </c>
      <c r="F97" s="332">
        <f t="shared" si="3"/>
        <v>7.0098698968147161E-2</v>
      </c>
      <c r="G97" s="377">
        <f>Muut[[#This Row],[Keskim. työttömyysaste 2023, %]]/$F$12</f>
        <v>0.713386766498189</v>
      </c>
      <c r="H97" s="166">
        <v>0</v>
      </c>
      <c r="I97" s="383">
        <v>0</v>
      </c>
      <c r="J97" s="389">
        <v>29</v>
      </c>
      <c r="K97" s="269">
        <v>357.21</v>
      </c>
      <c r="L97" s="170">
        <f t="shared" si="4"/>
        <v>4.8962794994541028</v>
      </c>
      <c r="M97" s="377">
        <v>3.7637637865359501</v>
      </c>
      <c r="N97" s="166">
        <v>0</v>
      </c>
      <c r="O97" s="397">
        <v>0</v>
      </c>
      <c r="P97" s="269">
        <v>421</v>
      </c>
      <c r="Q97" s="15">
        <v>84</v>
      </c>
      <c r="R97" s="158">
        <v>0.1995249406175772</v>
      </c>
      <c r="S97" s="401">
        <v>1.4275719311135919</v>
      </c>
      <c r="T97" s="153">
        <v>86</v>
      </c>
      <c r="U97" s="197">
        <v>86142.136905952182</v>
      </c>
      <c r="V97" s="159">
        <v>0</v>
      </c>
      <c r="W97" s="159">
        <v>0</v>
      </c>
      <c r="X97" s="159">
        <v>52953.71</v>
      </c>
      <c r="Y97" s="159">
        <v>272463.03828514047</v>
      </c>
      <c r="Z97" s="159">
        <v>0</v>
      </c>
      <c r="AA97" s="155">
        <v>0</v>
      </c>
      <c r="AB97" s="159">
        <v>70759.972535050823</v>
      </c>
      <c r="AC97" s="159">
        <v>63152.380000000005</v>
      </c>
      <c r="AD97" s="174">
        <f>SUM(Muut[[#This Row],[Työttömyysaste]:[Työttömät ja palveluissa olevat ]])</f>
        <v>545471.23772614344</v>
      </c>
      <c r="AF97" s="62"/>
    </row>
    <row r="98" spans="1:32" s="45" customFormat="1">
      <c r="A98" s="90">
        <v>256</v>
      </c>
      <c r="B98" s="151" t="s">
        <v>97</v>
      </c>
      <c r="C98" s="395">
        <v>1523</v>
      </c>
      <c r="D98" s="134">
        <v>73.5</v>
      </c>
      <c r="E98" s="41">
        <v>580</v>
      </c>
      <c r="F98" s="332">
        <f t="shared" si="3"/>
        <v>0.12672413793103449</v>
      </c>
      <c r="G98" s="377">
        <f>Muut[[#This Row],[Keskim. työttömyysaste 2023, %]]/$F$12</f>
        <v>1.2896576445301853</v>
      </c>
      <c r="H98" s="166">
        <v>0</v>
      </c>
      <c r="I98" s="383">
        <v>1</v>
      </c>
      <c r="J98" s="389">
        <v>15</v>
      </c>
      <c r="K98" s="269">
        <v>460.21</v>
      </c>
      <c r="L98" s="170">
        <f t="shared" si="4"/>
        <v>3.3093587709958499</v>
      </c>
      <c r="M98" s="377">
        <v>5.5685831437545366</v>
      </c>
      <c r="N98" s="166">
        <v>0</v>
      </c>
      <c r="O98" s="397">
        <v>0</v>
      </c>
      <c r="P98" s="269">
        <v>301</v>
      </c>
      <c r="Q98" s="15">
        <v>41</v>
      </c>
      <c r="R98" s="158">
        <v>0.13621262458471761</v>
      </c>
      <c r="S98" s="401">
        <v>0.97458151807276183</v>
      </c>
      <c r="T98" s="153">
        <v>97</v>
      </c>
      <c r="U98" s="197">
        <v>135604.81883444841</v>
      </c>
      <c r="V98" s="159">
        <v>0</v>
      </c>
      <c r="W98" s="159">
        <v>0</v>
      </c>
      <c r="X98" s="159">
        <v>27389.85</v>
      </c>
      <c r="Y98" s="159">
        <v>351026.60857536038</v>
      </c>
      <c r="Z98" s="159">
        <v>0</v>
      </c>
      <c r="AA98" s="155">
        <v>0</v>
      </c>
      <c r="AB98" s="159">
        <v>42064.712058383295</v>
      </c>
      <c r="AC98" s="159">
        <v>71230.010000000009</v>
      </c>
      <c r="AD98" s="174">
        <f>SUM(Muut[[#This Row],[Työttömyysaste]:[Työttömät ja palveluissa olevat ]])</f>
        <v>627315.99946819211</v>
      </c>
      <c r="AF98" s="62"/>
    </row>
    <row r="99" spans="1:32" s="45" customFormat="1">
      <c r="A99" s="90">
        <v>257</v>
      </c>
      <c r="B99" s="151" t="s">
        <v>98</v>
      </c>
      <c r="C99" s="395">
        <v>41154</v>
      </c>
      <c r="D99" s="134">
        <v>1505.75</v>
      </c>
      <c r="E99" s="41">
        <v>20712</v>
      </c>
      <c r="F99" s="332">
        <f t="shared" si="3"/>
        <v>7.2699401313248355E-2</v>
      </c>
      <c r="G99" s="377">
        <f>Muut[[#This Row],[Keskim. työttömyysaste 2023, %]]/$F$12</f>
        <v>0.73985382885321282</v>
      </c>
      <c r="H99" s="166">
        <v>1</v>
      </c>
      <c r="I99" s="383">
        <v>6099</v>
      </c>
      <c r="J99" s="389">
        <v>4911</v>
      </c>
      <c r="K99" s="269">
        <v>366.6</v>
      </c>
      <c r="L99" s="170">
        <f t="shared" si="4"/>
        <v>112.25859247135843</v>
      </c>
      <c r="M99" s="377">
        <v>0.16416061401719018</v>
      </c>
      <c r="N99" s="166">
        <v>3</v>
      </c>
      <c r="O99" s="397">
        <v>640</v>
      </c>
      <c r="P99" s="269">
        <v>14622</v>
      </c>
      <c r="Q99" s="15">
        <v>2078</v>
      </c>
      <c r="R99" s="158">
        <v>0.14211462180276296</v>
      </c>
      <c r="S99" s="401">
        <v>1.0168094497785078</v>
      </c>
      <c r="T99" s="153">
        <v>2127</v>
      </c>
      <c r="U99" s="197">
        <v>2102126.086390039</v>
      </c>
      <c r="V99" s="159">
        <v>844183.77120000008</v>
      </c>
      <c r="W99" s="159">
        <v>1662143.3928000003</v>
      </c>
      <c r="X99" s="159">
        <v>8967436.8900000006</v>
      </c>
      <c r="Y99" s="159">
        <v>279625.28998441395</v>
      </c>
      <c r="Z99" s="159">
        <v>0</v>
      </c>
      <c r="AA99" s="155">
        <v>188825.60000000001</v>
      </c>
      <c r="AB99" s="159">
        <v>1185909.2945658746</v>
      </c>
      <c r="AC99" s="159">
        <v>1561919.9100000001</v>
      </c>
      <c r="AD99" s="174">
        <f>SUM(Muut[[#This Row],[Työttömyysaste]:[Työttömät ja palveluissa olevat ]])</f>
        <v>16792170.234940328</v>
      </c>
      <c r="AF99" s="62"/>
    </row>
    <row r="100" spans="1:32" s="45" customFormat="1">
      <c r="A100" s="90">
        <v>260</v>
      </c>
      <c r="B100" s="151" t="s">
        <v>99</v>
      </c>
      <c r="C100" s="395">
        <v>9689</v>
      </c>
      <c r="D100" s="134">
        <v>569.91666666666663</v>
      </c>
      <c r="E100" s="41">
        <v>3751</v>
      </c>
      <c r="F100" s="332">
        <f t="shared" si="3"/>
        <v>0.15193726117479783</v>
      </c>
      <c r="G100" s="377">
        <f>Muut[[#This Row],[Keskim. työttömyysaste 2023, %]]/$F$12</f>
        <v>1.5462488327969151</v>
      </c>
      <c r="H100" s="166">
        <v>0</v>
      </c>
      <c r="I100" s="383">
        <v>2</v>
      </c>
      <c r="J100" s="389">
        <v>757</v>
      </c>
      <c r="K100" s="269">
        <v>1253.82</v>
      </c>
      <c r="L100" s="170">
        <f t="shared" si="4"/>
        <v>7.7275845017626139</v>
      </c>
      <c r="M100" s="377">
        <v>2.3847606538110724</v>
      </c>
      <c r="N100" s="166">
        <v>3</v>
      </c>
      <c r="O100" s="397">
        <v>357</v>
      </c>
      <c r="P100" s="269">
        <v>2206</v>
      </c>
      <c r="Q100" s="15">
        <v>343</v>
      </c>
      <c r="R100" s="158">
        <v>0.1554850407978241</v>
      </c>
      <c r="S100" s="401">
        <v>1.1124728530878771</v>
      </c>
      <c r="T100" s="153">
        <v>786</v>
      </c>
      <c r="U100" s="197">
        <v>1034330.0051245214</v>
      </c>
      <c r="V100" s="159">
        <v>0</v>
      </c>
      <c r="W100" s="159">
        <v>0</v>
      </c>
      <c r="X100" s="159">
        <v>1382274.43</v>
      </c>
      <c r="Y100" s="159">
        <v>956355.10389595712</v>
      </c>
      <c r="Z100" s="159">
        <v>0</v>
      </c>
      <c r="AA100" s="155">
        <v>105329.28000000001</v>
      </c>
      <c r="AB100" s="159">
        <v>305469.76008092961</v>
      </c>
      <c r="AC100" s="159">
        <v>577183.38</v>
      </c>
      <c r="AD100" s="174">
        <f>SUM(Muut[[#This Row],[Työttömyysaste]:[Työttömät ja palveluissa olevat ]])</f>
        <v>4360941.9591014078</v>
      </c>
      <c r="AF100" s="62"/>
    </row>
    <row r="101" spans="1:32" s="45" customFormat="1">
      <c r="A101" s="90">
        <v>261</v>
      </c>
      <c r="B101" s="151" t="s">
        <v>100</v>
      </c>
      <c r="C101" s="395">
        <v>6822</v>
      </c>
      <c r="D101" s="134">
        <v>297.16666666666669</v>
      </c>
      <c r="E101" s="41">
        <v>3461</v>
      </c>
      <c r="F101" s="332">
        <f t="shared" si="3"/>
        <v>8.5861504382163154E-2</v>
      </c>
      <c r="G101" s="377">
        <f>Muut[[#This Row],[Keskim. työttömyysaste 2023, %]]/$F$12</f>
        <v>0.87380310732578026</v>
      </c>
      <c r="H101" s="166">
        <v>0</v>
      </c>
      <c r="I101" s="383">
        <v>28</v>
      </c>
      <c r="J101" s="389">
        <v>324</v>
      </c>
      <c r="K101" s="269">
        <v>8095.14</v>
      </c>
      <c r="L101" s="170">
        <f t="shared" si="4"/>
        <v>0.84272785893758473</v>
      </c>
      <c r="M101" s="377">
        <v>21.867604438799731</v>
      </c>
      <c r="N101" s="166">
        <v>0</v>
      </c>
      <c r="O101" s="397">
        <v>0</v>
      </c>
      <c r="P101" s="269">
        <v>2273</v>
      </c>
      <c r="Q101" s="15">
        <v>288</v>
      </c>
      <c r="R101" s="158">
        <v>0.12670479542454904</v>
      </c>
      <c r="S101" s="401">
        <v>0.90655438325508964</v>
      </c>
      <c r="T101" s="153">
        <v>409</v>
      </c>
      <c r="U101" s="197">
        <v>411553.29446610378</v>
      </c>
      <c r="V101" s="159">
        <v>0</v>
      </c>
      <c r="W101" s="159">
        <v>0</v>
      </c>
      <c r="X101" s="159">
        <v>591620.76</v>
      </c>
      <c r="Y101" s="159">
        <v>5647251.5999999996</v>
      </c>
      <c r="Z101" s="159">
        <v>0</v>
      </c>
      <c r="AA101" s="155">
        <v>0</v>
      </c>
      <c r="AB101" s="159">
        <v>175269.1268327267</v>
      </c>
      <c r="AC101" s="159">
        <v>300340.97000000003</v>
      </c>
      <c r="AD101" s="174">
        <f>SUM(Muut[[#This Row],[Työttömyysaste]:[Työttömät ja palveluissa olevat ]])</f>
        <v>7126035.7512988299</v>
      </c>
      <c r="AF101" s="62"/>
    </row>
    <row r="102" spans="1:32" s="45" customFormat="1">
      <c r="A102" s="90">
        <v>263</v>
      </c>
      <c r="B102" s="151" t="s">
        <v>101</v>
      </c>
      <c r="C102" s="395">
        <v>7475</v>
      </c>
      <c r="D102" s="134">
        <v>335.5</v>
      </c>
      <c r="E102" s="41">
        <v>3173</v>
      </c>
      <c r="F102" s="332">
        <f t="shared" si="3"/>
        <v>0.10573589662779703</v>
      </c>
      <c r="G102" s="377">
        <f>Muut[[#This Row],[Keskim. työttömyysaste 2023, %]]/$F$12</f>
        <v>1.0760626161174052</v>
      </c>
      <c r="H102" s="166">
        <v>0</v>
      </c>
      <c r="I102" s="383">
        <v>0</v>
      </c>
      <c r="J102" s="389">
        <v>139</v>
      </c>
      <c r="K102" s="269">
        <v>1328.24</v>
      </c>
      <c r="L102" s="170">
        <f t="shared" si="4"/>
        <v>5.6277479973498767</v>
      </c>
      <c r="M102" s="377">
        <v>3.2745672829490102</v>
      </c>
      <c r="N102" s="166">
        <v>0</v>
      </c>
      <c r="O102" s="397">
        <v>0</v>
      </c>
      <c r="P102" s="269">
        <v>1860</v>
      </c>
      <c r="Q102" s="15">
        <v>248</v>
      </c>
      <c r="R102" s="158">
        <v>0.13333333333333333</v>
      </c>
      <c r="S102" s="401">
        <v>0.95398060793463846</v>
      </c>
      <c r="T102" s="153">
        <v>452</v>
      </c>
      <c r="U102" s="197">
        <v>555327.93855017389</v>
      </c>
      <c r="V102" s="159">
        <v>0</v>
      </c>
      <c r="W102" s="159">
        <v>0</v>
      </c>
      <c r="X102" s="159">
        <v>253812.61000000002</v>
      </c>
      <c r="Y102" s="159">
        <v>1013119.190313415</v>
      </c>
      <c r="Z102" s="159">
        <v>0</v>
      </c>
      <c r="AA102" s="155">
        <v>0</v>
      </c>
      <c r="AB102" s="159">
        <v>202092.68295578571</v>
      </c>
      <c r="AC102" s="159">
        <v>331917.16000000003</v>
      </c>
      <c r="AD102" s="174">
        <f>SUM(Muut[[#This Row],[Työttömyysaste]:[Työttömät ja palveluissa olevat ]])</f>
        <v>2356269.5818193746</v>
      </c>
      <c r="AF102" s="62"/>
    </row>
    <row r="103" spans="1:32" s="45" customFormat="1">
      <c r="A103" s="90">
        <v>265</v>
      </c>
      <c r="B103" s="151" t="s">
        <v>102</v>
      </c>
      <c r="C103" s="395">
        <v>1035</v>
      </c>
      <c r="D103" s="134">
        <v>57.416666666666664</v>
      </c>
      <c r="E103" s="41">
        <v>407</v>
      </c>
      <c r="F103" s="332">
        <f t="shared" si="3"/>
        <v>0.14107289107289106</v>
      </c>
      <c r="G103" s="377">
        <f>Muut[[#This Row],[Keskim. työttömyysaste 2023, %]]/$F$12</f>
        <v>1.4356833305675412</v>
      </c>
      <c r="H103" s="166">
        <v>0</v>
      </c>
      <c r="I103" s="383">
        <v>0</v>
      </c>
      <c r="J103" s="389">
        <v>20</v>
      </c>
      <c r="K103" s="269">
        <v>483.95</v>
      </c>
      <c r="L103" s="170">
        <f t="shared" si="4"/>
        <v>2.1386506870544477</v>
      </c>
      <c r="M103" s="377">
        <v>8.6168534115242128</v>
      </c>
      <c r="N103" s="166">
        <v>3</v>
      </c>
      <c r="O103" s="397">
        <v>86</v>
      </c>
      <c r="P103" s="269">
        <v>218</v>
      </c>
      <c r="Q103" s="15">
        <v>42</v>
      </c>
      <c r="R103" s="158">
        <v>0.19266055045871561</v>
      </c>
      <c r="S103" s="401">
        <v>1.3784582178872069</v>
      </c>
      <c r="T103" s="153">
        <v>72</v>
      </c>
      <c r="U103" s="197">
        <v>102588.76234236648</v>
      </c>
      <c r="V103" s="159">
        <v>0</v>
      </c>
      <c r="W103" s="159">
        <v>0</v>
      </c>
      <c r="X103" s="159">
        <v>36519.800000000003</v>
      </c>
      <c r="Y103" s="159">
        <v>369134.3673975917</v>
      </c>
      <c r="Z103" s="159">
        <v>0</v>
      </c>
      <c r="AA103" s="155">
        <v>25373.440000000002</v>
      </c>
      <c r="AB103" s="159">
        <v>40432.798601245762</v>
      </c>
      <c r="AC103" s="159">
        <v>52871.76</v>
      </c>
      <c r="AD103" s="174">
        <f>SUM(Muut[[#This Row],[Työttömyysaste]:[Työttömät ja palveluissa olevat ]])</f>
        <v>626920.92834120395</v>
      </c>
      <c r="AF103" s="62"/>
    </row>
    <row r="104" spans="1:32" s="45" customFormat="1">
      <c r="A104" s="90">
        <v>271</v>
      </c>
      <c r="B104" s="151" t="s">
        <v>103</v>
      </c>
      <c r="C104" s="395">
        <v>6766</v>
      </c>
      <c r="D104" s="134">
        <v>234.5</v>
      </c>
      <c r="E104" s="41">
        <v>2971</v>
      </c>
      <c r="F104" s="332">
        <f t="shared" si="3"/>
        <v>7.8929653315382028E-2</v>
      </c>
      <c r="G104" s="377">
        <f>Muut[[#This Row],[Keskim. työttömyysaste 2023, %]]/$F$12</f>
        <v>0.80325841974712697</v>
      </c>
      <c r="H104" s="166">
        <v>0</v>
      </c>
      <c r="I104" s="383">
        <v>14</v>
      </c>
      <c r="J104" s="389">
        <v>223</v>
      </c>
      <c r="K104" s="269">
        <v>480.43</v>
      </c>
      <c r="L104" s="170">
        <f t="shared" si="4"/>
        <v>14.08321711799846</v>
      </c>
      <c r="M104" s="377">
        <v>1.3085390443389553</v>
      </c>
      <c r="N104" s="166">
        <v>0</v>
      </c>
      <c r="O104" s="397">
        <v>0</v>
      </c>
      <c r="P104" s="269">
        <v>1821</v>
      </c>
      <c r="Q104" s="15">
        <v>282</v>
      </c>
      <c r="R104" s="158">
        <v>0.15485996705107083</v>
      </c>
      <c r="S104" s="401">
        <v>1.1080005413408898</v>
      </c>
      <c r="T104" s="153">
        <v>387</v>
      </c>
      <c r="U104" s="197">
        <v>375221.80015134567</v>
      </c>
      <c r="V104" s="159">
        <v>0</v>
      </c>
      <c r="W104" s="159">
        <v>0</v>
      </c>
      <c r="X104" s="159">
        <v>407195.77</v>
      </c>
      <c r="Y104" s="159">
        <v>366449.47645175119</v>
      </c>
      <c r="Z104" s="159">
        <v>0</v>
      </c>
      <c r="AA104" s="155">
        <v>0</v>
      </c>
      <c r="AB104" s="159">
        <v>212457.37532127113</v>
      </c>
      <c r="AC104" s="159">
        <v>284185.71000000002</v>
      </c>
      <c r="AD104" s="174">
        <f>SUM(Muut[[#This Row],[Työttömyysaste]:[Työttömät ja palveluissa olevat ]])</f>
        <v>1645510.131924368</v>
      </c>
      <c r="AF104" s="62"/>
    </row>
    <row r="105" spans="1:32" s="45" customFormat="1">
      <c r="A105" s="90">
        <v>272</v>
      </c>
      <c r="B105" s="151" t="s">
        <v>104</v>
      </c>
      <c r="C105" s="395">
        <v>48295</v>
      </c>
      <c r="D105" s="134">
        <v>1871.8333333333333</v>
      </c>
      <c r="E105" s="41">
        <v>21832</v>
      </c>
      <c r="F105" s="332">
        <f t="shared" si="3"/>
        <v>8.5738060339562716E-2</v>
      </c>
      <c r="G105" s="377">
        <f>Muut[[#This Row],[Keskim. työttömyysaste 2023, %]]/$F$12</f>
        <v>0.87254683085145934</v>
      </c>
      <c r="H105" s="166">
        <v>1</v>
      </c>
      <c r="I105" s="383">
        <v>5816</v>
      </c>
      <c r="J105" s="389">
        <v>2400</v>
      </c>
      <c r="K105" s="269">
        <v>1446.28</v>
      </c>
      <c r="L105" s="170">
        <f t="shared" si="4"/>
        <v>33.392565754902236</v>
      </c>
      <c r="M105" s="377">
        <v>0.55187252168840339</v>
      </c>
      <c r="N105" s="166">
        <v>0</v>
      </c>
      <c r="O105" s="397">
        <v>0</v>
      </c>
      <c r="P105" s="269">
        <v>14411</v>
      </c>
      <c r="Q105" s="15">
        <v>1219</v>
      </c>
      <c r="R105" s="158">
        <v>8.4588161820831315E-2</v>
      </c>
      <c r="S105" s="401">
        <v>0.60521599528432668</v>
      </c>
      <c r="T105" s="153">
        <v>2793</v>
      </c>
      <c r="U105" s="197">
        <v>2909321.3804898541</v>
      </c>
      <c r="V105" s="159">
        <v>990665.67600000009</v>
      </c>
      <c r="W105" s="159">
        <v>1585018.1952000002</v>
      </c>
      <c r="X105" s="159">
        <v>4382376</v>
      </c>
      <c r="Y105" s="159">
        <v>1103154.5673722264</v>
      </c>
      <c r="Z105" s="159">
        <v>0</v>
      </c>
      <c r="AA105" s="155">
        <v>0</v>
      </c>
      <c r="AB105" s="159">
        <v>828347.20999055076</v>
      </c>
      <c r="AC105" s="159">
        <v>2050983.6900000002</v>
      </c>
      <c r="AD105" s="174">
        <f>SUM(Muut[[#This Row],[Työttömyysaste]:[Työttömät ja palveluissa olevat ]])</f>
        <v>13849866.719052633</v>
      </c>
      <c r="AF105" s="62"/>
    </row>
    <row r="106" spans="1:32" s="45" customFormat="1">
      <c r="A106" s="90">
        <v>273</v>
      </c>
      <c r="B106" s="151" t="s">
        <v>105</v>
      </c>
      <c r="C106" s="395">
        <v>4011</v>
      </c>
      <c r="D106" s="134">
        <v>182.41666666666666</v>
      </c>
      <c r="E106" s="41">
        <v>1894</v>
      </c>
      <c r="F106" s="332">
        <f t="shared" si="3"/>
        <v>9.6312917986624419E-2</v>
      </c>
      <c r="G106" s="377">
        <f>Muut[[#This Row],[Keskim. työttömyysaste 2023, %]]/$F$12</f>
        <v>0.9801659966000843</v>
      </c>
      <c r="H106" s="166">
        <v>0</v>
      </c>
      <c r="I106" s="383">
        <v>26</v>
      </c>
      <c r="J106" s="389">
        <v>94</v>
      </c>
      <c r="K106" s="269">
        <v>2559.34</v>
      </c>
      <c r="L106" s="170">
        <f t="shared" si="4"/>
        <v>1.5672009189869263</v>
      </c>
      <c r="M106" s="377">
        <v>11.758823802066347</v>
      </c>
      <c r="N106" s="166">
        <v>0</v>
      </c>
      <c r="O106" s="397">
        <v>0</v>
      </c>
      <c r="P106" s="269">
        <v>1211</v>
      </c>
      <c r="Q106" s="15">
        <v>157</v>
      </c>
      <c r="R106" s="158">
        <v>0.12964492155243601</v>
      </c>
      <c r="S106" s="401">
        <v>0.92759055808673563</v>
      </c>
      <c r="T106" s="153">
        <v>260</v>
      </c>
      <c r="U106" s="197">
        <v>271427.01888553728</v>
      </c>
      <c r="V106" s="159">
        <v>0</v>
      </c>
      <c r="W106" s="159">
        <v>0</v>
      </c>
      <c r="X106" s="159">
        <v>171643.06</v>
      </c>
      <c r="Y106" s="159">
        <v>1952144.543558947</v>
      </c>
      <c r="Z106" s="159">
        <v>0</v>
      </c>
      <c r="AA106" s="155">
        <v>0</v>
      </c>
      <c r="AB106" s="159">
        <v>105440.83274529032</v>
      </c>
      <c r="AC106" s="159">
        <v>190925.80000000002</v>
      </c>
      <c r="AD106" s="174">
        <f>SUM(Muut[[#This Row],[Työttömyysaste]:[Työttömät ja palveluissa olevat ]])</f>
        <v>2691581.2551897746</v>
      </c>
      <c r="AF106" s="62"/>
    </row>
    <row r="107" spans="1:32" s="45" customFormat="1">
      <c r="A107" s="90">
        <v>275</v>
      </c>
      <c r="B107" s="151" t="s">
        <v>106</v>
      </c>
      <c r="C107" s="395">
        <v>2499</v>
      </c>
      <c r="D107" s="134">
        <v>106.16666666666667</v>
      </c>
      <c r="E107" s="41">
        <v>1088</v>
      </c>
      <c r="F107" s="332">
        <f t="shared" si="3"/>
        <v>9.7579656862745098E-2</v>
      </c>
      <c r="G107" s="377">
        <f>Muut[[#This Row],[Keskim. työttömyysaste 2023, %]]/$F$12</f>
        <v>0.99305745912557153</v>
      </c>
      <c r="H107" s="166">
        <v>0</v>
      </c>
      <c r="I107" s="383">
        <v>0</v>
      </c>
      <c r="J107" s="389">
        <v>52</v>
      </c>
      <c r="K107" s="269">
        <v>512.94000000000005</v>
      </c>
      <c r="L107" s="170">
        <f t="shared" si="4"/>
        <v>4.8719148438413846</v>
      </c>
      <c r="M107" s="377">
        <v>3.7825865310636977</v>
      </c>
      <c r="N107" s="166">
        <v>0</v>
      </c>
      <c r="O107" s="397">
        <v>0</v>
      </c>
      <c r="P107" s="269">
        <v>598</v>
      </c>
      <c r="Q107" s="15">
        <v>69</v>
      </c>
      <c r="R107" s="158">
        <v>0.11538461538461539</v>
      </c>
      <c r="S107" s="401">
        <v>0.82556014148189871</v>
      </c>
      <c r="T107" s="153">
        <v>160</v>
      </c>
      <c r="U107" s="197">
        <v>171333.15675809566</v>
      </c>
      <c r="V107" s="159">
        <v>0</v>
      </c>
      <c r="W107" s="159">
        <v>0</v>
      </c>
      <c r="X107" s="159">
        <v>94951.48</v>
      </c>
      <c r="Y107" s="159">
        <v>391246.58004529541</v>
      </c>
      <c r="Z107" s="159">
        <v>0</v>
      </c>
      <c r="AA107" s="155">
        <v>0</v>
      </c>
      <c r="AB107" s="159">
        <v>58467.539649582926</v>
      </c>
      <c r="AC107" s="159">
        <v>117492.8</v>
      </c>
      <c r="AD107" s="174">
        <f>SUM(Muut[[#This Row],[Työttömyysaste]:[Työttömät ja palveluissa olevat ]])</f>
        <v>833491.55645297398</v>
      </c>
      <c r="AF107" s="62"/>
    </row>
    <row r="108" spans="1:32" s="45" customFormat="1">
      <c r="A108" s="90">
        <v>276</v>
      </c>
      <c r="B108" s="151" t="s">
        <v>107</v>
      </c>
      <c r="C108" s="395">
        <v>15136</v>
      </c>
      <c r="D108" s="134">
        <v>652.66666666666663</v>
      </c>
      <c r="E108" s="41">
        <v>7339</v>
      </c>
      <c r="F108" s="332">
        <f t="shared" si="3"/>
        <v>8.8931280374256252E-2</v>
      </c>
      <c r="G108" s="377">
        <f>Muut[[#This Row],[Keskim. työttömyysaste 2023, %]]/$F$12</f>
        <v>0.90504388070829589</v>
      </c>
      <c r="H108" s="166">
        <v>0</v>
      </c>
      <c r="I108" s="383">
        <v>9</v>
      </c>
      <c r="J108" s="389">
        <v>347</v>
      </c>
      <c r="K108" s="269">
        <v>799.81</v>
      </c>
      <c r="L108" s="170">
        <f t="shared" si="4"/>
        <v>18.924494567459774</v>
      </c>
      <c r="M108" s="377">
        <v>0.97378766989587084</v>
      </c>
      <c r="N108" s="166">
        <v>0</v>
      </c>
      <c r="O108" s="397">
        <v>0</v>
      </c>
      <c r="P108" s="269">
        <v>5203</v>
      </c>
      <c r="Q108" s="15">
        <v>326</v>
      </c>
      <c r="R108" s="158">
        <v>6.2656159907745534E-2</v>
      </c>
      <c r="S108" s="401">
        <v>0.44829571139730751</v>
      </c>
      <c r="T108" s="153">
        <v>911</v>
      </c>
      <c r="U108" s="197">
        <v>945761.29807678913</v>
      </c>
      <c r="V108" s="159">
        <v>0</v>
      </c>
      <c r="W108" s="159">
        <v>0</v>
      </c>
      <c r="X108" s="159">
        <v>633618.53</v>
      </c>
      <c r="Y108" s="159">
        <v>610057.56460020202</v>
      </c>
      <c r="Z108" s="159">
        <v>0</v>
      </c>
      <c r="AA108" s="155">
        <v>0</v>
      </c>
      <c r="AB108" s="159">
        <v>192298.34617769139</v>
      </c>
      <c r="AC108" s="159">
        <v>668974.63</v>
      </c>
      <c r="AD108" s="174">
        <f>SUM(Muut[[#This Row],[Työttömyysaste]:[Työttömät ja palveluissa olevat ]])</f>
        <v>3050710.3688546829</v>
      </c>
      <c r="AF108" s="62"/>
    </row>
    <row r="109" spans="1:32" s="45" customFormat="1">
      <c r="A109" s="90">
        <v>280</v>
      </c>
      <c r="B109" s="151" t="s">
        <v>108</v>
      </c>
      <c r="C109" s="395">
        <v>2015</v>
      </c>
      <c r="D109" s="134">
        <v>54.25</v>
      </c>
      <c r="E109" s="41">
        <v>960</v>
      </c>
      <c r="F109" s="332">
        <f t="shared" si="3"/>
        <v>5.6510416666666667E-2</v>
      </c>
      <c r="G109" s="377">
        <f>Muut[[#This Row],[Keskim. työttömyysaste 2023, %]]/$F$12</f>
        <v>0.57510030874634743</v>
      </c>
      <c r="H109" s="384">
        <v>3</v>
      </c>
      <c r="I109" s="383">
        <v>1686</v>
      </c>
      <c r="J109" s="389">
        <v>255</v>
      </c>
      <c r="K109" s="269">
        <v>236.27</v>
      </c>
      <c r="L109" s="170">
        <f t="shared" si="4"/>
        <v>8.5283785499640246</v>
      </c>
      <c r="M109" s="377">
        <v>2.1608374160269253</v>
      </c>
      <c r="N109" s="166">
        <v>0</v>
      </c>
      <c r="O109" s="397">
        <v>0</v>
      </c>
      <c r="P109" s="269">
        <v>558</v>
      </c>
      <c r="Q109" s="15">
        <v>99</v>
      </c>
      <c r="R109" s="158">
        <v>0.17741935483870969</v>
      </c>
      <c r="S109" s="401">
        <v>1.269409679913027</v>
      </c>
      <c r="T109" s="153">
        <v>76</v>
      </c>
      <c r="U109" s="197">
        <v>80005.42451143339</v>
      </c>
      <c r="V109" s="159">
        <v>41333.292000000001</v>
      </c>
      <c r="W109" s="159">
        <v>459480.85920000006</v>
      </c>
      <c r="X109" s="159">
        <v>465627.45</v>
      </c>
      <c r="Y109" s="159">
        <v>180215.67720844917</v>
      </c>
      <c r="Z109" s="159">
        <v>0</v>
      </c>
      <c r="AA109" s="155">
        <v>0</v>
      </c>
      <c r="AB109" s="159">
        <v>72489.766712401397</v>
      </c>
      <c r="AC109" s="159">
        <v>55809.08</v>
      </c>
      <c r="AD109" s="174">
        <f>SUM(Muut[[#This Row],[Työttömyysaste]:[Työttömät ja palveluissa olevat ]])</f>
        <v>1354961.5496322841</v>
      </c>
      <c r="AF109" s="62"/>
    </row>
    <row r="110" spans="1:32" s="45" customFormat="1">
      <c r="A110" s="90">
        <v>284</v>
      </c>
      <c r="B110" s="151" t="s">
        <v>109</v>
      </c>
      <c r="C110" s="395">
        <v>2207</v>
      </c>
      <c r="D110" s="134">
        <v>61.083333333333336</v>
      </c>
      <c r="E110" s="41">
        <v>966</v>
      </c>
      <c r="F110" s="332">
        <f t="shared" si="3"/>
        <v>6.3233264320220847E-2</v>
      </c>
      <c r="G110" s="377">
        <f>Muut[[#This Row],[Keskim. työttömyysaste 2023, %]]/$F$12</f>
        <v>0.64351799152542799</v>
      </c>
      <c r="H110" s="166">
        <v>0</v>
      </c>
      <c r="I110" s="383">
        <v>8</v>
      </c>
      <c r="J110" s="389">
        <v>110</v>
      </c>
      <c r="K110" s="269">
        <v>191.5</v>
      </c>
      <c r="L110" s="170">
        <f t="shared" si="4"/>
        <v>11.524804177545692</v>
      </c>
      <c r="M110" s="377">
        <v>1.5990240862147316</v>
      </c>
      <c r="N110" s="166">
        <v>0</v>
      </c>
      <c r="O110" s="397">
        <v>0</v>
      </c>
      <c r="P110" s="269">
        <v>580</v>
      </c>
      <c r="Q110" s="15">
        <v>92</v>
      </c>
      <c r="R110" s="158">
        <v>0.15862068965517243</v>
      </c>
      <c r="S110" s="401">
        <v>1.1349079646118976</v>
      </c>
      <c r="T110" s="153">
        <v>98</v>
      </c>
      <c r="U110" s="197">
        <v>98053.660071758655</v>
      </c>
      <c r="V110" s="159">
        <v>0</v>
      </c>
      <c r="W110" s="159">
        <v>0</v>
      </c>
      <c r="X110" s="159">
        <v>200858.9</v>
      </c>
      <c r="Y110" s="159">
        <v>146067.22049104003</v>
      </c>
      <c r="Z110" s="159">
        <v>0</v>
      </c>
      <c r="AA110" s="155">
        <v>0</v>
      </c>
      <c r="AB110" s="159">
        <v>70984.384819642291</v>
      </c>
      <c r="AC110" s="159">
        <v>71964.340000000011</v>
      </c>
      <c r="AD110" s="174">
        <f>SUM(Muut[[#This Row],[Työttömyysaste]:[Työttömät ja palveluissa olevat ]])</f>
        <v>587928.50538244098</v>
      </c>
      <c r="AF110" s="62"/>
    </row>
    <row r="111" spans="1:32" s="45" customFormat="1">
      <c r="A111" s="90">
        <v>285</v>
      </c>
      <c r="B111" s="151" t="s">
        <v>110</v>
      </c>
      <c r="C111" s="395">
        <v>50500</v>
      </c>
      <c r="D111" s="134">
        <v>2932</v>
      </c>
      <c r="E111" s="41">
        <v>22543</v>
      </c>
      <c r="F111" s="332">
        <f t="shared" si="3"/>
        <v>0.13006254713214746</v>
      </c>
      <c r="G111" s="377">
        <f>Muut[[#This Row],[Keskim. työttömyysaste 2023, %]]/$F$12</f>
        <v>1.3236322686000552</v>
      </c>
      <c r="H111" s="166">
        <v>0</v>
      </c>
      <c r="I111" s="383">
        <v>481</v>
      </c>
      <c r="J111" s="389">
        <v>5330</v>
      </c>
      <c r="K111" s="269">
        <v>272.13</v>
      </c>
      <c r="L111" s="170">
        <f t="shared" si="4"/>
        <v>185.57307169367581</v>
      </c>
      <c r="M111" s="377">
        <v>9.9305568963278343E-2</v>
      </c>
      <c r="N111" s="166">
        <v>3</v>
      </c>
      <c r="O111" s="397">
        <v>448</v>
      </c>
      <c r="P111" s="269">
        <v>14734</v>
      </c>
      <c r="Q111" s="15">
        <v>2354</v>
      </c>
      <c r="R111" s="158">
        <v>0.15976652640152028</v>
      </c>
      <c r="S111" s="401">
        <v>1.1431062598809583</v>
      </c>
      <c r="T111" s="153">
        <v>4155</v>
      </c>
      <c r="U111" s="197">
        <v>4614870.3771194657</v>
      </c>
      <c r="V111" s="159">
        <v>0</v>
      </c>
      <c r="W111" s="159">
        <v>0</v>
      </c>
      <c r="X111" s="159">
        <v>9732526.6999999993</v>
      </c>
      <c r="Y111" s="159">
        <v>207568.00371919959</v>
      </c>
      <c r="Z111" s="159">
        <v>0</v>
      </c>
      <c r="AA111" s="155">
        <v>132177.92000000001</v>
      </c>
      <c r="AB111" s="159">
        <v>1635979.385953831</v>
      </c>
      <c r="AC111" s="159">
        <v>3051141.1500000004</v>
      </c>
      <c r="AD111" s="174">
        <f>SUM(Muut[[#This Row],[Työttömyysaste]:[Työttömät ja palveluissa olevat ]])</f>
        <v>19374263.536792494</v>
      </c>
      <c r="AF111" s="62"/>
    </row>
    <row r="112" spans="1:32" s="45" customFormat="1">
      <c r="A112" s="90">
        <v>286</v>
      </c>
      <c r="B112" s="151" t="s">
        <v>111</v>
      </c>
      <c r="C112" s="395">
        <v>78880</v>
      </c>
      <c r="D112" s="134">
        <v>3727.75</v>
      </c>
      <c r="E112" s="41">
        <v>35611</v>
      </c>
      <c r="F112" s="332">
        <f t="shared" si="3"/>
        <v>0.10467973379012104</v>
      </c>
      <c r="G112" s="377">
        <f>Muut[[#This Row],[Keskim. työttömyysaste 2023, %]]/$F$12</f>
        <v>1.0653141628257456</v>
      </c>
      <c r="H112" s="166">
        <v>0</v>
      </c>
      <c r="I112" s="383">
        <v>279</v>
      </c>
      <c r="J112" s="389">
        <v>4125</v>
      </c>
      <c r="K112" s="269">
        <v>2557.59</v>
      </c>
      <c r="L112" s="170">
        <f t="shared" si="4"/>
        <v>30.841534413256227</v>
      </c>
      <c r="M112" s="377">
        <v>0.59752018890742531</v>
      </c>
      <c r="N112" s="166">
        <v>0</v>
      </c>
      <c r="O112" s="397">
        <v>0</v>
      </c>
      <c r="P112" s="269">
        <v>22497</v>
      </c>
      <c r="Q112" s="15">
        <v>2833</v>
      </c>
      <c r="R112" s="158">
        <v>0.1259279014979775</v>
      </c>
      <c r="S112" s="401">
        <v>0.90099582020230384</v>
      </c>
      <c r="T112" s="153">
        <v>5254</v>
      </c>
      <c r="U112" s="197">
        <v>5801567.9795414917</v>
      </c>
      <c r="V112" s="159">
        <v>0</v>
      </c>
      <c r="W112" s="159">
        <v>0</v>
      </c>
      <c r="X112" s="159">
        <v>7532208.75</v>
      </c>
      <c r="Y112" s="159">
        <v>1950809.7256171231</v>
      </c>
      <c r="Z112" s="159">
        <v>0</v>
      </c>
      <c r="AA112" s="155">
        <v>0</v>
      </c>
      <c r="AB112" s="159">
        <v>2014139.3954327859</v>
      </c>
      <c r="AC112" s="159">
        <v>3858169.8200000003</v>
      </c>
      <c r="AD112" s="174">
        <f>SUM(Muut[[#This Row],[Työttömyysaste]:[Työttömät ja palveluissa olevat ]])</f>
        <v>21156895.670591403</v>
      </c>
      <c r="AF112" s="62"/>
    </row>
    <row r="113" spans="1:32" s="45" customFormat="1">
      <c r="A113" s="90">
        <v>287</v>
      </c>
      <c r="B113" s="151" t="s">
        <v>112</v>
      </c>
      <c r="C113" s="395">
        <v>6199</v>
      </c>
      <c r="D113" s="134">
        <v>184.58333333333334</v>
      </c>
      <c r="E113" s="41">
        <v>2632</v>
      </c>
      <c r="F113" s="332">
        <f t="shared" si="3"/>
        <v>7.0130445795339419E-2</v>
      </c>
      <c r="G113" s="377">
        <f>Muut[[#This Row],[Keskim. työttömyysaste 2023, %]]/$F$12</f>
        <v>0.71370985047450575</v>
      </c>
      <c r="H113" s="166">
        <v>3</v>
      </c>
      <c r="I113" s="383">
        <v>3281</v>
      </c>
      <c r="J113" s="389">
        <v>407</v>
      </c>
      <c r="K113" s="269">
        <v>683.25</v>
      </c>
      <c r="L113" s="170">
        <f t="shared" si="4"/>
        <v>9.0728137577753376</v>
      </c>
      <c r="M113" s="377">
        <v>2.0311713610356739</v>
      </c>
      <c r="N113" s="166">
        <v>0</v>
      </c>
      <c r="O113" s="397">
        <v>0</v>
      </c>
      <c r="P113" s="269">
        <v>1507</v>
      </c>
      <c r="Q113" s="15">
        <v>242</v>
      </c>
      <c r="R113" s="158">
        <v>0.16058394160583941</v>
      </c>
      <c r="S113" s="401">
        <v>1.1489547467825938</v>
      </c>
      <c r="T113" s="153">
        <v>252</v>
      </c>
      <c r="U113" s="197">
        <v>305452.79954783455</v>
      </c>
      <c r="V113" s="159">
        <v>127158.84720000002</v>
      </c>
      <c r="W113" s="159">
        <v>894161.74320000014</v>
      </c>
      <c r="X113" s="159">
        <v>743177.93</v>
      </c>
      <c r="Y113" s="159">
        <v>521151.06214361929</v>
      </c>
      <c r="Z113" s="159">
        <v>0</v>
      </c>
      <c r="AA113" s="155">
        <v>0</v>
      </c>
      <c r="AB113" s="159">
        <v>201847.97927015217</v>
      </c>
      <c r="AC113" s="159">
        <v>185051.16</v>
      </c>
      <c r="AD113" s="174">
        <f>SUM(Muut[[#This Row],[Työttömyysaste]:[Työttömät ja palveluissa olevat ]])</f>
        <v>2978001.5213616062</v>
      </c>
      <c r="AF113" s="62"/>
    </row>
    <row r="114" spans="1:32" s="45" customFormat="1">
      <c r="A114" s="90">
        <v>288</v>
      </c>
      <c r="B114" s="151" t="s">
        <v>113</v>
      </c>
      <c r="C114" s="395">
        <v>6368</v>
      </c>
      <c r="D114" s="134">
        <v>138.5</v>
      </c>
      <c r="E114" s="41">
        <v>2959</v>
      </c>
      <c r="F114" s="332">
        <f t="shared" si="3"/>
        <v>4.6806353497803314E-2</v>
      </c>
      <c r="G114" s="377">
        <f>Muut[[#This Row],[Keskim. työttömyysaste 2023, %]]/$F$12</f>
        <v>0.47634312283801422</v>
      </c>
      <c r="H114" s="166">
        <v>3</v>
      </c>
      <c r="I114" s="383">
        <v>4839</v>
      </c>
      <c r="J114" s="389">
        <v>311</v>
      </c>
      <c r="K114" s="269">
        <v>712.85</v>
      </c>
      <c r="L114" s="170">
        <f t="shared" si="4"/>
        <v>8.9331556428421131</v>
      </c>
      <c r="M114" s="377">
        <v>2.0629260482626779</v>
      </c>
      <c r="N114" s="166">
        <v>0</v>
      </c>
      <c r="O114" s="397">
        <v>0</v>
      </c>
      <c r="P114" s="269">
        <v>1841</v>
      </c>
      <c r="Q114" s="15">
        <v>220</v>
      </c>
      <c r="R114" s="158">
        <v>0.11950027159152635</v>
      </c>
      <c r="S114" s="401">
        <v>0.85500706305929031</v>
      </c>
      <c r="T114" s="153">
        <v>203</v>
      </c>
      <c r="U114" s="197">
        <v>209422.6915502901</v>
      </c>
      <c r="V114" s="159">
        <v>130625.51040000001</v>
      </c>
      <c r="W114" s="159">
        <v>1318759.1208000001</v>
      </c>
      <c r="X114" s="159">
        <v>567882.89</v>
      </c>
      <c r="Y114" s="159">
        <v>543728.55418818735</v>
      </c>
      <c r="Z114" s="159">
        <v>0</v>
      </c>
      <c r="AA114" s="155">
        <v>0</v>
      </c>
      <c r="AB114" s="159">
        <v>154302.37226409465</v>
      </c>
      <c r="AC114" s="159">
        <v>149068.99000000002</v>
      </c>
      <c r="AD114" s="174">
        <f>SUM(Muut[[#This Row],[Työttömyysaste]:[Työttömät ja palveluissa olevat ]])</f>
        <v>3073790.1292025726</v>
      </c>
      <c r="AF114" s="62"/>
    </row>
    <row r="115" spans="1:32" s="45" customFormat="1">
      <c r="A115" s="90">
        <v>290</v>
      </c>
      <c r="B115" s="151" t="s">
        <v>114</v>
      </c>
      <c r="C115" s="395">
        <v>7582</v>
      </c>
      <c r="D115" s="134">
        <v>317.66666666666669</v>
      </c>
      <c r="E115" s="41">
        <v>3120</v>
      </c>
      <c r="F115" s="332">
        <f t="shared" si="3"/>
        <v>0.10181623931623933</v>
      </c>
      <c r="G115" s="377">
        <f>Muut[[#This Row],[Keskim. työttömyysaste 2023, %]]/$F$12</f>
        <v>1.0361726938159408</v>
      </c>
      <c r="H115" s="166">
        <v>0</v>
      </c>
      <c r="I115" s="383">
        <v>4</v>
      </c>
      <c r="J115" s="389">
        <v>214</v>
      </c>
      <c r="K115" s="269">
        <v>4807.3100000000004</v>
      </c>
      <c r="L115" s="170">
        <f t="shared" si="4"/>
        <v>1.5771814174663168</v>
      </c>
      <c r="M115" s="377">
        <v>11.684413260719444</v>
      </c>
      <c r="N115" s="166">
        <v>0</v>
      </c>
      <c r="O115" s="397">
        <v>0</v>
      </c>
      <c r="P115" s="269">
        <v>1767</v>
      </c>
      <c r="Q115" s="15">
        <v>194</v>
      </c>
      <c r="R115" s="158">
        <v>0.10979060554612337</v>
      </c>
      <c r="S115" s="401">
        <v>0.78553581468302136</v>
      </c>
      <c r="T115" s="153">
        <v>450</v>
      </c>
      <c r="U115" s="197">
        <v>542396.28460594057</v>
      </c>
      <c r="V115" s="159">
        <v>0</v>
      </c>
      <c r="W115" s="159">
        <v>0</v>
      </c>
      <c r="X115" s="159">
        <v>390761.86</v>
      </c>
      <c r="Y115" s="159">
        <v>3666790.6513774497</v>
      </c>
      <c r="Z115" s="159">
        <v>0</v>
      </c>
      <c r="AA115" s="155">
        <v>0</v>
      </c>
      <c r="AB115" s="159">
        <v>168791.12837990175</v>
      </c>
      <c r="AC115" s="159">
        <v>330448.5</v>
      </c>
      <c r="AD115" s="174">
        <f>SUM(Muut[[#This Row],[Työttömyysaste]:[Työttömät ja palveluissa olevat ]])</f>
        <v>5099188.4243632918</v>
      </c>
      <c r="AF115" s="62"/>
    </row>
    <row r="116" spans="1:32" s="45" customFormat="1">
      <c r="A116" s="90">
        <v>291</v>
      </c>
      <c r="B116" s="151" t="s">
        <v>115</v>
      </c>
      <c r="C116" s="395">
        <v>2092</v>
      </c>
      <c r="D116" s="134">
        <v>75.333333333333329</v>
      </c>
      <c r="E116" s="41">
        <v>792</v>
      </c>
      <c r="F116" s="332">
        <f t="shared" si="3"/>
        <v>9.5117845117845115E-2</v>
      </c>
      <c r="G116" s="377">
        <f>Muut[[#This Row],[Keskim. työttömyysaste 2023, %]]/$F$12</f>
        <v>0.96800387116640707</v>
      </c>
      <c r="H116" s="166">
        <v>0</v>
      </c>
      <c r="I116" s="383">
        <v>10</v>
      </c>
      <c r="J116" s="389">
        <v>50</v>
      </c>
      <c r="K116" s="269">
        <v>660.93</v>
      </c>
      <c r="L116" s="170">
        <f t="shared" si="4"/>
        <v>3.1652368632079044</v>
      </c>
      <c r="M116" s="377">
        <v>5.8221359933634993</v>
      </c>
      <c r="N116" s="166">
        <v>3</v>
      </c>
      <c r="O116" s="397">
        <v>171</v>
      </c>
      <c r="P116" s="269">
        <v>456</v>
      </c>
      <c r="Q116" s="15">
        <v>62</v>
      </c>
      <c r="R116" s="158">
        <v>0.13596491228070176</v>
      </c>
      <c r="S116" s="401">
        <v>0.97280917256492738</v>
      </c>
      <c r="T116" s="153">
        <v>104</v>
      </c>
      <c r="U116" s="197">
        <v>139810.42535906777</v>
      </c>
      <c r="V116" s="159">
        <v>0</v>
      </c>
      <c r="W116" s="159">
        <v>0</v>
      </c>
      <c r="X116" s="159">
        <v>91299.5</v>
      </c>
      <c r="Y116" s="159">
        <v>504126.41273703944</v>
      </c>
      <c r="Z116" s="159">
        <v>0</v>
      </c>
      <c r="AA116" s="155">
        <v>50451.840000000004</v>
      </c>
      <c r="AB116" s="159">
        <v>57675.209800425167</v>
      </c>
      <c r="AC116" s="159">
        <v>76370.320000000007</v>
      </c>
      <c r="AD116" s="174">
        <f>SUM(Muut[[#This Row],[Työttömyysaste]:[Työttömät ja palveluissa olevat ]])</f>
        <v>919733.70789653249</v>
      </c>
      <c r="AF116" s="62"/>
    </row>
    <row r="117" spans="1:32" s="45" customFormat="1">
      <c r="A117" s="151">
        <v>297</v>
      </c>
      <c r="B117" s="151" t="s">
        <v>116</v>
      </c>
      <c r="C117" s="395">
        <v>124021</v>
      </c>
      <c r="D117" s="134">
        <v>5960.416666666667</v>
      </c>
      <c r="E117" s="41">
        <v>58516</v>
      </c>
      <c r="F117" s="332">
        <f t="shared" si="3"/>
        <v>0.10185960535010367</v>
      </c>
      <c r="G117" s="377">
        <f>Muut[[#This Row],[Keskim. työttömyysaste 2023, %]]/$F$12</f>
        <v>1.036614025183423</v>
      </c>
      <c r="H117" s="166">
        <v>0</v>
      </c>
      <c r="I117" s="383">
        <v>134</v>
      </c>
      <c r="J117" s="389">
        <v>7029</v>
      </c>
      <c r="K117" s="269">
        <v>3241.82</v>
      </c>
      <c r="L117" s="170">
        <f t="shared" si="4"/>
        <v>38.256596603142675</v>
      </c>
      <c r="M117" s="377">
        <v>0.48170619200584808</v>
      </c>
      <c r="N117" s="166">
        <v>3</v>
      </c>
      <c r="O117" s="397">
        <v>808</v>
      </c>
      <c r="P117" s="269">
        <v>38027</v>
      </c>
      <c r="Q117" s="15">
        <v>3576</v>
      </c>
      <c r="R117" s="158">
        <v>9.4038446367054981E-2</v>
      </c>
      <c r="S117" s="401">
        <v>0.67283140675854003</v>
      </c>
      <c r="T117" s="153">
        <v>7905</v>
      </c>
      <c r="U117" s="197">
        <v>8875914.1295125503</v>
      </c>
      <c r="V117" s="159">
        <v>0</v>
      </c>
      <c r="W117" s="159">
        <v>0</v>
      </c>
      <c r="X117" s="159">
        <v>12834883.710000001</v>
      </c>
      <c r="Y117" s="159">
        <v>2472708.2858081642</v>
      </c>
      <c r="Z117" s="159">
        <v>0</v>
      </c>
      <c r="AA117" s="155">
        <v>238392.32000000001</v>
      </c>
      <c r="AB117" s="159">
        <v>2364837.6452580094</v>
      </c>
      <c r="AC117" s="159">
        <v>5804878.6500000004</v>
      </c>
      <c r="AD117" s="174">
        <f>SUM(Muut[[#This Row],[Työttömyysaste]:[Työttömät ja palveluissa olevat ]])</f>
        <v>32591614.740578726</v>
      </c>
      <c r="AF117" s="62"/>
    </row>
    <row r="118" spans="1:32" s="45" customFormat="1">
      <c r="A118" s="90">
        <v>300</v>
      </c>
      <c r="B118" s="151" t="s">
        <v>117</v>
      </c>
      <c r="C118" s="395">
        <v>3381</v>
      </c>
      <c r="D118" s="134">
        <v>62.25</v>
      </c>
      <c r="E118" s="41">
        <v>1456</v>
      </c>
      <c r="F118" s="332">
        <f t="shared" si="3"/>
        <v>4.275412087912088E-2</v>
      </c>
      <c r="G118" s="377">
        <f>Muut[[#This Row],[Keskim. työttömyysaste 2023, %]]/$F$12</f>
        <v>0.43510399618526518</v>
      </c>
      <c r="H118" s="166">
        <v>0</v>
      </c>
      <c r="I118" s="383">
        <v>6</v>
      </c>
      <c r="J118" s="389">
        <v>75</v>
      </c>
      <c r="K118" s="269">
        <v>462.37</v>
      </c>
      <c r="L118" s="170">
        <f t="shared" si="4"/>
        <v>7.3123256266626298</v>
      </c>
      <c r="M118" s="377">
        <v>2.5201885705976856</v>
      </c>
      <c r="N118" s="166">
        <v>0</v>
      </c>
      <c r="O118" s="397">
        <v>0</v>
      </c>
      <c r="P118" s="269">
        <v>879</v>
      </c>
      <c r="Q118" s="15">
        <v>110</v>
      </c>
      <c r="R118" s="158">
        <v>0.12514220705346984</v>
      </c>
      <c r="S118" s="401">
        <v>0.89537429072363672</v>
      </c>
      <c r="T118" s="153">
        <v>93</v>
      </c>
      <c r="U118" s="197">
        <v>101563.81963050844</v>
      </c>
      <c r="V118" s="159">
        <v>0</v>
      </c>
      <c r="W118" s="159">
        <v>0</v>
      </c>
      <c r="X118" s="159">
        <v>136949.25</v>
      </c>
      <c r="Y118" s="159">
        <v>352674.15529212618</v>
      </c>
      <c r="Z118" s="159">
        <v>0</v>
      </c>
      <c r="AA118" s="155">
        <v>0</v>
      </c>
      <c r="AB118" s="159">
        <v>85792.561916383696</v>
      </c>
      <c r="AC118" s="159">
        <v>68292.69</v>
      </c>
      <c r="AD118" s="174">
        <f>SUM(Muut[[#This Row],[Työttömyysaste]:[Työttömät ja palveluissa olevat ]])</f>
        <v>745272.47683901829</v>
      </c>
      <c r="AF118" s="62"/>
    </row>
    <row r="119" spans="1:32" s="45" customFormat="1">
      <c r="A119" s="90">
        <v>301</v>
      </c>
      <c r="B119" s="151" t="s">
        <v>118</v>
      </c>
      <c r="C119" s="395">
        <v>19759</v>
      </c>
      <c r="D119" s="134">
        <v>556.75</v>
      </c>
      <c r="E119" s="41">
        <v>8515</v>
      </c>
      <c r="F119" s="332">
        <f t="shared" si="3"/>
        <v>6.5384615384615388E-2</v>
      </c>
      <c r="G119" s="377">
        <f>Muut[[#This Row],[Keskim. työttömyysaste 2023, %]]/$F$12</f>
        <v>0.66541205521023683</v>
      </c>
      <c r="H119" s="166">
        <v>0</v>
      </c>
      <c r="I119" s="383">
        <v>84</v>
      </c>
      <c r="J119" s="389">
        <v>580</v>
      </c>
      <c r="K119" s="269">
        <v>1724.69</v>
      </c>
      <c r="L119" s="170">
        <f t="shared" si="4"/>
        <v>11.456551612173781</v>
      </c>
      <c r="M119" s="377">
        <v>1.6085502944203194</v>
      </c>
      <c r="N119" s="166">
        <v>0</v>
      </c>
      <c r="O119" s="397">
        <v>0</v>
      </c>
      <c r="P119" s="269">
        <v>5336</v>
      </c>
      <c r="Q119" s="15">
        <v>598</v>
      </c>
      <c r="R119" s="158">
        <v>0.11206896551724138</v>
      </c>
      <c r="S119" s="401">
        <v>0.80183714891057967</v>
      </c>
      <c r="T119" s="153">
        <v>901</v>
      </c>
      <c r="U119" s="197">
        <v>907729.41419599194</v>
      </c>
      <c r="V119" s="159">
        <v>0</v>
      </c>
      <c r="W119" s="159">
        <v>0</v>
      </c>
      <c r="X119" s="159">
        <v>1059074.2</v>
      </c>
      <c r="Y119" s="159">
        <v>1315512.6606198007</v>
      </c>
      <c r="Z119" s="159">
        <v>0</v>
      </c>
      <c r="AA119" s="155">
        <v>0</v>
      </c>
      <c r="AB119" s="159">
        <v>449004.7963856862</v>
      </c>
      <c r="AC119" s="159">
        <v>661631.33000000007</v>
      </c>
      <c r="AD119" s="174">
        <f>SUM(Muut[[#This Row],[Työttömyysaste]:[Työttömät ja palveluissa olevat ]])</f>
        <v>4392952.4012014791</v>
      </c>
      <c r="AF119" s="62"/>
    </row>
    <row r="120" spans="1:32" s="45" customFormat="1">
      <c r="A120" s="90">
        <v>304</v>
      </c>
      <c r="B120" s="151" t="s">
        <v>119</v>
      </c>
      <c r="C120" s="395">
        <v>949</v>
      </c>
      <c r="D120" s="134">
        <v>29.333333333333332</v>
      </c>
      <c r="E120" s="41">
        <v>417</v>
      </c>
      <c r="F120" s="332">
        <f t="shared" si="3"/>
        <v>7.034372501998401E-2</v>
      </c>
      <c r="G120" s="377">
        <f>Muut[[#This Row],[Keskim. työttömyysaste 2023, %]]/$F$12</f>
        <v>0.71588036973763192</v>
      </c>
      <c r="H120" s="166">
        <v>0</v>
      </c>
      <c r="I120" s="383">
        <v>18</v>
      </c>
      <c r="J120" s="389">
        <v>47</v>
      </c>
      <c r="K120" s="269">
        <v>166.2</v>
      </c>
      <c r="L120" s="170">
        <f t="shared" si="4"/>
        <v>5.7099879663056559</v>
      </c>
      <c r="M120" s="377">
        <v>3.2274042568126222</v>
      </c>
      <c r="N120" s="166">
        <v>1</v>
      </c>
      <c r="O120" s="397">
        <v>0</v>
      </c>
      <c r="P120" s="269">
        <v>215</v>
      </c>
      <c r="Q120" s="15">
        <v>36</v>
      </c>
      <c r="R120" s="158">
        <v>0.16744186046511628</v>
      </c>
      <c r="S120" s="401">
        <v>1.1980221588016389</v>
      </c>
      <c r="T120" s="153">
        <v>44</v>
      </c>
      <c r="U120" s="197">
        <v>46903.737309625125</v>
      </c>
      <c r="V120" s="159">
        <v>0</v>
      </c>
      <c r="W120" s="159">
        <v>0</v>
      </c>
      <c r="X120" s="159">
        <v>85821.53</v>
      </c>
      <c r="Y120" s="159">
        <v>126769.56681781124</v>
      </c>
      <c r="Z120" s="159">
        <v>382769.66</v>
      </c>
      <c r="AA120" s="155">
        <v>0</v>
      </c>
      <c r="AB120" s="159">
        <v>32220.398633436085</v>
      </c>
      <c r="AC120" s="159">
        <v>32310.52</v>
      </c>
      <c r="AD120" s="174">
        <f>SUM(Muut[[#This Row],[Työttömyysaste]:[Työttömät ja palveluissa olevat ]])</f>
        <v>706795.41276087239</v>
      </c>
      <c r="AF120" s="62"/>
    </row>
    <row r="121" spans="1:32" s="45" customFormat="1">
      <c r="A121" s="90">
        <v>305</v>
      </c>
      <c r="B121" s="151" t="s">
        <v>120</v>
      </c>
      <c r="C121" s="395">
        <v>15019</v>
      </c>
      <c r="D121" s="134">
        <v>643.58333333333337</v>
      </c>
      <c r="E121" s="41">
        <v>6523</v>
      </c>
      <c r="F121" s="332">
        <f t="shared" si="3"/>
        <v>9.8663702795237368E-2</v>
      </c>
      <c r="G121" s="377">
        <f>Muut[[#This Row],[Keskim. työttömyysaste 2023, %]]/$F$12</f>
        <v>1.0040896756131783</v>
      </c>
      <c r="H121" s="166">
        <v>0</v>
      </c>
      <c r="I121" s="383">
        <v>42</v>
      </c>
      <c r="J121" s="389">
        <v>595</v>
      </c>
      <c r="K121" s="269">
        <v>4979.18</v>
      </c>
      <c r="L121" s="170">
        <f t="shared" si="4"/>
        <v>3.0163601235544806</v>
      </c>
      <c r="M121" s="377">
        <v>6.1094957876208884</v>
      </c>
      <c r="N121" s="166">
        <v>0</v>
      </c>
      <c r="O121" s="397">
        <v>0</v>
      </c>
      <c r="P121" s="269">
        <v>4043</v>
      </c>
      <c r="Q121" s="15">
        <v>464</v>
      </c>
      <c r="R121" s="158">
        <v>0.11476626267623052</v>
      </c>
      <c r="S121" s="401">
        <v>0.82113591778692596</v>
      </c>
      <c r="T121" s="153">
        <v>973</v>
      </c>
      <c r="U121" s="197">
        <v>1041152.3927378899</v>
      </c>
      <c r="V121" s="159">
        <v>0</v>
      </c>
      <c r="W121" s="159">
        <v>0</v>
      </c>
      <c r="X121" s="159">
        <v>1086464.05</v>
      </c>
      <c r="Y121" s="159">
        <v>3797885.0283267717</v>
      </c>
      <c r="Z121" s="159">
        <v>0</v>
      </c>
      <c r="AA121" s="155">
        <v>0</v>
      </c>
      <c r="AB121" s="159">
        <v>349507.0274975138</v>
      </c>
      <c r="AC121" s="159">
        <v>714503.09000000008</v>
      </c>
      <c r="AD121" s="174">
        <f>SUM(Muut[[#This Row],[Työttömyysaste]:[Työttömät ja palveluissa olevat ]])</f>
        <v>6989511.5885621756</v>
      </c>
      <c r="AF121" s="62"/>
    </row>
    <row r="122" spans="1:32" s="45" customFormat="1">
      <c r="A122" s="90">
        <v>309</v>
      </c>
      <c r="B122" s="151" t="s">
        <v>121</v>
      </c>
      <c r="C122" s="395">
        <v>6409</v>
      </c>
      <c r="D122" s="134">
        <v>422.91666666666669</v>
      </c>
      <c r="E122" s="41">
        <v>2503</v>
      </c>
      <c r="F122" s="332">
        <f t="shared" si="3"/>
        <v>0.16896390997469704</v>
      </c>
      <c r="G122" s="377">
        <f>Muut[[#This Row],[Keskim. työttömyysaste 2023, %]]/$F$12</f>
        <v>1.7195271690636091</v>
      </c>
      <c r="H122" s="166">
        <v>0</v>
      </c>
      <c r="I122" s="383">
        <v>9</v>
      </c>
      <c r="J122" s="389">
        <v>414</v>
      </c>
      <c r="K122" s="269">
        <v>446.25</v>
      </c>
      <c r="L122" s="170">
        <f t="shared" si="4"/>
        <v>14.361904761904762</v>
      </c>
      <c r="M122" s="377">
        <v>1.2831473104936277</v>
      </c>
      <c r="N122" s="166">
        <v>0</v>
      </c>
      <c r="O122" s="397">
        <v>0</v>
      </c>
      <c r="P122" s="269">
        <v>1643</v>
      </c>
      <c r="Q122" s="15">
        <v>265</v>
      </c>
      <c r="R122" s="158">
        <v>0.16129032258064516</v>
      </c>
      <c r="S122" s="401">
        <v>1.1540087999209336</v>
      </c>
      <c r="T122" s="153">
        <v>633</v>
      </c>
      <c r="U122" s="197">
        <v>760851.84221553965</v>
      </c>
      <c r="V122" s="159">
        <v>0</v>
      </c>
      <c r="W122" s="159">
        <v>0</v>
      </c>
      <c r="X122" s="159">
        <v>755959.86</v>
      </c>
      <c r="Y122" s="159">
        <v>340378.57516515203</v>
      </c>
      <c r="Z122" s="159">
        <v>0</v>
      </c>
      <c r="AA122" s="155">
        <v>0</v>
      </c>
      <c r="AB122" s="159">
        <v>209603.84157896708</v>
      </c>
      <c r="AC122" s="159">
        <v>464830.89</v>
      </c>
      <c r="AD122" s="174">
        <f>SUM(Muut[[#This Row],[Työttömyysaste]:[Työttömät ja palveluissa olevat ]])</f>
        <v>2531625.0089596589</v>
      </c>
      <c r="AF122" s="62"/>
    </row>
    <row r="123" spans="1:32" s="45" customFormat="1">
      <c r="A123" s="90">
        <v>312</v>
      </c>
      <c r="B123" s="151" t="s">
        <v>122</v>
      </c>
      <c r="C123" s="395">
        <v>1174</v>
      </c>
      <c r="D123" s="134">
        <v>34.083333333333336</v>
      </c>
      <c r="E123" s="41">
        <v>451</v>
      </c>
      <c r="F123" s="332">
        <f t="shared" si="3"/>
        <v>7.5572801182557284E-2</v>
      </c>
      <c r="G123" s="377">
        <f>Muut[[#This Row],[Keskim. työttömyysaste 2023, %]]/$F$12</f>
        <v>0.76909610398522443</v>
      </c>
      <c r="H123" s="166">
        <v>0</v>
      </c>
      <c r="I123" s="383">
        <v>1</v>
      </c>
      <c r="J123" s="389">
        <v>31</v>
      </c>
      <c r="K123" s="269">
        <v>448.22</v>
      </c>
      <c r="L123" s="170">
        <f t="shared" si="4"/>
        <v>2.6192494757038953</v>
      </c>
      <c r="M123" s="377">
        <v>7.0357709869737679</v>
      </c>
      <c r="N123" s="166">
        <v>0</v>
      </c>
      <c r="O123" s="397">
        <v>0</v>
      </c>
      <c r="P123" s="269">
        <v>253</v>
      </c>
      <c r="Q123" s="15">
        <v>43</v>
      </c>
      <c r="R123" s="158">
        <v>0.16996047430830039</v>
      </c>
      <c r="S123" s="401">
        <v>1.2160424745411893</v>
      </c>
      <c r="T123" s="153">
        <v>54</v>
      </c>
      <c r="U123" s="197">
        <v>62337.515752470252</v>
      </c>
      <c r="V123" s="159">
        <v>0</v>
      </c>
      <c r="W123" s="159">
        <v>0</v>
      </c>
      <c r="X123" s="159">
        <v>56605.69</v>
      </c>
      <c r="Y123" s="159">
        <v>341881.19879109116</v>
      </c>
      <c r="Z123" s="159">
        <v>0</v>
      </c>
      <c r="AA123" s="155">
        <v>0</v>
      </c>
      <c r="AB123" s="159">
        <v>40459.143737255836</v>
      </c>
      <c r="AC123" s="159">
        <v>39653.82</v>
      </c>
      <c r="AD123" s="174">
        <f>SUM(Muut[[#This Row],[Työttömyysaste]:[Työttömät ja palveluissa olevat ]])</f>
        <v>540937.36828081717</v>
      </c>
      <c r="AF123" s="62"/>
    </row>
    <row r="124" spans="1:32" s="45" customFormat="1">
      <c r="A124" s="90">
        <v>316</v>
      </c>
      <c r="B124" s="151" t="s">
        <v>123</v>
      </c>
      <c r="C124" s="395">
        <v>4114</v>
      </c>
      <c r="D124" s="134">
        <v>174.25</v>
      </c>
      <c r="E124" s="41">
        <v>1958</v>
      </c>
      <c r="F124" s="332">
        <f t="shared" si="3"/>
        <v>8.899387129724208E-2</v>
      </c>
      <c r="G124" s="377">
        <f>Muut[[#This Row],[Keskim. työttömyysaste 2023, %]]/$F$12</f>
        <v>0.90568086166255424</v>
      </c>
      <c r="H124" s="166">
        <v>0</v>
      </c>
      <c r="I124" s="383">
        <v>19</v>
      </c>
      <c r="J124" s="389">
        <v>192</v>
      </c>
      <c r="K124" s="269">
        <v>256.5</v>
      </c>
      <c r="L124" s="170">
        <f t="shared" si="4"/>
        <v>16.03898635477583</v>
      </c>
      <c r="M124" s="377">
        <v>1.1489778132591526</v>
      </c>
      <c r="N124" s="166">
        <v>0</v>
      </c>
      <c r="O124" s="397">
        <v>0</v>
      </c>
      <c r="P124" s="269">
        <v>1169</v>
      </c>
      <c r="Q124" s="15">
        <v>258</v>
      </c>
      <c r="R124" s="158">
        <v>0.22070145423438836</v>
      </c>
      <c r="S124" s="401">
        <v>1.5790868061193544</v>
      </c>
      <c r="T124" s="153">
        <v>280</v>
      </c>
      <c r="U124" s="197">
        <v>257241.04231929785</v>
      </c>
      <c r="V124" s="159">
        <v>0</v>
      </c>
      <c r="W124" s="159">
        <v>0</v>
      </c>
      <c r="X124" s="159">
        <v>350590.08</v>
      </c>
      <c r="Y124" s="159">
        <v>195646.17261593608</v>
      </c>
      <c r="Z124" s="159">
        <v>0</v>
      </c>
      <c r="AA124" s="155">
        <v>0</v>
      </c>
      <c r="AB124" s="159">
        <v>184106.93083142818</v>
      </c>
      <c r="AC124" s="159">
        <v>205612.40000000002</v>
      </c>
      <c r="AD124" s="174">
        <f>SUM(Muut[[#This Row],[Työttömyysaste]:[Työttömät ja palveluissa olevat ]])</f>
        <v>1193196.6257666619</v>
      </c>
      <c r="AF124" s="62"/>
    </row>
    <row r="125" spans="1:32" s="45" customFormat="1">
      <c r="A125" s="90">
        <v>317</v>
      </c>
      <c r="B125" s="151" t="s">
        <v>124</v>
      </c>
      <c r="C125" s="395">
        <v>2440</v>
      </c>
      <c r="D125" s="134">
        <v>98.583333333333329</v>
      </c>
      <c r="E125" s="41">
        <v>1003</v>
      </c>
      <c r="F125" s="332">
        <f t="shared" si="3"/>
        <v>9.8288467929544696E-2</v>
      </c>
      <c r="G125" s="377">
        <f>Muut[[#This Row],[Keskim. työttömyysaste 2023, %]]/$F$12</f>
        <v>1.0002709515647403</v>
      </c>
      <c r="H125" s="166">
        <v>0</v>
      </c>
      <c r="I125" s="383">
        <v>2</v>
      </c>
      <c r="J125" s="389">
        <v>39</v>
      </c>
      <c r="K125" s="269">
        <v>698.32</v>
      </c>
      <c r="L125" s="170">
        <f t="shared" si="4"/>
        <v>3.4941001260167255</v>
      </c>
      <c r="M125" s="377">
        <v>5.2741589548586125</v>
      </c>
      <c r="N125" s="166">
        <v>0</v>
      </c>
      <c r="O125" s="397">
        <v>0</v>
      </c>
      <c r="P125" s="269">
        <v>578</v>
      </c>
      <c r="Q125" s="15">
        <v>91</v>
      </c>
      <c r="R125" s="158">
        <v>0.157439446366782</v>
      </c>
      <c r="S125" s="401">
        <v>1.1264563406840669</v>
      </c>
      <c r="T125" s="153">
        <v>132</v>
      </c>
      <c r="U125" s="197">
        <v>168503.2438503124</v>
      </c>
      <c r="V125" s="159">
        <v>0</v>
      </c>
      <c r="W125" s="159">
        <v>0</v>
      </c>
      <c r="X125" s="159">
        <v>71213.61</v>
      </c>
      <c r="Y125" s="159">
        <v>532645.75150549901</v>
      </c>
      <c r="Z125" s="159">
        <v>0</v>
      </c>
      <c r="AA125" s="155">
        <v>0</v>
      </c>
      <c r="AB125" s="159">
        <v>77894.005375766952</v>
      </c>
      <c r="AC125" s="159">
        <v>96931.560000000012</v>
      </c>
      <c r="AD125" s="174">
        <f>SUM(Muut[[#This Row],[Työttömyysaste]:[Työttömät ja palveluissa olevat ]])</f>
        <v>947188.17073157849</v>
      </c>
      <c r="AF125" s="62"/>
    </row>
    <row r="126" spans="1:32" s="104" customFormat="1">
      <c r="A126" s="90">
        <v>320</v>
      </c>
      <c r="B126" s="151" t="s">
        <v>125</v>
      </c>
      <c r="C126" s="395">
        <v>7030</v>
      </c>
      <c r="D126" s="134">
        <v>414.66666666666669</v>
      </c>
      <c r="E126" s="41">
        <v>2731</v>
      </c>
      <c r="F126" s="332">
        <f t="shared" si="3"/>
        <v>0.15183693396802148</v>
      </c>
      <c r="G126" s="377">
        <f>Muut[[#This Row],[Keskim. työttömyysaste 2023, %]]/$F$12</f>
        <v>1.5452278138238453</v>
      </c>
      <c r="H126" s="166">
        <v>0</v>
      </c>
      <c r="I126" s="383">
        <v>7</v>
      </c>
      <c r="J126" s="389">
        <v>280</v>
      </c>
      <c r="K126" s="269">
        <v>3503.99</v>
      </c>
      <c r="L126" s="170">
        <f t="shared" si="4"/>
        <v>2.0062842645098873</v>
      </c>
      <c r="M126" s="377">
        <v>9.1853581243660809</v>
      </c>
      <c r="N126" s="166">
        <v>0</v>
      </c>
      <c r="O126" s="397">
        <v>0</v>
      </c>
      <c r="P126" s="269">
        <v>1568</v>
      </c>
      <c r="Q126" s="15">
        <v>224</v>
      </c>
      <c r="R126" s="158">
        <v>0.14285714285714285</v>
      </c>
      <c r="S126" s="401">
        <v>1.0221220799299697</v>
      </c>
      <c r="T126" s="153">
        <v>570</v>
      </c>
      <c r="U126" s="197">
        <v>749978.17371278012</v>
      </c>
      <c r="V126" s="159">
        <v>0</v>
      </c>
      <c r="W126" s="159">
        <v>0</v>
      </c>
      <c r="X126" s="159">
        <v>511277.2</v>
      </c>
      <c r="Y126" s="159">
        <v>2672679.26855561</v>
      </c>
      <c r="Z126" s="159">
        <v>0</v>
      </c>
      <c r="AA126" s="155">
        <v>0</v>
      </c>
      <c r="AB126" s="159">
        <v>203637.58640886383</v>
      </c>
      <c r="AC126" s="159">
        <v>418568.10000000003</v>
      </c>
      <c r="AD126" s="174">
        <f>SUM(Muut[[#This Row],[Työttömyysaste]:[Työttömät ja palveluissa olevat ]])</f>
        <v>4556140.3286772538</v>
      </c>
      <c r="AF126" s="351"/>
    </row>
    <row r="127" spans="1:32" s="45" customFormat="1">
      <c r="A127" s="90">
        <v>322</v>
      </c>
      <c r="B127" s="151" t="s">
        <v>126</v>
      </c>
      <c r="C127" s="395">
        <v>6462</v>
      </c>
      <c r="D127" s="134">
        <v>185.83333333333334</v>
      </c>
      <c r="E127" s="41">
        <v>2748</v>
      </c>
      <c r="F127" s="332">
        <f t="shared" si="3"/>
        <v>6.7624939349830188E-2</v>
      </c>
      <c r="G127" s="377">
        <f>Muut[[#This Row],[Keskim. työttömyysaste 2023, %]]/$F$12</f>
        <v>0.68821158634246538</v>
      </c>
      <c r="H127" s="166">
        <v>3</v>
      </c>
      <c r="I127" s="383">
        <v>4281</v>
      </c>
      <c r="J127" s="389">
        <v>240</v>
      </c>
      <c r="K127" s="269">
        <v>687.13</v>
      </c>
      <c r="L127" s="170">
        <f t="shared" si="4"/>
        <v>9.4043339688268599</v>
      </c>
      <c r="M127" s="377">
        <v>1.9595688041162334</v>
      </c>
      <c r="N127" s="166">
        <v>1</v>
      </c>
      <c r="O127" s="397">
        <v>0</v>
      </c>
      <c r="P127" s="269">
        <v>1671</v>
      </c>
      <c r="Q127" s="15">
        <v>301</v>
      </c>
      <c r="R127" s="158">
        <v>0.180131657690006</v>
      </c>
      <c r="S127" s="401">
        <v>1.2888158123353959</v>
      </c>
      <c r="T127" s="153">
        <v>273</v>
      </c>
      <c r="U127" s="197">
        <v>307036.29462604364</v>
      </c>
      <c r="V127" s="159">
        <v>132553.71360000002</v>
      </c>
      <c r="W127" s="159">
        <v>1166688.9432000003</v>
      </c>
      <c r="X127" s="159">
        <v>438237.6</v>
      </c>
      <c r="Y127" s="159">
        <v>524110.54420892074</v>
      </c>
      <c r="Z127" s="159">
        <v>2606383.0799999996</v>
      </c>
      <c r="AA127" s="155">
        <v>0</v>
      </c>
      <c r="AB127" s="159">
        <v>236024.80926568306</v>
      </c>
      <c r="AC127" s="159">
        <v>200472.09000000003</v>
      </c>
      <c r="AD127" s="174">
        <f>SUM(Muut[[#This Row],[Työttömyysaste]:[Työttömät ja palveluissa olevat ]])</f>
        <v>5611507.0749006476</v>
      </c>
      <c r="AF127" s="62"/>
    </row>
    <row r="128" spans="1:32" s="45" customFormat="1">
      <c r="A128" s="151">
        <v>398</v>
      </c>
      <c r="B128" s="151" t="s">
        <v>127</v>
      </c>
      <c r="C128" s="395">
        <v>120693</v>
      </c>
      <c r="D128" s="134">
        <v>7386.666666666667</v>
      </c>
      <c r="E128" s="41">
        <v>56108</v>
      </c>
      <c r="F128" s="332">
        <f t="shared" si="3"/>
        <v>0.13165086381027066</v>
      </c>
      <c r="G128" s="377">
        <f>Muut[[#This Row],[Keskim. työttömyysaste 2023, %]]/$F$12</f>
        <v>1.3397963931253383</v>
      </c>
      <c r="H128" s="166">
        <v>0</v>
      </c>
      <c r="I128" s="383">
        <v>522</v>
      </c>
      <c r="J128" s="389">
        <v>11259</v>
      </c>
      <c r="K128" s="269">
        <v>459.55</v>
      </c>
      <c r="L128" s="170">
        <f t="shared" si="4"/>
        <v>262.63301055380265</v>
      </c>
      <c r="M128" s="377">
        <v>7.0168024308690222E-2</v>
      </c>
      <c r="N128" s="166">
        <v>0</v>
      </c>
      <c r="O128" s="397">
        <v>0</v>
      </c>
      <c r="P128" s="269">
        <v>37001</v>
      </c>
      <c r="Q128" s="15">
        <v>5701</v>
      </c>
      <c r="R128" s="158">
        <v>0.1540769168400854</v>
      </c>
      <c r="S128" s="401">
        <v>1.1023979309684955</v>
      </c>
      <c r="T128" s="153">
        <v>10240</v>
      </c>
      <c r="U128" s="197">
        <v>11164047.341050897</v>
      </c>
      <c r="V128" s="159">
        <v>0</v>
      </c>
      <c r="W128" s="159">
        <v>0</v>
      </c>
      <c r="X128" s="159">
        <v>20558821.41</v>
      </c>
      <c r="Y128" s="159">
        <v>350523.19152301532</v>
      </c>
      <c r="Z128" s="159">
        <v>0</v>
      </c>
      <c r="AA128" s="155">
        <v>0</v>
      </c>
      <c r="AB128" s="159">
        <v>3770685.5600906666</v>
      </c>
      <c r="AC128" s="159">
        <v>7519539.2000000002</v>
      </c>
      <c r="AD128" s="174">
        <f>SUM(Muut[[#This Row],[Työttömyysaste]:[Työttömät ja palveluissa olevat ]])</f>
        <v>43363616.702664584</v>
      </c>
      <c r="AF128" s="62"/>
    </row>
    <row r="129" spans="1:32" s="45" customFormat="1">
      <c r="A129" s="90">
        <v>399</v>
      </c>
      <c r="B129" s="151" t="s">
        <v>128</v>
      </c>
      <c r="C129" s="395">
        <v>7682</v>
      </c>
      <c r="D129" s="134">
        <v>171.08333333333334</v>
      </c>
      <c r="E129" s="41">
        <v>3634</v>
      </c>
      <c r="F129" s="332">
        <f t="shared" si="3"/>
        <v>4.7078517703173735E-2</v>
      </c>
      <c r="G129" s="377">
        <f>Muut[[#This Row],[Keskim. työttömyysaste 2023, %]]/$F$12</f>
        <v>0.47911290808772306</v>
      </c>
      <c r="H129" s="166">
        <v>0</v>
      </c>
      <c r="I129" s="383">
        <v>84</v>
      </c>
      <c r="J129" s="389">
        <v>142</v>
      </c>
      <c r="K129" s="269">
        <v>505.16</v>
      </c>
      <c r="L129" s="170">
        <f t="shared" si="4"/>
        <v>15.20706310871803</v>
      </c>
      <c r="M129" s="377">
        <v>1.2118342205234167</v>
      </c>
      <c r="N129" s="166">
        <v>0</v>
      </c>
      <c r="O129" s="397">
        <v>0</v>
      </c>
      <c r="P129" s="269">
        <v>2487</v>
      </c>
      <c r="Q129" s="15">
        <v>204</v>
      </c>
      <c r="R129" s="158">
        <v>8.2026537997587454E-2</v>
      </c>
      <c r="S129" s="401">
        <v>0.5868879493928415</v>
      </c>
      <c r="T129" s="153">
        <v>263</v>
      </c>
      <c r="U129" s="197">
        <v>254104.85164955954</v>
      </c>
      <c r="V129" s="159">
        <v>0</v>
      </c>
      <c r="W129" s="159">
        <v>0</v>
      </c>
      <c r="X129" s="159">
        <v>259290.58</v>
      </c>
      <c r="Y129" s="159">
        <v>385312.36085250013</v>
      </c>
      <c r="Z129" s="159">
        <v>0</v>
      </c>
      <c r="AA129" s="155">
        <v>0</v>
      </c>
      <c r="AB129" s="159">
        <v>127770.13125986281</v>
      </c>
      <c r="AC129" s="159">
        <v>193128.79</v>
      </c>
      <c r="AD129" s="174">
        <f>SUM(Muut[[#This Row],[Työttömyysaste]:[Työttömät ja palveluissa olevat ]])</f>
        <v>1219606.7137619224</v>
      </c>
      <c r="AF129" s="62"/>
    </row>
    <row r="130" spans="1:32" s="45" customFormat="1">
      <c r="A130" s="90">
        <v>400</v>
      </c>
      <c r="B130" s="151" t="s">
        <v>129</v>
      </c>
      <c r="C130" s="395">
        <v>8441</v>
      </c>
      <c r="D130" s="134">
        <v>271.33333333333331</v>
      </c>
      <c r="E130" s="41">
        <v>3940</v>
      </c>
      <c r="F130" s="332">
        <f t="shared" si="3"/>
        <v>6.8866328257191203E-2</v>
      </c>
      <c r="G130" s="377">
        <f>Muut[[#This Row],[Keskim. työttömyysaste 2023, %]]/$F$12</f>
        <v>0.70084506501788857</v>
      </c>
      <c r="H130" s="166">
        <v>0</v>
      </c>
      <c r="I130" s="383">
        <v>24</v>
      </c>
      <c r="J130" s="389">
        <v>1005</v>
      </c>
      <c r="K130" s="269">
        <v>532.02</v>
      </c>
      <c r="L130" s="170">
        <f t="shared" si="4"/>
        <v>15.865944889289876</v>
      </c>
      <c r="M130" s="377">
        <v>1.1615091062898892</v>
      </c>
      <c r="N130" s="166">
        <v>0</v>
      </c>
      <c r="O130" s="397">
        <v>0</v>
      </c>
      <c r="P130" s="269">
        <v>2650</v>
      </c>
      <c r="Q130" s="15">
        <v>560</v>
      </c>
      <c r="R130" s="158">
        <v>0.21132075471698114</v>
      </c>
      <c r="S130" s="401">
        <v>1.5119692654058421</v>
      </c>
      <c r="T130" s="153">
        <v>449</v>
      </c>
      <c r="U130" s="197">
        <v>408429.12370105652</v>
      </c>
      <c r="V130" s="159">
        <v>0</v>
      </c>
      <c r="W130" s="159">
        <v>0</v>
      </c>
      <c r="X130" s="159">
        <v>1835119.95</v>
      </c>
      <c r="Y130" s="159">
        <v>405799.90937672643</v>
      </c>
      <c r="Z130" s="159">
        <v>0</v>
      </c>
      <c r="AA130" s="155">
        <v>0</v>
      </c>
      <c r="AB130" s="159">
        <v>361690.17301369883</v>
      </c>
      <c r="AC130" s="159">
        <v>329714.17000000004</v>
      </c>
      <c r="AD130" s="174">
        <f>SUM(Muut[[#This Row],[Työttömyysaste]:[Työttömät ja palveluissa olevat ]])</f>
        <v>3340753.3260914818</v>
      </c>
      <c r="AF130" s="62"/>
    </row>
    <row r="131" spans="1:32" s="45" customFormat="1">
      <c r="A131" s="90">
        <v>402</v>
      </c>
      <c r="B131" s="151" t="s">
        <v>130</v>
      </c>
      <c r="C131" s="395">
        <v>8975</v>
      </c>
      <c r="D131" s="134">
        <v>398.16666666666669</v>
      </c>
      <c r="E131" s="41">
        <v>4015</v>
      </c>
      <c r="F131" s="332">
        <f t="shared" si="3"/>
        <v>9.9169779991697807E-2</v>
      </c>
      <c r="G131" s="377">
        <f>Muut[[#This Row],[Keskim. työttömyysaste 2023, %]]/$F$12</f>
        <v>1.0092399677026995</v>
      </c>
      <c r="H131" s="166">
        <v>0</v>
      </c>
      <c r="I131" s="383">
        <v>11</v>
      </c>
      <c r="J131" s="389">
        <v>257</v>
      </c>
      <c r="K131" s="269">
        <v>1096.8800000000001</v>
      </c>
      <c r="L131" s="170">
        <f t="shared" si="4"/>
        <v>8.1822988841076505</v>
      </c>
      <c r="M131" s="377">
        <v>2.2522324996703538</v>
      </c>
      <c r="N131" s="166">
        <v>0</v>
      </c>
      <c r="O131" s="397">
        <v>0</v>
      </c>
      <c r="P131" s="269">
        <v>2521</v>
      </c>
      <c r="Q131" s="15">
        <v>336</v>
      </c>
      <c r="R131" s="158">
        <v>0.13328044426814756</v>
      </c>
      <c r="S131" s="401">
        <v>0.9536021943654458</v>
      </c>
      <c r="T131" s="153">
        <v>583</v>
      </c>
      <c r="U131" s="197">
        <v>625359.39814749465</v>
      </c>
      <c r="V131" s="159">
        <v>0</v>
      </c>
      <c r="W131" s="159">
        <v>0</v>
      </c>
      <c r="X131" s="159">
        <v>469279.43</v>
      </c>
      <c r="Y131" s="159">
        <v>836648.63087316963</v>
      </c>
      <c r="Z131" s="159">
        <v>0</v>
      </c>
      <c r="AA131" s="155">
        <v>0</v>
      </c>
      <c r="AB131" s="159">
        <v>242550.14854014269</v>
      </c>
      <c r="AC131" s="159">
        <v>428114.39</v>
      </c>
      <c r="AD131" s="174">
        <f>SUM(Muut[[#This Row],[Työttömyysaste]:[Työttömät ja palveluissa olevat ]])</f>
        <v>2601951.997560807</v>
      </c>
      <c r="AF131" s="62"/>
    </row>
    <row r="132" spans="1:32" s="45" customFormat="1">
      <c r="A132" s="90">
        <v>403</v>
      </c>
      <c r="B132" s="151" t="s">
        <v>131</v>
      </c>
      <c r="C132" s="395">
        <v>2789</v>
      </c>
      <c r="D132" s="134">
        <v>65.416666666666671</v>
      </c>
      <c r="E132" s="41">
        <v>1055</v>
      </c>
      <c r="F132" s="332">
        <f t="shared" si="3"/>
        <v>6.2006319115323859E-2</v>
      </c>
      <c r="G132" s="377">
        <f>Muut[[#This Row],[Keskim. työttömyysaste 2023, %]]/$F$12</f>
        <v>0.6310315048248738</v>
      </c>
      <c r="H132" s="166">
        <v>0</v>
      </c>
      <c r="I132" s="383">
        <v>11</v>
      </c>
      <c r="J132" s="389">
        <v>166</v>
      </c>
      <c r="K132" s="269">
        <v>420.88</v>
      </c>
      <c r="L132" s="170">
        <f t="shared" si="4"/>
        <v>6.626591902680099</v>
      </c>
      <c r="M132" s="377">
        <v>2.7809830059627498</v>
      </c>
      <c r="N132" s="166">
        <v>0</v>
      </c>
      <c r="O132" s="397">
        <v>0</v>
      </c>
      <c r="P132" s="269">
        <v>651</v>
      </c>
      <c r="Q132" s="15">
        <v>87</v>
      </c>
      <c r="R132" s="158">
        <v>0.13364055299539171</v>
      </c>
      <c r="S132" s="401">
        <v>0.95617871993448789</v>
      </c>
      <c r="T132" s="153">
        <v>99</v>
      </c>
      <c r="U132" s="197">
        <v>121506.73169468185</v>
      </c>
      <c r="V132" s="159">
        <v>0</v>
      </c>
      <c r="W132" s="159">
        <v>0</v>
      </c>
      <c r="X132" s="159">
        <v>303114.34000000003</v>
      </c>
      <c r="Y132" s="159">
        <v>321027.52877425024</v>
      </c>
      <c r="Z132" s="159">
        <v>0</v>
      </c>
      <c r="AA132" s="155">
        <v>0</v>
      </c>
      <c r="AB132" s="159">
        <v>75576.614630089112</v>
      </c>
      <c r="AC132" s="159">
        <v>72698.67</v>
      </c>
      <c r="AD132" s="174">
        <f>SUM(Muut[[#This Row],[Työttömyysaste]:[Työttömät ja palveluissa olevat ]])</f>
        <v>893923.88509902137</v>
      </c>
      <c r="AF132" s="62"/>
    </row>
    <row r="133" spans="1:32" s="45" customFormat="1">
      <c r="A133" s="90">
        <v>405</v>
      </c>
      <c r="B133" s="151" t="s">
        <v>132</v>
      </c>
      <c r="C133" s="395">
        <v>72988</v>
      </c>
      <c r="D133" s="134">
        <v>3550.3333333333335</v>
      </c>
      <c r="E133" s="41">
        <v>33075</v>
      </c>
      <c r="F133" s="332">
        <f t="shared" si="3"/>
        <v>0.1073418997228521</v>
      </c>
      <c r="G133" s="377">
        <f>Muut[[#This Row],[Keskim. työttömyysaste 2023, %]]/$F$12</f>
        <v>1.0924067333668284</v>
      </c>
      <c r="H133" s="166">
        <v>0</v>
      </c>
      <c r="I133" s="383">
        <v>121</v>
      </c>
      <c r="J133" s="389">
        <v>7228</v>
      </c>
      <c r="K133" s="269">
        <v>1434.05</v>
      </c>
      <c r="L133" s="170">
        <f t="shared" si="4"/>
        <v>50.896412258986786</v>
      </c>
      <c r="M133" s="377">
        <v>0.36207737738036355</v>
      </c>
      <c r="N133" s="166">
        <v>0</v>
      </c>
      <c r="O133" s="397">
        <v>0</v>
      </c>
      <c r="P133" s="269">
        <v>21694</v>
      </c>
      <c r="Q133" s="15">
        <v>2731</v>
      </c>
      <c r="R133" s="158">
        <v>0.12588734212224578</v>
      </c>
      <c r="S133" s="401">
        <v>0.90070562376791885</v>
      </c>
      <c r="T133" s="153">
        <v>5078</v>
      </c>
      <c r="U133" s="197">
        <v>5504737.5064996872</v>
      </c>
      <c r="V133" s="159">
        <v>0</v>
      </c>
      <c r="W133" s="159">
        <v>0</v>
      </c>
      <c r="X133" s="159">
        <v>13198255.720000001</v>
      </c>
      <c r="Y133" s="159">
        <v>1093826.0968416499</v>
      </c>
      <c r="Z133" s="159">
        <v>0</v>
      </c>
      <c r="AA133" s="155">
        <v>0</v>
      </c>
      <c r="AB133" s="159">
        <v>1863091.4965950148</v>
      </c>
      <c r="AC133" s="159">
        <v>3728927.74</v>
      </c>
      <c r="AD133" s="174">
        <f>SUM(Muut[[#This Row],[Työttömyysaste]:[Työttömät ja palveluissa olevat ]])</f>
        <v>25388838.559936352</v>
      </c>
      <c r="AF133" s="62"/>
    </row>
    <row r="134" spans="1:32" s="45" customFormat="1">
      <c r="A134" s="90">
        <v>407</v>
      </c>
      <c r="B134" s="151" t="s">
        <v>133</v>
      </c>
      <c r="C134" s="395">
        <v>2449</v>
      </c>
      <c r="D134" s="134">
        <v>99.583333333333329</v>
      </c>
      <c r="E134" s="41">
        <v>1162</v>
      </c>
      <c r="F134" s="332">
        <f t="shared" si="3"/>
        <v>8.5699942627653472E-2</v>
      </c>
      <c r="G134" s="377">
        <f>Muut[[#This Row],[Keskim. työttömyysaste 2023, %]]/$F$12</f>
        <v>0.87215891108054311</v>
      </c>
      <c r="H134" s="166">
        <v>1</v>
      </c>
      <c r="I134" s="383">
        <v>735</v>
      </c>
      <c r="J134" s="389">
        <v>172</v>
      </c>
      <c r="K134" s="269">
        <v>329.89</v>
      </c>
      <c r="L134" s="170">
        <f t="shared" si="4"/>
        <v>7.4236866834399349</v>
      </c>
      <c r="M134" s="377">
        <v>2.482383787816929</v>
      </c>
      <c r="N134" s="166">
        <v>0</v>
      </c>
      <c r="O134" s="397">
        <v>0</v>
      </c>
      <c r="P134" s="269">
        <v>701</v>
      </c>
      <c r="Q134" s="15">
        <v>163</v>
      </c>
      <c r="R134" s="158">
        <v>0.23252496433666192</v>
      </c>
      <c r="S134" s="401">
        <v>1.6636823012840165</v>
      </c>
      <c r="T134" s="153">
        <v>134</v>
      </c>
      <c r="U134" s="197">
        <v>147463.72164023074</v>
      </c>
      <c r="V134" s="159">
        <v>50235.847200000004</v>
      </c>
      <c r="W134" s="159">
        <v>200307.49200000003</v>
      </c>
      <c r="X134" s="159">
        <v>314070.28000000003</v>
      </c>
      <c r="Y134" s="159">
        <v>251624.62333049186</v>
      </c>
      <c r="Z134" s="159">
        <v>0</v>
      </c>
      <c r="AA134" s="155">
        <v>0</v>
      </c>
      <c r="AB134" s="159">
        <v>115467.30446863473</v>
      </c>
      <c r="AC134" s="159">
        <v>98400.22</v>
      </c>
      <c r="AD134" s="174">
        <f>SUM(Muut[[#This Row],[Työttömyysaste]:[Työttömät ja palveluissa olevat ]])</f>
        <v>1177569.4886393573</v>
      </c>
      <c r="AF134" s="62"/>
    </row>
    <row r="135" spans="1:32" s="45" customFormat="1">
      <c r="A135" s="90">
        <v>408</v>
      </c>
      <c r="B135" s="151" t="s">
        <v>134</v>
      </c>
      <c r="C135" s="395">
        <v>14024</v>
      </c>
      <c r="D135" s="134">
        <v>390.66666666666669</v>
      </c>
      <c r="E135" s="41">
        <v>6235</v>
      </c>
      <c r="F135" s="332">
        <f t="shared" si="3"/>
        <v>6.2657043571237636E-2</v>
      </c>
      <c r="G135" s="377">
        <f>Muut[[#This Row],[Keskim. työttömyysaste 2023, %]]/$F$12</f>
        <v>0.63765385619970549</v>
      </c>
      <c r="H135" s="166">
        <v>0</v>
      </c>
      <c r="I135" s="383">
        <v>24</v>
      </c>
      <c r="J135" s="389">
        <v>545</v>
      </c>
      <c r="K135" s="269">
        <v>737.27</v>
      </c>
      <c r="L135" s="170">
        <f t="shared" si="4"/>
        <v>19.021525357060508</v>
      </c>
      <c r="M135" s="377">
        <v>0.96882027717947217</v>
      </c>
      <c r="N135" s="166">
        <v>0</v>
      </c>
      <c r="O135" s="397">
        <v>0</v>
      </c>
      <c r="P135" s="269">
        <v>4211</v>
      </c>
      <c r="Q135" s="15">
        <v>422</v>
      </c>
      <c r="R135" s="158">
        <v>0.10021372595582997</v>
      </c>
      <c r="S135" s="401">
        <v>0.71701463408053445</v>
      </c>
      <c r="T135" s="153">
        <v>605</v>
      </c>
      <c r="U135" s="197">
        <v>617387.27818195615</v>
      </c>
      <c r="V135" s="159">
        <v>0</v>
      </c>
      <c r="W135" s="159">
        <v>0</v>
      </c>
      <c r="X135" s="159">
        <v>995164.55</v>
      </c>
      <c r="Y135" s="159">
        <v>562354.985124956</v>
      </c>
      <c r="Z135" s="159">
        <v>0</v>
      </c>
      <c r="AA135" s="155">
        <v>0</v>
      </c>
      <c r="AB135" s="159">
        <v>284970.41089130903</v>
      </c>
      <c r="AC135" s="159">
        <v>444269.65</v>
      </c>
      <c r="AD135" s="174">
        <f>SUM(Muut[[#This Row],[Työttömyysaste]:[Työttömät ja palveluissa olevat ]])</f>
        <v>2904146.8741982211</v>
      </c>
      <c r="AF135" s="62"/>
    </row>
    <row r="136" spans="1:32" s="45" customFormat="1">
      <c r="A136" s="90">
        <v>410</v>
      </c>
      <c r="B136" s="151" t="s">
        <v>135</v>
      </c>
      <c r="C136" s="395">
        <v>18762</v>
      </c>
      <c r="D136" s="134">
        <v>853.16666666666663</v>
      </c>
      <c r="E136" s="41">
        <v>8460</v>
      </c>
      <c r="F136" s="332">
        <f t="shared" si="3"/>
        <v>0.10084712371946414</v>
      </c>
      <c r="G136" s="377">
        <f>Muut[[#This Row],[Keskim. työttömyysaste 2023, %]]/$F$12</f>
        <v>1.02631011074203</v>
      </c>
      <c r="H136" s="166">
        <v>0</v>
      </c>
      <c r="I136" s="383">
        <v>26</v>
      </c>
      <c r="J136" s="389">
        <v>371</v>
      </c>
      <c r="K136" s="269">
        <v>648.5</v>
      </c>
      <c r="L136" s="170">
        <f t="shared" si="4"/>
        <v>28.931380107941404</v>
      </c>
      <c r="M136" s="377">
        <v>0.6369706318899484</v>
      </c>
      <c r="N136" s="166">
        <v>0</v>
      </c>
      <c r="O136" s="397">
        <v>0</v>
      </c>
      <c r="P136" s="269">
        <v>5974</v>
      </c>
      <c r="Q136" s="15">
        <v>486</v>
      </c>
      <c r="R136" s="158">
        <v>8.1352527619685297E-2</v>
      </c>
      <c r="S136" s="401">
        <v>0.58206550316735128</v>
      </c>
      <c r="T136" s="153">
        <v>1205</v>
      </c>
      <c r="U136" s="197">
        <v>1329408.715756106</v>
      </c>
      <c r="V136" s="159">
        <v>0</v>
      </c>
      <c r="W136" s="159">
        <v>0</v>
      </c>
      <c r="X136" s="159">
        <v>677442.29</v>
      </c>
      <c r="Y136" s="159">
        <v>494645.39158454019</v>
      </c>
      <c r="Z136" s="159">
        <v>0</v>
      </c>
      <c r="AA136" s="155">
        <v>0</v>
      </c>
      <c r="AB136" s="159">
        <v>309493.0055818684</v>
      </c>
      <c r="AC136" s="159">
        <v>884867.65</v>
      </c>
      <c r="AD136" s="174">
        <f>SUM(Muut[[#This Row],[Työttömyysaste]:[Työttömät ja palveluissa olevat ]])</f>
        <v>3695857.0529225143</v>
      </c>
      <c r="AF136" s="62"/>
    </row>
    <row r="137" spans="1:32" s="45" customFormat="1">
      <c r="A137" s="90">
        <v>416</v>
      </c>
      <c r="B137" s="151" t="s">
        <v>136</v>
      </c>
      <c r="C137" s="395">
        <v>2862</v>
      </c>
      <c r="D137" s="134">
        <v>110.41666666666667</v>
      </c>
      <c r="E137" s="41">
        <v>1311</v>
      </c>
      <c r="F137" s="332">
        <f t="shared" si="3"/>
        <v>8.4223239257564197E-2</v>
      </c>
      <c r="G137" s="377">
        <f>Muut[[#This Row],[Keskim. työttömyysaste 2023, %]]/$F$12</f>
        <v>0.85713066294224804</v>
      </c>
      <c r="H137" s="166">
        <v>0</v>
      </c>
      <c r="I137" s="383">
        <v>4</v>
      </c>
      <c r="J137" s="389">
        <v>70</v>
      </c>
      <c r="K137" s="269">
        <v>218.01</v>
      </c>
      <c r="L137" s="170">
        <f t="shared" si="4"/>
        <v>13.127838172560892</v>
      </c>
      <c r="M137" s="377">
        <v>1.4037680253647444</v>
      </c>
      <c r="N137" s="166">
        <v>0</v>
      </c>
      <c r="O137" s="397">
        <v>0</v>
      </c>
      <c r="P137" s="269">
        <v>853</v>
      </c>
      <c r="Q137" s="15">
        <v>97</v>
      </c>
      <c r="R137" s="158">
        <v>0.11371629542790153</v>
      </c>
      <c r="S137" s="401">
        <v>0.81362355483288329</v>
      </c>
      <c r="T137" s="153">
        <v>135</v>
      </c>
      <c r="U137" s="197">
        <v>169362.57337480292</v>
      </c>
      <c r="V137" s="159">
        <v>0</v>
      </c>
      <c r="W137" s="159">
        <v>0</v>
      </c>
      <c r="X137" s="159">
        <v>127819.3</v>
      </c>
      <c r="Y137" s="159">
        <v>166287.80542690147</v>
      </c>
      <c r="Z137" s="159">
        <v>0</v>
      </c>
      <c r="AA137" s="155">
        <v>0</v>
      </c>
      <c r="AB137" s="159">
        <v>65992.257998824716</v>
      </c>
      <c r="AC137" s="159">
        <v>99134.55</v>
      </c>
      <c r="AD137" s="174">
        <f>SUM(Muut[[#This Row],[Työttömyysaste]:[Työttömät ja palveluissa olevat ]])</f>
        <v>628596.48680052918</v>
      </c>
      <c r="AF137" s="62"/>
    </row>
    <row r="138" spans="1:32" s="45" customFormat="1">
      <c r="A138" s="90">
        <v>418</v>
      </c>
      <c r="B138" s="151" t="s">
        <v>137</v>
      </c>
      <c r="C138" s="395">
        <v>24711</v>
      </c>
      <c r="D138" s="134">
        <v>743.08333333333337</v>
      </c>
      <c r="E138" s="41">
        <v>11791</v>
      </c>
      <c r="F138" s="332">
        <f t="shared" si="3"/>
        <v>6.3021230882311374E-2</v>
      </c>
      <c r="G138" s="377">
        <f>Muut[[#This Row],[Keskim. työttömyysaste 2023, %]]/$F$12</f>
        <v>0.64136015049718775</v>
      </c>
      <c r="H138" s="166">
        <v>0</v>
      </c>
      <c r="I138" s="383">
        <v>78</v>
      </c>
      <c r="J138" s="389">
        <v>782</v>
      </c>
      <c r="K138" s="269">
        <v>269.58</v>
      </c>
      <c r="L138" s="170">
        <f t="shared" si="4"/>
        <v>91.664811929668375</v>
      </c>
      <c r="M138" s="377">
        <v>0.20104158925175455</v>
      </c>
      <c r="N138" s="166">
        <v>0</v>
      </c>
      <c r="O138" s="397">
        <v>0</v>
      </c>
      <c r="P138" s="269">
        <v>8653</v>
      </c>
      <c r="Q138" s="15">
        <v>572</v>
      </c>
      <c r="R138" s="158">
        <v>6.610424130359413E-2</v>
      </c>
      <c r="S138" s="401">
        <v>0.47296623229395574</v>
      </c>
      <c r="T138" s="153">
        <v>1145</v>
      </c>
      <c r="U138" s="197">
        <v>1094190.8428737421</v>
      </c>
      <c r="V138" s="159">
        <v>0</v>
      </c>
      <c r="W138" s="159">
        <v>0</v>
      </c>
      <c r="X138" s="159">
        <v>1427924.18</v>
      </c>
      <c r="Y138" s="159">
        <v>205622.9832896844</v>
      </c>
      <c r="Z138" s="159">
        <v>0</v>
      </c>
      <c r="AA138" s="155">
        <v>0</v>
      </c>
      <c r="AB138" s="159">
        <v>331222.85916655976</v>
      </c>
      <c r="AC138" s="159">
        <v>840807.85000000009</v>
      </c>
      <c r="AD138" s="174">
        <f>SUM(Muut[[#This Row],[Työttömyysaste]:[Työttömät ja palveluissa olevat ]])</f>
        <v>3899768.7153299865</v>
      </c>
      <c r="AF138" s="62"/>
    </row>
    <row r="139" spans="1:32" s="45" customFormat="1">
      <c r="A139" s="90">
        <v>420</v>
      </c>
      <c r="B139" s="151" t="s">
        <v>138</v>
      </c>
      <c r="C139" s="395">
        <v>9049</v>
      </c>
      <c r="D139" s="134">
        <v>324.91666666666669</v>
      </c>
      <c r="E139" s="41">
        <v>3971</v>
      </c>
      <c r="F139" s="332">
        <f t="shared" si="3"/>
        <v>8.1822378913791655E-2</v>
      </c>
      <c r="G139" s="377">
        <f>Muut[[#This Row],[Keskim. työttömyysaste 2023, %]]/$F$12</f>
        <v>0.83269737070331651</v>
      </c>
      <c r="H139" s="166">
        <v>0</v>
      </c>
      <c r="I139" s="383">
        <v>13</v>
      </c>
      <c r="J139" s="389">
        <v>243</v>
      </c>
      <c r="K139" s="269">
        <v>1136.26</v>
      </c>
      <c r="L139" s="170">
        <f t="shared" si="4"/>
        <v>7.9638463027828141</v>
      </c>
      <c r="M139" s="377">
        <v>2.3140124467701311</v>
      </c>
      <c r="N139" s="166">
        <v>0</v>
      </c>
      <c r="O139" s="397">
        <v>0</v>
      </c>
      <c r="P139" s="269">
        <v>2390</v>
      </c>
      <c r="Q139" s="15">
        <v>271</v>
      </c>
      <c r="R139" s="158">
        <v>0.11338912133891213</v>
      </c>
      <c r="S139" s="401">
        <v>0.81128267181052405</v>
      </c>
      <c r="T139" s="153">
        <v>439</v>
      </c>
      <c r="U139" s="197">
        <v>520221.82015740738</v>
      </c>
      <c r="V139" s="159">
        <v>0</v>
      </c>
      <c r="W139" s="159">
        <v>0</v>
      </c>
      <c r="X139" s="159">
        <v>443715.57</v>
      </c>
      <c r="Y139" s="159">
        <v>866685.84832976048</v>
      </c>
      <c r="Z139" s="159">
        <v>0</v>
      </c>
      <c r="AA139" s="155">
        <v>0</v>
      </c>
      <c r="AB139" s="159">
        <v>208052.35406702867</v>
      </c>
      <c r="AC139" s="159">
        <v>322370.87</v>
      </c>
      <c r="AD139" s="174">
        <f>SUM(Muut[[#This Row],[Työttömyysaste]:[Työttömät ja palveluissa olevat ]])</f>
        <v>2361046.4625541964</v>
      </c>
      <c r="AF139" s="62"/>
    </row>
    <row r="140" spans="1:32" s="45" customFormat="1">
      <c r="A140" s="90">
        <v>421</v>
      </c>
      <c r="B140" s="151" t="s">
        <v>139</v>
      </c>
      <c r="C140" s="395">
        <v>682</v>
      </c>
      <c r="D140" s="134">
        <v>18</v>
      </c>
      <c r="E140" s="41">
        <v>270</v>
      </c>
      <c r="F140" s="332">
        <f t="shared" si="3"/>
        <v>6.6666666666666666E-2</v>
      </c>
      <c r="G140" s="377">
        <f>Muut[[#This Row],[Keskim. työttömyysaste 2023, %]]/$F$12</f>
        <v>0.67845935041043759</v>
      </c>
      <c r="H140" s="166">
        <v>0</v>
      </c>
      <c r="I140" s="383">
        <v>1</v>
      </c>
      <c r="J140" s="389">
        <v>10</v>
      </c>
      <c r="K140" s="269">
        <v>480.08</v>
      </c>
      <c r="L140" s="170">
        <f t="shared" si="4"/>
        <v>1.4205965672387937</v>
      </c>
      <c r="M140" s="377">
        <v>12.972324369770218</v>
      </c>
      <c r="N140" s="166">
        <v>0</v>
      </c>
      <c r="O140" s="397">
        <v>0</v>
      </c>
      <c r="P140" s="269">
        <v>152</v>
      </c>
      <c r="Q140" s="15">
        <v>15</v>
      </c>
      <c r="R140" s="158">
        <v>9.8684210526315791E-2</v>
      </c>
      <c r="S140" s="401">
        <v>0.70607117363583438</v>
      </c>
      <c r="T140" s="153">
        <v>25</v>
      </c>
      <c r="U140" s="197">
        <v>31945.448482693573</v>
      </c>
      <c r="V140" s="159">
        <v>0</v>
      </c>
      <c r="W140" s="159">
        <v>0</v>
      </c>
      <c r="X140" s="159">
        <v>18259.900000000001</v>
      </c>
      <c r="Y140" s="159">
        <v>366182.51286338631</v>
      </c>
      <c r="Z140" s="159">
        <v>0</v>
      </c>
      <c r="AA140" s="155">
        <v>0</v>
      </c>
      <c r="AB140" s="159">
        <v>13646.85891549257</v>
      </c>
      <c r="AC140" s="159">
        <v>18358.25</v>
      </c>
      <c r="AD140" s="174">
        <f>SUM(Muut[[#This Row],[Työttömyysaste]:[Työttömät ja palveluissa olevat ]])</f>
        <v>448392.97026157239</v>
      </c>
      <c r="AF140" s="62"/>
    </row>
    <row r="141" spans="1:32" s="45" customFormat="1">
      <c r="A141" s="90">
        <v>422</v>
      </c>
      <c r="B141" s="151" t="s">
        <v>140</v>
      </c>
      <c r="C141" s="395">
        <v>10228</v>
      </c>
      <c r="D141" s="134">
        <v>669.33333333333337</v>
      </c>
      <c r="E141" s="41">
        <v>3943</v>
      </c>
      <c r="F141" s="332">
        <f t="shared" ref="F141:F203" si="5">D141/E141</f>
        <v>0.1697523036604954</v>
      </c>
      <c r="G141" s="377">
        <f>Muut[[#This Row],[Keskim. työttömyysaste 2023, %]]/$F$12</f>
        <v>1.7275505650826257</v>
      </c>
      <c r="H141" s="166">
        <v>0</v>
      </c>
      <c r="I141" s="383">
        <v>9</v>
      </c>
      <c r="J141" s="389">
        <v>587</v>
      </c>
      <c r="K141" s="269">
        <v>3417.83</v>
      </c>
      <c r="L141" s="170">
        <f t="shared" si="4"/>
        <v>2.9925420515356236</v>
      </c>
      <c r="M141" s="377">
        <v>6.1581221421256762</v>
      </c>
      <c r="N141" s="166">
        <v>3</v>
      </c>
      <c r="O141" s="397">
        <v>263</v>
      </c>
      <c r="P141" s="269">
        <v>2361</v>
      </c>
      <c r="Q141" s="15">
        <v>420</v>
      </c>
      <c r="R141" s="158">
        <v>0.17789072426937738</v>
      </c>
      <c r="S141" s="401">
        <v>1.2727822596332532</v>
      </c>
      <c r="T141" s="153">
        <v>911</v>
      </c>
      <c r="U141" s="197">
        <v>1219894.4908840787</v>
      </c>
      <c r="V141" s="159">
        <v>0</v>
      </c>
      <c r="W141" s="159">
        <v>0</v>
      </c>
      <c r="X141" s="159">
        <v>1071856.1300000001</v>
      </c>
      <c r="Y141" s="159">
        <v>2606960.4606312863</v>
      </c>
      <c r="Z141" s="159">
        <v>0</v>
      </c>
      <c r="AA141" s="155">
        <v>77595.520000000004</v>
      </c>
      <c r="AB141" s="159">
        <v>368930.60040632944</v>
      </c>
      <c r="AC141" s="159">
        <v>668974.63</v>
      </c>
      <c r="AD141" s="174">
        <f>SUM(Muut[[#This Row],[Työttömyysaste]:[Työttömät ja palveluissa olevat ]])</f>
        <v>6014211.8319216929</v>
      </c>
      <c r="AF141" s="62"/>
    </row>
    <row r="142" spans="1:32" s="45" customFormat="1">
      <c r="A142" s="151">
        <v>423</v>
      </c>
      <c r="B142" s="151" t="s">
        <v>141</v>
      </c>
      <c r="C142" s="395">
        <v>20637</v>
      </c>
      <c r="D142" s="134">
        <v>490.83333333333331</v>
      </c>
      <c r="E142" s="41">
        <v>10002</v>
      </c>
      <c r="F142" s="332">
        <f t="shared" si="5"/>
        <v>4.9073518629607411E-2</v>
      </c>
      <c r="G142" s="377">
        <f>Muut[[#This Row],[Keskim. työttömyysaste 2023, %]]/$F$12</f>
        <v>0.49941581357696924</v>
      </c>
      <c r="H142" s="166">
        <v>0</v>
      </c>
      <c r="I142" s="383">
        <v>303</v>
      </c>
      <c r="J142" s="389">
        <v>936</v>
      </c>
      <c r="K142" s="269">
        <v>300.52999999999997</v>
      </c>
      <c r="L142" s="170">
        <f t="shared" ref="L142:L204" si="6">C142/K142</f>
        <v>68.668685322596758</v>
      </c>
      <c r="M142" s="377">
        <v>0.26836744263020695</v>
      </c>
      <c r="N142" s="166">
        <v>0</v>
      </c>
      <c r="O142" s="397">
        <v>0</v>
      </c>
      <c r="P142" s="269">
        <v>7104</v>
      </c>
      <c r="Q142" s="15">
        <v>599</v>
      </c>
      <c r="R142" s="158">
        <v>8.43186936936937E-2</v>
      </c>
      <c r="S142" s="401">
        <v>0.60328799002623357</v>
      </c>
      <c r="T142" s="153">
        <v>756</v>
      </c>
      <c r="U142" s="197">
        <v>711556.90375615784</v>
      </c>
      <c r="V142" s="159">
        <v>0</v>
      </c>
      <c r="W142" s="159">
        <v>0</v>
      </c>
      <c r="X142" s="159">
        <v>1709126.64</v>
      </c>
      <c r="Y142" s="159">
        <v>229230.19203223105</v>
      </c>
      <c r="Z142" s="159">
        <v>0</v>
      </c>
      <c r="AA142" s="155">
        <v>0</v>
      </c>
      <c r="AB142" s="159">
        <v>352834.53744985699</v>
      </c>
      <c r="AC142" s="159">
        <v>555153.48</v>
      </c>
      <c r="AD142" s="174">
        <f>SUM(Muut[[#This Row],[Työttömyysaste]:[Työttömät ja palveluissa olevat ]])</f>
        <v>3557901.7532382454</v>
      </c>
      <c r="AF142" s="62"/>
    </row>
    <row r="143" spans="1:32" s="45" customFormat="1">
      <c r="A143" s="90">
        <v>425</v>
      </c>
      <c r="B143" s="151" t="s">
        <v>142</v>
      </c>
      <c r="C143" s="395">
        <v>10256</v>
      </c>
      <c r="D143" s="134">
        <v>285.91666666666669</v>
      </c>
      <c r="E143" s="41">
        <v>4466</v>
      </c>
      <c r="F143" s="332">
        <f t="shared" si="5"/>
        <v>6.4020749365576959E-2</v>
      </c>
      <c r="G143" s="377">
        <f>Muut[[#This Row],[Keskim. työttömyysaste 2023, %]]/$F$12</f>
        <v>0.65153214041038165</v>
      </c>
      <c r="H143" s="166">
        <v>0</v>
      </c>
      <c r="I143" s="383">
        <v>10</v>
      </c>
      <c r="J143" s="389">
        <v>107</v>
      </c>
      <c r="K143" s="269">
        <v>637.32000000000005</v>
      </c>
      <c r="L143" s="170">
        <f t="shared" si="6"/>
        <v>16.092386870018199</v>
      </c>
      <c r="M143" s="377">
        <v>1.1451650782232827</v>
      </c>
      <c r="N143" s="166">
        <v>0</v>
      </c>
      <c r="O143" s="397">
        <v>0</v>
      </c>
      <c r="P143" s="269">
        <v>3454</v>
      </c>
      <c r="Q143" s="15">
        <v>184</v>
      </c>
      <c r="R143" s="158">
        <v>5.3271569195136072E-2</v>
      </c>
      <c r="S143" s="401">
        <v>0.38115032974806051</v>
      </c>
      <c r="T143" s="153">
        <v>414</v>
      </c>
      <c r="U143" s="197">
        <v>461333.12515665445</v>
      </c>
      <c r="V143" s="159">
        <v>0</v>
      </c>
      <c r="W143" s="159">
        <v>0</v>
      </c>
      <c r="X143" s="159">
        <v>195380.93</v>
      </c>
      <c r="Y143" s="159">
        <v>486117.81181905809</v>
      </c>
      <c r="Z143" s="159">
        <v>0</v>
      </c>
      <c r="AA143" s="155">
        <v>0</v>
      </c>
      <c r="AB143" s="159">
        <v>110783.26433893573</v>
      </c>
      <c r="AC143" s="159">
        <v>304012.62</v>
      </c>
      <c r="AD143" s="174">
        <f>SUM(Muut[[#This Row],[Työttömyysaste]:[Työttömät ja palveluissa olevat ]])</f>
        <v>1557627.7513146484</v>
      </c>
      <c r="AF143" s="62"/>
    </row>
    <row r="144" spans="1:32" s="45" customFormat="1">
      <c r="A144" s="90">
        <v>426</v>
      </c>
      <c r="B144" s="151" t="s">
        <v>143</v>
      </c>
      <c r="C144" s="395">
        <v>11969</v>
      </c>
      <c r="D144" s="134">
        <v>566.91666666666663</v>
      </c>
      <c r="E144" s="41">
        <v>5543</v>
      </c>
      <c r="F144" s="332">
        <f t="shared" si="5"/>
        <v>0.10227614408563353</v>
      </c>
      <c r="G144" s="377">
        <f>Muut[[#This Row],[Keskim. työttömyysaste 2023, %]]/$F$12</f>
        <v>1.0408530941823486</v>
      </c>
      <c r="H144" s="166">
        <v>0</v>
      </c>
      <c r="I144" s="383">
        <v>5</v>
      </c>
      <c r="J144" s="389">
        <v>290</v>
      </c>
      <c r="K144" s="269">
        <v>727.47</v>
      </c>
      <c r="L144" s="170">
        <f t="shared" si="6"/>
        <v>16.452912147579969</v>
      </c>
      <c r="M144" s="377">
        <v>1.1200715899716469</v>
      </c>
      <c r="N144" s="166">
        <v>3</v>
      </c>
      <c r="O144" s="397">
        <v>464</v>
      </c>
      <c r="P144" s="269">
        <v>3735</v>
      </c>
      <c r="Q144" s="15">
        <v>322</v>
      </c>
      <c r="R144" s="158">
        <v>8.6211512717536812E-2</v>
      </c>
      <c r="S144" s="401">
        <v>0.61683083484930434</v>
      </c>
      <c r="T144" s="153">
        <v>780</v>
      </c>
      <c r="U144" s="197">
        <v>860098.29604189948</v>
      </c>
      <c r="V144" s="159">
        <v>0</v>
      </c>
      <c r="W144" s="159">
        <v>0</v>
      </c>
      <c r="X144" s="159">
        <v>529537.1</v>
      </c>
      <c r="Y144" s="159">
        <v>554880.00465074088</v>
      </c>
      <c r="Z144" s="159">
        <v>0</v>
      </c>
      <c r="AA144" s="155">
        <v>136898.56</v>
      </c>
      <c r="AB144" s="159">
        <v>209229.91975390291</v>
      </c>
      <c r="AC144" s="159">
        <v>572777.4</v>
      </c>
      <c r="AD144" s="174">
        <f>SUM(Muut[[#This Row],[Työttömyysaste]:[Työttömät ja palveluissa olevat ]])</f>
        <v>2863421.2804465434</v>
      </c>
      <c r="AF144" s="62"/>
    </row>
    <row r="145" spans="1:32" s="45" customFormat="1">
      <c r="A145" s="90">
        <v>430</v>
      </c>
      <c r="B145" s="151" t="s">
        <v>144</v>
      </c>
      <c r="C145" s="395">
        <v>15420</v>
      </c>
      <c r="D145" s="134">
        <v>568.16666666666663</v>
      </c>
      <c r="E145" s="41">
        <v>6626</v>
      </c>
      <c r="F145" s="332">
        <f t="shared" si="5"/>
        <v>8.5748063185431128E-2</v>
      </c>
      <c r="G145" s="377">
        <f>Muut[[#This Row],[Keskim. työttömyysaste 2023, %]]/$F$12</f>
        <v>0.87264862871611137</v>
      </c>
      <c r="H145" s="166">
        <v>0</v>
      </c>
      <c r="I145" s="383">
        <v>32</v>
      </c>
      <c r="J145" s="389">
        <v>859</v>
      </c>
      <c r="K145" s="269">
        <v>848.09</v>
      </c>
      <c r="L145" s="170">
        <f t="shared" si="6"/>
        <v>18.182032567298283</v>
      </c>
      <c r="M145" s="377">
        <v>1.0135522197858462</v>
      </c>
      <c r="N145" s="166">
        <v>0</v>
      </c>
      <c r="O145" s="397">
        <v>0</v>
      </c>
      <c r="P145" s="269">
        <v>4202</v>
      </c>
      <c r="Q145" s="15">
        <v>663</v>
      </c>
      <c r="R145" s="158">
        <v>0.15778200856734889</v>
      </c>
      <c r="S145" s="401">
        <v>1.1289073234067086</v>
      </c>
      <c r="T145" s="153">
        <v>932</v>
      </c>
      <c r="U145" s="197">
        <v>929018.93765556044</v>
      </c>
      <c r="V145" s="159">
        <v>0</v>
      </c>
      <c r="W145" s="159">
        <v>0</v>
      </c>
      <c r="X145" s="159">
        <v>1568525.41</v>
      </c>
      <c r="Y145" s="159">
        <v>646883.28473235585</v>
      </c>
      <c r="Z145" s="159">
        <v>0</v>
      </c>
      <c r="AA145" s="155">
        <v>0</v>
      </c>
      <c r="AB145" s="159">
        <v>493335.66126923723</v>
      </c>
      <c r="AC145" s="159">
        <v>684395.56</v>
      </c>
      <c r="AD145" s="174">
        <f>SUM(Muut[[#This Row],[Työttömyysaste]:[Työttömät ja palveluissa olevat ]])</f>
        <v>4322158.8536571534</v>
      </c>
      <c r="AF145" s="62"/>
    </row>
    <row r="146" spans="1:32" s="45" customFormat="1">
      <c r="A146" s="90">
        <v>433</v>
      </c>
      <c r="B146" s="151" t="s">
        <v>145</v>
      </c>
      <c r="C146" s="395">
        <v>7692</v>
      </c>
      <c r="D146" s="134">
        <v>187.16666666666666</v>
      </c>
      <c r="E146" s="41">
        <v>3547</v>
      </c>
      <c r="F146" s="332">
        <f t="shared" si="5"/>
        <v>5.2767597030354288E-2</v>
      </c>
      <c r="G146" s="377">
        <f>Muut[[#This Row],[Keskim. työttömyysaste 2023, %]]/$F$12</f>
        <v>0.53701004405900854</v>
      </c>
      <c r="H146" s="166">
        <v>0</v>
      </c>
      <c r="I146" s="383">
        <v>36</v>
      </c>
      <c r="J146" s="389">
        <v>258</v>
      </c>
      <c r="K146" s="269">
        <v>597.69000000000005</v>
      </c>
      <c r="L146" s="170">
        <f t="shared" si="6"/>
        <v>12.869547758871654</v>
      </c>
      <c r="M146" s="377">
        <v>1.4319414958540428</v>
      </c>
      <c r="N146" s="166">
        <v>0</v>
      </c>
      <c r="O146" s="397">
        <v>0</v>
      </c>
      <c r="P146" s="269">
        <v>2269</v>
      </c>
      <c r="Q146" s="15">
        <v>296</v>
      </c>
      <c r="R146" s="158">
        <v>0.13045394446892905</v>
      </c>
      <c r="S146" s="401">
        <v>0.93337899938955371</v>
      </c>
      <c r="T146" s="153">
        <v>304</v>
      </c>
      <c r="U146" s="197">
        <v>285182.23411458684</v>
      </c>
      <c r="V146" s="159">
        <v>0</v>
      </c>
      <c r="W146" s="159">
        <v>0</v>
      </c>
      <c r="X146" s="159">
        <v>471105.42</v>
      </c>
      <c r="Y146" s="159">
        <v>455889.90608506382</v>
      </c>
      <c r="Z146" s="159">
        <v>0</v>
      </c>
      <c r="AA146" s="155">
        <v>0</v>
      </c>
      <c r="AB146" s="159">
        <v>203468.48280204803</v>
      </c>
      <c r="AC146" s="159">
        <v>223236.32</v>
      </c>
      <c r="AD146" s="174">
        <f>SUM(Muut[[#This Row],[Työttömyysaste]:[Työttömät ja palveluissa olevat ]])</f>
        <v>1638882.3630016986</v>
      </c>
      <c r="AF146" s="62"/>
    </row>
    <row r="147" spans="1:32" s="45" customFormat="1">
      <c r="A147" s="90">
        <v>434</v>
      </c>
      <c r="B147" s="151" t="s">
        <v>146</v>
      </c>
      <c r="C147" s="395">
        <v>14458</v>
      </c>
      <c r="D147" s="134">
        <v>672.16666666666663</v>
      </c>
      <c r="E147" s="41">
        <v>6716</v>
      </c>
      <c r="F147" s="332">
        <f t="shared" si="5"/>
        <v>0.10008437562040896</v>
      </c>
      <c r="G147" s="377">
        <f>Muut[[#This Row],[Keskim. työttömyysaste 2023, %]]/$F$12</f>
        <v>1.0185477070448534</v>
      </c>
      <c r="H147" s="166">
        <v>1</v>
      </c>
      <c r="I147" s="383">
        <v>5641</v>
      </c>
      <c r="J147" s="389">
        <v>829</v>
      </c>
      <c r="K147" s="269">
        <v>820.06</v>
      </c>
      <c r="L147" s="170">
        <f t="shared" si="6"/>
        <v>17.630417286540009</v>
      </c>
      <c r="M147" s="377">
        <v>1.0452639418167919</v>
      </c>
      <c r="N147" s="166">
        <v>3</v>
      </c>
      <c r="O147" s="397">
        <v>712</v>
      </c>
      <c r="P147" s="269">
        <v>4169</v>
      </c>
      <c r="Q147" s="15">
        <v>660</v>
      </c>
      <c r="R147" s="158">
        <v>0.15831134564643801</v>
      </c>
      <c r="S147" s="401">
        <v>1.1326946532205471</v>
      </c>
      <c r="T147" s="153">
        <v>893</v>
      </c>
      <c r="U147" s="197">
        <v>1016694.2761532983</v>
      </c>
      <c r="V147" s="159">
        <v>296574.06240000005</v>
      </c>
      <c r="W147" s="159">
        <v>1537325.9352000002</v>
      </c>
      <c r="X147" s="159">
        <v>1513745.71</v>
      </c>
      <c r="Y147" s="159">
        <v>625503.31506988127</v>
      </c>
      <c r="Z147" s="159">
        <v>0</v>
      </c>
      <c r="AA147" s="155">
        <v>210068.48000000001</v>
      </c>
      <c r="AB147" s="159">
        <v>464109.99005608406</v>
      </c>
      <c r="AC147" s="159">
        <v>655756.69000000006</v>
      </c>
      <c r="AD147" s="174">
        <f>SUM(Muut[[#This Row],[Työttömyysaste]:[Työttömät ja palveluissa olevat ]])</f>
        <v>6319778.458879265</v>
      </c>
      <c r="AF147" s="62"/>
    </row>
    <row r="148" spans="1:32" s="45" customFormat="1">
      <c r="A148" s="90">
        <v>435</v>
      </c>
      <c r="B148" s="151" t="s">
        <v>147</v>
      </c>
      <c r="C148" s="395">
        <v>702</v>
      </c>
      <c r="D148" s="134">
        <v>31.5</v>
      </c>
      <c r="E148" s="41">
        <v>279</v>
      </c>
      <c r="F148" s="332">
        <f t="shared" si="5"/>
        <v>0.11290322580645161</v>
      </c>
      <c r="G148" s="377">
        <f>Muut[[#This Row],[Keskim. työttömyysaste 2023, %]]/$F$12</f>
        <v>1.1490037385983216</v>
      </c>
      <c r="H148" s="166">
        <v>0</v>
      </c>
      <c r="I148" s="383">
        <v>0</v>
      </c>
      <c r="J148" s="389">
        <v>6</v>
      </c>
      <c r="K148" s="269">
        <v>214.5</v>
      </c>
      <c r="L148" s="170">
        <f t="shared" si="6"/>
        <v>3.2727272727272729</v>
      </c>
      <c r="M148" s="377">
        <v>5.6309120599122471</v>
      </c>
      <c r="N148" s="166">
        <v>3</v>
      </c>
      <c r="O148" s="397">
        <v>306</v>
      </c>
      <c r="P148" s="269">
        <v>135</v>
      </c>
      <c r="Q148" s="15">
        <v>23</v>
      </c>
      <c r="R148" s="158">
        <v>0.17037037037037037</v>
      </c>
      <c r="S148" s="401">
        <v>1.2189752212498157</v>
      </c>
      <c r="T148" s="153">
        <v>38</v>
      </c>
      <c r="U148" s="197">
        <v>55687.707115205354</v>
      </c>
      <c r="V148" s="159">
        <v>0</v>
      </c>
      <c r="W148" s="159">
        <v>0</v>
      </c>
      <c r="X148" s="159">
        <v>10955.94</v>
      </c>
      <c r="Y148" s="159">
        <v>163610.54201215706</v>
      </c>
      <c r="Z148" s="159">
        <v>0</v>
      </c>
      <c r="AA148" s="155">
        <v>90282.240000000005</v>
      </c>
      <c r="AB148" s="159">
        <v>24251.121954694285</v>
      </c>
      <c r="AC148" s="159">
        <v>27904.54</v>
      </c>
      <c r="AD148" s="174">
        <f>SUM(Muut[[#This Row],[Työttömyysaste]:[Työttömät ja palveluissa olevat ]])</f>
        <v>372692.09108205669</v>
      </c>
      <c r="AF148" s="62"/>
    </row>
    <row r="149" spans="1:32" s="45" customFormat="1">
      <c r="A149" s="90">
        <v>436</v>
      </c>
      <c r="B149" s="151" t="s">
        <v>148</v>
      </c>
      <c r="C149" s="395">
        <v>2033</v>
      </c>
      <c r="D149" s="134">
        <v>72.916666666666671</v>
      </c>
      <c r="E149" s="41">
        <v>825</v>
      </c>
      <c r="F149" s="332">
        <f t="shared" si="5"/>
        <v>8.8383838383838384E-2</v>
      </c>
      <c r="G149" s="377">
        <f>Muut[[#This Row],[Keskim. työttömyysaste 2023, %]]/$F$12</f>
        <v>0.89947262365020131</v>
      </c>
      <c r="H149" s="166">
        <v>0</v>
      </c>
      <c r="I149" s="383">
        <v>4</v>
      </c>
      <c r="J149" s="389">
        <v>91</v>
      </c>
      <c r="K149" s="269">
        <v>214.12</v>
      </c>
      <c r="L149" s="170">
        <f t="shared" si="6"/>
        <v>9.494675882682607</v>
      </c>
      <c r="M149" s="377">
        <v>1.940923491913553</v>
      </c>
      <c r="N149" s="166">
        <v>0</v>
      </c>
      <c r="O149" s="397">
        <v>0</v>
      </c>
      <c r="P149" s="269">
        <v>577</v>
      </c>
      <c r="Q149" s="15">
        <v>53</v>
      </c>
      <c r="R149" s="158">
        <v>9.1854419410745236E-2</v>
      </c>
      <c r="S149" s="401">
        <v>0.65720501153209498</v>
      </c>
      <c r="T149" s="153">
        <v>94</v>
      </c>
      <c r="U149" s="197">
        <v>126248.46634153454</v>
      </c>
      <c r="V149" s="159">
        <v>0</v>
      </c>
      <c r="W149" s="159">
        <v>0</v>
      </c>
      <c r="X149" s="159">
        <v>166165.09</v>
      </c>
      <c r="Y149" s="159">
        <v>163320.69583050389</v>
      </c>
      <c r="Z149" s="159">
        <v>0</v>
      </c>
      <c r="AA149" s="155">
        <v>0</v>
      </c>
      <c r="AB149" s="159">
        <v>37865.011324524188</v>
      </c>
      <c r="AC149" s="159">
        <v>69027.02</v>
      </c>
      <c r="AD149" s="174">
        <f>SUM(Muut[[#This Row],[Työttömyysaste]:[Työttömät ja palveluissa olevat ]])</f>
        <v>562626.28349656262</v>
      </c>
      <c r="AF149" s="62"/>
    </row>
    <row r="150" spans="1:32" s="45" customFormat="1">
      <c r="A150" s="90">
        <v>440</v>
      </c>
      <c r="B150" s="151" t="s">
        <v>149</v>
      </c>
      <c r="C150" s="395">
        <v>5843</v>
      </c>
      <c r="D150" s="134">
        <v>58.416666666666664</v>
      </c>
      <c r="E150" s="41">
        <v>2519</v>
      </c>
      <c r="F150" s="332">
        <f t="shared" si="5"/>
        <v>2.3190419478629085E-2</v>
      </c>
      <c r="G150" s="377">
        <f>Muut[[#This Row],[Keskim. työttömyysaste 2023, %]]/$F$12</f>
        <v>0.23600635402824369</v>
      </c>
      <c r="H150" s="384">
        <v>3</v>
      </c>
      <c r="I150" s="383">
        <v>5347</v>
      </c>
      <c r="J150" s="389">
        <v>192</v>
      </c>
      <c r="K150" s="269">
        <v>142.78</v>
      </c>
      <c r="L150" s="170">
        <f t="shared" si="6"/>
        <v>40.923098473175514</v>
      </c>
      <c r="M150" s="377">
        <v>0.45031877243809604</v>
      </c>
      <c r="N150" s="166">
        <v>3</v>
      </c>
      <c r="O150" s="397">
        <v>2151</v>
      </c>
      <c r="P150" s="269">
        <v>1575</v>
      </c>
      <c r="Q150" s="15">
        <v>128</v>
      </c>
      <c r="R150" s="158">
        <v>8.126984126984127E-2</v>
      </c>
      <c r="S150" s="401">
        <v>0.5814738943601605</v>
      </c>
      <c r="T150" s="153">
        <v>93</v>
      </c>
      <c r="U150" s="197">
        <v>95205.133139568439</v>
      </c>
      <c r="V150" s="159">
        <v>119856.29040000001</v>
      </c>
      <c r="W150" s="159">
        <v>1457202.9384000003</v>
      </c>
      <c r="X150" s="159">
        <v>350590.08</v>
      </c>
      <c r="Y150" s="159">
        <v>108905.88899065637</v>
      </c>
      <c r="Z150" s="159">
        <v>0</v>
      </c>
      <c r="AA150" s="155">
        <v>634631.04</v>
      </c>
      <c r="AB150" s="159">
        <v>96286.622680913482</v>
      </c>
      <c r="AC150" s="159">
        <v>68292.69</v>
      </c>
      <c r="AD150" s="174">
        <f>SUM(Muut[[#This Row],[Työttömyysaste]:[Työttömät ja palveluissa olevat ]])</f>
        <v>2930970.6836111387</v>
      </c>
      <c r="AF150" s="62"/>
    </row>
    <row r="151" spans="1:32" s="45" customFormat="1">
      <c r="A151" s="90">
        <v>441</v>
      </c>
      <c r="B151" s="151" t="s">
        <v>150</v>
      </c>
      <c r="C151" s="395">
        <v>4396</v>
      </c>
      <c r="D151" s="134">
        <v>189.16666666666666</v>
      </c>
      <c r="E151" s="41">
        <v>1878</v>
      </c>
      <c r="F151" s="332">
        <f t="shared" si="5"/>
        <v>0.10072772452964146</v>
      </c>
      <c r="G151" s="377">
        <f>Muut[[#This Row],[Keskim. työttömyysaste 2023, %]]/$F$12</f>
        <v>1.0250949982905306</v>
      </c>
      <c r="H151" s="166">
        <v>0</v>
      </c>
      <c r="I151" s="383">
        <v>14</v>
      </c>
      <c r="J151" s="389">
        <v>223</v>
      </c>
      <c r="K151" s="269">
        <v>750.16</v>
      </c>
      <c r="L151" s="170">
        <f t="shared" si="6"/>
        <v>5.8600831822544528</v>
      </c>
      <c r="M151" s="377">
        <v>3.1447402529385347</v>
      </c>
      <c r="N151" s="166">
        <v>0</v>
      </c>
      <c r="O151" s="397">
        <v>0</v>
      </c>
      <c r="P151" s="269">
        <v>1095</v>
      </c>
      <c r="Q151" s="15">
        <v>144</v>
      </c>
      <c r="R151" s="158">
        <v>0.13150684931506848</v>
      </c>
      <c r="S151" s="401">
        <v>0.94091238042868441</v>
      </c>
      <c r="T151" s="153">
        <v>263</v>
      </c>
      <c r="U151" s="197">
        <v>311116.1679659764</v>
      </c>
      <c r="V151" s="159">
        <v>0</v>
      </c>
      <c r="W151" s="159">
        <v>0</v>
      </c>
      <c r="X151" s="159">
        <v>407195.77</v>
      </c>
      <c r="Y151" s="159">
        <v>572186.87270787766</v>
      </c>
      <c r="Z151" s="159">
        <v>0</v>
      </c>
      <c r="AA151" s="155">
        <v>0</v>
      </c>
      <c r="AB151" s="159">
        <v>117221.34836248985</v>
      </c>
      <c r="AC151" s="159">
        <v>193128.79</v>
      </c>
      <c r="AD151" s="174">
        <f>SUM(Muut[[#This Row],[Työttömyysaste]:[Työttömät ja palveluissa olevat ]])</f>
        <v>1600848.949036344</v>
      </c>
      <c r="AF151" s="62"/>
    </row>
    <row r="152" spans="1:32" s="45" customFormat="1">
      <c r="A152" s="90">
        <v>444</v>
      </c>
      <c r="B152" s="151" t="s">
        <v>151</v>
      </c>
      <c r="C152" s="395">
        <v>45645</v>
      </c>
      <c r="D152" s="134">
        <v>1942.5833333333333</v>
      </c>
      <c r="E152" s="41">
        <v>21425</v>
      </c>
      <c r="F152" s="332">
        <f t="shared" si="5"/>
        <v>9.0669000388953716E-2</v>
      </c>
      <c r="G152" s="377">
        <f>Muut[[#This Row],[Keskim. työttömyysaste 2023, %]]/$F$12</f>
        <v>0.9227284665937987</v>
      </c>
      <c r="H152" s="166">
        <v>1</v>
      </c>
      <c r="I152" s="383">
        <v>1576</v>
      </c>
      <c r="J152" s="389">
        <v>2929</v>
      </c>
      <c r="K152" s="269">
        <v>940.17</v>
      </c>
      <c r="L152" s="170">
        <f t="shared" si="6"/>
        <v>48.54973036791219</v>
      </c>
      <c r="M152" s="377">
        <v>0.37957861617669386</v>
      </c>
      <c r="N152" s="166">
        <v>0</v>
      </c>
      <c r="O152" s="397">
        <v>0</v>
      </c>
      <c r="P152" s="269">
        <v>13828</v>
      </c>
      <c r="Q152" s="15">
        <v>2184</v>
      </c>
      <c r="R152" s="158">
        <v>0.15794041076077525</v>
      </c>
      <c r="S152" s="401">
        <v>1.1300406680625816</v>
      </c>
      <c r="T152" s="153">
        <v>2791</v>
      </c>
      <c r="U152" s="197">
        <v>2907822.6368138096</v>
      </c>
      <c r="V152" s="159">
        <v>936306.75600000005</v>
      </c>
      <c r="W152" s="159">
        <v>429502.8672000001</v>
      </c>
      <c r="X152" s="159">
        <v>5348324.71</v>
      </c>
      <c r="Y152" s="159">
        <v>717117.59106559306</v>
      </c>
      <c r="Z152" s="159">
        <v>0</v>
      </c>
      <c r="AA152" s="155">
        <v>0</v>
      </c>
      <c r="AB152" s="159">
        <v>1461797.2163639267</v>
      </c>
      <c r="AC152" s="159">
        <v>2049515.03</v>
      </c>
      <c r="AD152" s="174">
        <f>SUM(Muut[[#This Row],[Työttömyysaste]:[Työttömät ja palveluissa olevat ]])</f>
        <v>13850386.807443328</v>
      </c>
      <c r="AF152" s="62"/>
    </row>
    <row r="153" spans="1:32" s="45" customFormat="1">
      <c r="A153" s="90">
        <v>445</v>
      </c>
      <c r="B153" s="151" t="s">
        <v>152</v>
      </c>
      <c r="C153" s="395">
        <v>14999</v>
      </c>
      <c r="D153" s="134">
        <v>388.66666666666669</v>
      </c>
      <c r="E153" s="41">
        <v>6761</v>
      </c>
      <c r="F153" s="332">
        <f t="shared" si="5"/>
        <v>5.7486565103781494E-2</v>
      </c>
      <c r="G153" s="377">
        <f>Muut[[#This Row],[Keskim. työttömyysaste 2023, %]]/$F$12</f>
        <v>0.58503446426458383</v>
      </c>
      <c r="H153" s="166">
        <v>3</v>
      </c>
      <c r="I153" s="383">
        <v>8114</v>
      </c>
      <c r="J153" s="389">
        <v>685</v>
      </c>
      <c r="K153" s="269">
        <v>884.04</v>
      </c>
      <c r="L153" s="170">
        <f t="shared" si="6"/>
        <v>16.966426858513191</v>
      </c>
      <c r="M153" s="377">
        <v>1.0861709199280778</v>
      </c>
      <c r="N153" s="166">
        <v>1</v>
      </c>
      <c r="O153" s="397">
        <v>0</v>
      </c>
      <c r="P153" s="269">
        <v>4376</v>
      </c>
      <c r="Q153" s="15">
        <v>536</v>
      </c>
      <c r="R153" s="158">
        <v>0.12248628884826325</v>
      </c>
      <c r="S153" s="401">
        <v>0.87637158224342926</v>
      </c>
      <c r="T153" s="153">
        <v>562</v>
      </c>
      <c r="U153" s="197">
        <v>605821.30041299027</v>
      </c>
      <c r="V153" s="159">
        <v>307671.48720000003</v>
      </c>
      <c r="W153" s="159">
        <v>2211285.7008000002</v>
      </c>
      <c r="X153" s="159">
        <v>1250803.1499999999</v>
      </c>
      <c r="Y153" s="159">
        <v>674304.25902297127</v>
      </c>
      <c r="Z153" s="159">
        <v>6049696.6599999992</v>
      </c>
      <c r="AA153" s="155">
        <v>0</v>
      </c>
      <c r="AB153" s="159">
        <v>372520.72324104101</v>
      </c>
      <c r="AC153" s="159">
        <v>412693.46</v>
      </c>
      <c r="AD153" s="174">
        <f>SUM(Muut[[#This Row],[Työttömyysaste]:[Työttömät ja palveluissa olevat ]])</f>
        <v>11884796.740677001</v>
      </c>
      <c r="AF153" s="62"/>
    </row>
    <row r="154" spans="1:32" s="45" customFormat="1">
      <c r="A154" s="90">
        <v>475</v>
      </c>
      <c r="B154" s="151" t="s">
        <v>153</v>
      </c>
      <c r="C154" s="395">
        <v>5456</v>
      </c>
      <c r="D154" s="134">
        <v>97.5</v>
      </c>
      <c r="E154" s="41">
        <v>2585</v>
      </c>
      <c r="F154" s="332">
        <f t="shared" si="5"/>
        <v>3.7717601547388784E-2</v>
      </c>
      <c r="G154" s="377">
        <f>Muut[[#This Row],[Keskim. työttömyysaste 2023, %]]/$F$12</f>
        <v>0.38384789167321665</v>
      </c>
      <c r="H154" s="166">
        <v>3</v>
      </c>
      <c r="I154" s="383">
        <v>4625</v>
      </c>
      <c r="J154" s="389">
        <v>320</v>
      </c>
      <c r="K154" s="269">
        <v>522.1</v>
      </c>
      <c r="L154" s="170">
        <f t="shared" si="6"/>
        <v>10.450105343803868</v>
      </c>
      <c r="M154" s="377">
        <v>1.7634692534205321</v>
      </c>
      <c r="N154" s="166">
        <v>1</v>
      </c>
      <c r="O154" s="397">
        <v>0</v>
      </c>
      <c r="P154" s="269">
        <v>1629</v>
      </c>
      <c r="Q154" s="15">
        <v>163</v>
      </c>
      <c r="R154" s="158">
        <v>0.10006138735420503</v>
      </c>
      <c r="S154" s="401">
        <v>0.71592467354210887</v>
      </c>
      <c r="T154" s="153">
        <v>152</v>
      </c>
      <c r="U154" s="197">
        <v>144588.68365474464</v>
      </c>
      <c r="V154" s="159">
        <v>111917.8368</v>
      </c>
      <c r="W154" s="159">
        <v>1260438.3000000003</v>
      </c>
      <c r="X154" s="159">
        <v>584316.80000000005</v>
      </c>
      <c r="Y154" s="159">
        <v>398233.39852935768</v>
      </c>
      <c r="Z154" s="159">
        <v>2200623.04</v>
      </c>
      <c r="AA154" s="155">
        <v>0</v>
      </c>
      <c r="AB154" s="159">
        <v>110698.44943408844</v>
      </c>
      <c r="AC154" s="159">
        <v>111618.16</v>
      </c>
      <c r="AD154" s="174">
        <f>SUM(Muut[[#This Row],[Työttömyysaste]:[Työttömät ja palveluissa olevat ]])</f>
        <v>4922434.6684181914</v>
      </c>
      <c r="AF154" s="62"/>
    </row>
    <row r="155" spans="1:32" s="45" customFormat="1">
      <c r="A155" s="90">
        <v>480</v>
      </c>
      <c r="B155" s="151" t="s">
        <v>154</v>
      </c>
      <c r="C155" s="395">
        <v>1930</v>
      </c>
      <c r="D155" s="134">
        <v>58.833333333333336</v>
      </c>
      <c r="E155" s="41">
        <v>877</v>
      </c>
      <c r="F155" s="332">
        <f t="shared" si="5"/>
        <v>6.7084758646902318E-2</v>
      </c>
      <c r="G155" s="377">
        <f>Muut[[#This Row],[Keskim. työttömyysaste 2023, %]]/$F$12</f>
        <v>0.68271422661027492</v>
      </c>
      <c r="H155" s="166">
        <v>0</v>
      </c>
      <c r="I155" s="383">
        <v>19</v>
      </c>
      <c r="J155" s="389">
        <v>66</v>
      </c>
      <c r="K155" s="269">
        <v>195.31</v>
      </c>
      <c r="L155" s="170">
        <f t="shared" si="6"/>
        <v>9.8817264860990228</v>
      </c>
      <c r="M155" s="377">
        <v>1.8649007837575411</v>
      </c>
      <c r="N155" s="166">
        <v>0</v>
      </c>
      <c r="O155" s="397">
        <v>0</v>
      </c>
      <c r="P155" s="269">
        <v>591</v>
      </c>
      <c r="Q155" s="15">
        <v>89</v>
      </c>
      <c r="R155" s="158">
        <v>0.15059221658206429</v>
      </c>
      <c r="S155" s="401">
        <v>1.0774654074388681</v>
      </c>
      <c r="T155" s="153">
        <v>97</v>
      </c>
      <c r="U155" s="197">
        <v>90969.759095984642</v>
      </c>
      <c r="V155" s="159">
        <v>0</v>
      </c>
      <c r="W155" s="159">
        <v>0</v>
      </c>
      <c r="X155" s="159">
        <v>120515.34</v>
      </c>
      <c r="Y155" s="159">
        <v>148973.30983866853</v>
      </c>
      <c r="Z155" s="159">
        <v>0</v>
      </c>
      <c r="AA155" s="155">
        <v>0</v>
      </c>
      <c r="AB155" s="159">
        <v>58933.263418357819</v>
      </c>
      <c r="AC155" s="159">
        <v>71230.010000000009</v>
      </c>
      <c r="AD155" s="174">
        <f>SUM(Muut[[#This Row],[Työttömyysaste]:[Työttömät ja palveluissa olevat ]])</f>
        <v>490621.68235301098</v>
      </c>
      <c r="AF155" s="62"/>
    </row>
    <row r="156" spans="1:32" s="45" customFormat="1">
      <c r="A156" s="90">
        <v>481</v>
      </c>
      <c r="B156" s="151" t="s">
        <v>155</v>
      </c>
      <c r="C156" s="395">
        <v>9619</v>
      </c>
      <c r="D156" s="134">
        <v>233.08333333333334</v>
      </c>
      <c r="E156" s="41">
        <v>4784</v>
      </c>
      <c r="F156" s="332">
        <f t="shared" si="5"/>
        <v>4.8721432552954295E-2</v>
      </c>
      <c r="G156" s="377">
        <f>Muut[[#This Row],[Keskim. työttömyysaste 2023, %]]/$F$12</f>
        <v>0.49583267221414978</v>
      </c>
      <c r="H156" s="166">
        <v>0</v>
      </c>
      <c r="I156" s="383">
        <v>118</v>
      </c>
      <c r="J156" s="389">
        <v>261</v>
      </c>
      <c r="K156" s="269">
        <v>174.89</v>
      </c>
      <c r="L156" s="170">
        <f t="shared" si="6"/>
        <v>55.000285893990515</v>
      </c>
      <c r="M156" s="377">
        <v>0.33506079412611312</v>
      </c>
      <c r="N156" s="166">
        <v>0</v>
      </c>
      <c r="O156" s="397">
        <v>0</v>
      </c>
      <c r="P156" s="269">
        <v>3345</v>
      </c>
      <c r="Q156" s="15">
        <v>287</v>
      </c>
      <c r="R156" s="158">
        <v>8.5799701046337815E-2</v>
      </c>
      <c r="S156" s="401">
        <v>0.61388438223596686</v>
      </c>
      <c r="T156" s="153">
        <v>314</v>
      </c>
      <c r="U156" s="197">
        <v>329280.3752868867</v>
      </c>
      <c r="V156" s="159">
        <v>0</v>
      </c>
      <c r="W156" s="159">
        <v>0</v>
      </c>
      <c r="X156" s="159">
        <v>476583.39</v>
      </c>
      <c r="Y156" s="159">
        <v>133397.89134035501</v>
      </c>
      <c r="Z156" s="159">
        <v>0</v>
      </c>
      <c r="AA156" s="155">
        <v>0</v>
      </c>
      <c r="AB156" s="159">
        <v>167346.39275310485</v>
      </c>
      <c r="AC156" s="159">
        <v>230579.62000000002</v>
      </c>
      <c r="AD156" s="174">
        <f>SUM(Muut[[#This Row],[Työttömyysaste]:[Työttömät ja palveluissa olevat ]])</f>
        <v>1337187.6693803468</v>
      </c>
      <c r="AF156" s="62"/>
    </row>
    <row r="157" spans="1:32" s="45" customFormat="1">
      <c r="A157" s="90">
        <v>483</v>
      </c>
      <c r="B157" s="151" t="s">
        <v>156</v>
      </c>
      <c r="C157" s="395">
        <v>1055</v>
      </c>
      <c r="D157" s="134">
        <v>41.75</v>
      </c>
      <c r="E157" s="41">
        <v>419</v>
      </c>
      <c r="F157" s="332">
        <f t="shared" si="5"/>
        <v>9.9642004773269691E-2</v>
      </c>
      <c r="G157" s="377">
        <f>Muut[[#This Row],[Keskim. työttömyysaste 2023, %]]/$F$12</f>
        <v>1.0140457474809941</v>
      </c>
      <c r="H157" s="166">
        <v>0</v>
      </c>
      <c r="I157" s="383">
        <v>3</v>
      </c>
      <c r="J157" s="389">
        <v>3</v>
      </c>
      <c r="K157" s="269">
        <v>229.69</v>
      </c>
      <c r="L157" s="170">
        <f t="shared" si="6"/>
        <v>4.5931472854717228</v>
      </c>
      <c r="M157" s="377">
        <v>4.0121594896583188</v>
      </c>
      <c r="N157" s="166">
        <v>0</v>
      </c>
      <c r="O157" s="397">
        <v>0</v>
      </c>
      <c r="P157" s="269">
        <v>231</v>
      </c>
      <c r="Q157" s="15">
        <v>21</v>
      </c>
      <c r="R157" s="158">
        <v>9.0909090909090912E-2</v>
      </c>
      <c r="S157" s="401">
        <v>0.65044132359179896</v>
      </c>
      <c r="T157" s="153">
        <v>61</v>
      </c>
      <c r="U157" s="197">
        <v>73860.252918422688</v>
      </c>
      <c r="V157" s="159">
        <v>0</v>
      </c>
      <c r="W157" s="159">
        <v>0</v>
      </c>
      <c r="X157" s="159">
        <v>5477.97</v>
      </c>
      <c r="Y157" s="159">
        <v>175196.76174719047</v>
      </c>
      <c r="Z157" s="159">
        <v>0</v>
      </c>
      <c r="AA157" s="155">
        <v>0</v>
      </c>
      <c r="AB157" s="159">
        <v>19447.35000167412</v>
      </c>
      <c r="AC157" s="159">
        <v>44794.130000000005</v>
      </c>
      <c r="AD157" s="174">
        <f>SUM(Muut[[#This Row],[Työttömyysaste]:[Työttömät ja palveluissa olevat ]])</f>
        <v>318776.46466728731</v>
      </c>
      <c r="AF157" s="62"/>
    </row>
    <row r="158" spans="1:32" s="45" customFormat="1">
      <c r="A158" s="90">
        <v>484</v>
      </c>
      <c r="B158" s="151" t="s">
        <v>157</v>
      </c>
      <c r="C158" s="395">
        <v>2966</v>
      </c>
      <c r="D158" s="134">
        <v>110.33333333333333</v>
      </c>
      <c r="E158" s="41">
        <v>1172</v>
      </c>
      <c r="F158" s="332">
        <f t="shared" si="5"/>
        <v>9.4141069397042088E-2</v>
      </c>
      <c r="G158" s="377">
        <f>Muut[[#This Row],[Keskim. työttömyysaste 2023, %]]/$F$12</f>
        <v>0.95806333185091641</v>
      </c>
      <c r="H158" s="166">
        <v>0</v>
      </c>
      <c r="I158" s="383">
        <v>14</v>
      </c>
      <c r="J158" s="389">
        <v>97</v>
      </c>
      <c r="K158" s="269">
        <v>446.28</v>
      </c>
      <c r="L158" s="170">
        <f t="shared" si="6"/>
        <v>6.6460518060410507</v>
      </c>
      <c r="M158" s="377">
        <v>2.7728401773896576</v>
      </c>
      <c r="N158" s="166">
        <v>0</v>
      </c>
      <c r="O158" s="397">
        <v>0</v>
      </c>
      <c r="P158" s="269">
        <v>717</v>
      </c>
      <c r="Q158" s="15">
        <v>120</v>
      </c>
      <c r="R158" s="158">
        <v>0.16736401673640167</v>
      </c>
      <c r="S158" s="401">
        <v>1.1974651982443159</v>
      </c>
      <c r="T158" s="153">
        <v>139</v>
      </c>
      <c r="U158" s="197">
        <v>196185.15775030831</v>
      </c>
      <c r="V158" s="159">
        <v>0</v>
      </c>
      <c r="W158" s="159">
        <v>0</v>
      </c>
      <c r="X158" s="159">
        <v>177121.03</v>
      </c>
      <c r="Y158" s="159">
        <v>340401.45775844046</v>
      </c>
      <c r="Z158" s="159">
        <v>0</v>
      </c>
      <c r="AA158" s="155">
        <v>0</v>
      </c>
      <c r="AB158" s="159">
        <v>100654.66158831144</v>
      </c>
      <c r="AC158" s="159">
        <v>102071.87000000001</v>
      </c>
      <c r="AD158" s="174">
        <f>SUM(Muut[[#This Row],[Työttömyysaste]:[Työttömät ja palveluissa olevat ]])</f>
        <v>916434.17709706014</v>
      </c>
      <c r="AF158" s="62"/>
    </row>
    <row r="159" spans="1:32" s="45" customFormat="1">
      <c r="A159" s="90">
        <v>489</v>
      </c>
      <c r="B159" s="151" t="s">
        <v>158</v>
      </c>
      <c r="C159" s="395">
        <v>1752</v>
      </c>
      <c r="D159" s="134">
        <v>70.833333333333329</v>
      </c>
      <c r="E159" s="41">
        <v>732</v>
      </c>
      <c r="F159" s="332">
        <f t="shared" si="5"/>
        <v>9.6766848816029136E-2</v>
      </c>
      <c r="G159" s="377">
        <f>Muut[[#This Row],[Keskim. työttömyysaste 2023, %]]/$F$12</f>
        <v>0.98478560083482214</v>
      </c>
      <c r="H159" s="166">
        <v>0</v>
      </c>
      <c r="I159" s="383">
        <v>6</v>
      </c>
      <c r="J159" s="389">
        <v>112</v>
      </c>
      <c r="K159" s="269">
        <v>422.63</v>
      </c>
      <c r="L159" s="170">
        <f t="shared" si="6"/>
        <v>4.1454700328892882</v>
      </c>
      <c r="M159" s="377">
        <v>4.4454402812217566</v>
      </c>
      <c r="N159" s="166">
        <v>0</v>
      </c>
      <c r="O159" s="397">
        <v>0</v>
      </c>
      <c r="P159" s="269">
        <v>436</v>
      </c>
      <c r="Q159" s="15">
        <v>83</v>
      </c>
      <c r="R159" s="158">
        <v>0.19036697247706422</v>
      </c>
      <c r="S159" s="401">
        <v>1.3620480010075973</v>
      </c>
      <c r="T159" s="153">
        <v>106</v>
      </c>
      <c r="U159" s="197">
        <v>119117.77548862653</v>
      </c>
      <c r="V159" s="159">
        <v>0</v>
      </c>
      <c r="W159" s="159">
        <v>0</v>
      </c>
      <c r="X159" s="159">
        <v>204510.88</v>
      </c>
      <c r="Y159" s="159">
        <v>322362.34671607445</v>
      </c>
      <c r="Z159" s="159">
        <v>0</v>
      </c>
      <c r="AA159" s="155">
        <v>0</v>
      </c>
      <c r="AB159" s="159">
        <v>67627.97149066889</v>
      </c>
      <c r="AC159" s="159">
        <v>77838.98000000001</v>
      </c>
      <c r="AD159" s="174">
        <f>SUM(Muut[[#This Row],[Työttömyysaste]:[Työttömät ja palveluissa olevat ]])</f>
        <v>791457.95369536988</v>
      </c>
      <c r="AF159" s="62"/>
    </row>
    <row r="160" spans="1:32" s="45" customFormat="1">
      <c r="A160" s="90">
        <v>491</v>
      </c>
      <c r="B160" s="151" t="s">
        <v>159</v>
      </c>
      <c r="C160" s="395">
        <v>51919</v>
      </c>
      <c r="D160" s="134">
        <v>2415.5</v>
      </c>
      <c r="E160" s="41">
        <v>23475</v>
      </c>
      <c r="F160" s="332">
        <f t="shared" si="5"/>
        <v>0.10289669861554845</v>
      </c>
      <c r="G160" s="377">
        <f>Muut[[#This Row],[Keskim. työttömyysaste 2023, %]]/$F$12</f>
        <v>1.0471684095312537</v>
      </c>
      <c r="H160" s="166">
        <v>0</v>
      </c>
      <c r="I160" s="383">
        <v>87</v>
      </c>
      <c r="J160" s="389">
        <v>2810</v>
      </c>
      <c r="K160" s="269">
        <v>2548.25</v>
      </c>
      <c r="L160" s="170">
        <f t="shared" si="6"/>
        <v>20.374374570783871</v>
      </c>
      <c r="M160" s="377">
        <v>0.90449105099056382</v>
      </c>
      <c r="N160" s="166">
        <v>3</v>
      </c>
      <c r="O160" s="397">
        <v>281</v>
      </c>
      <c r="P160" s="269">
        <v>14889</v>
      </c>
      <c r="Q160" s="15">
        <v>1663</v>
      </c>
      <c r="R160" s="158">
        <v>0.11169319631943045</v>
      </c>
      <c r="S160" s="401">
        <v>0.79914857495229885</v>
      </c>
      <c r="T160" s="153">
        <v>3658</v>
      </c>
      <c r="U160" s="197">
        <v>3753562.3466234463</v>
      </c>
      <c r="V160" s="159">
        <v>0</v>
      </c>
      <c r="W160" s="159">
        <v>0</v>
      </c>
      <c r="X160" s="159">
        <v>5131031.9000000004</v>
      </c>
      <c r="Y160" s="159">
        <v>1943685.6115733301</v>
      </c>
      <c r="Z160" s="159">
        <v>0</v>
      </c>
      <c r="AA160" s="155">
        <v>82906.240000000005</v>
      </c>
      <c r="AB160" s="159">
        <v>1175854.7944159578</v>
      </c>
      <c r="AC160" s="159">
        <v>2686179.14</v>
      </c>
      <c r="AD160" s="174">
        <f>SUM(Muut[[#This Row],[Työttömyysaste]:[Työttömät ja palveluissa olevat ]])</f>
        <v>14773220.032612735</v>
      </c>
      <c r="AF160" s="62"/>
    </row>
    <row r="161" spans="1:32" s="45" customFormat="1">
      <c r="A161" s="90">
        <v>494</v>
      </c>
      <c r="B161" s="151" t="s">
        <v>160</v>
      </c>
      <c r="C161" s="395">
        <v>8827</v>
      </c>
      <c r="D161" s="134">
        <v>358.08333333333331</v>
      </c>
      <c r="E161" s="41">
        <v>3822</v>
      </c>
      <c r="F161" s="332">
        <f t="shared" si="5"/>
        <v>9.3690040118611539E-2</v>
      </c>
      <c r="G161" s="377">
        <f>Muut[[#This Row],[Keskim. työttömyysaste 2023, %]]/$F$12</f>
        <v>0.9534732563820153</v>
      </c>
      <c r="H161" s="166">
        <v>0</v>
      </c>
      <c r="I161" s="383">
        <v>5</v>
      </c>
      <c r="J161" s="389">
        <v>140</v>
      </c>
      <c r="K161" s="269">
        <v>784.59</v>
      </c>
      <c r="L161" s="170">
        <f t="shared" si="6"/>
        <v>11.25046202475178</v>
      </c>
      <c r="M161" s="377">
        <v>1.6380162368674196</v>
      </c>
      <c r="N161" s="166">
        <v>0</v>
      </c>
      <c r="O161" s="397">
        <v>0</v>
      </c>
      <c r="P161" s="269">
        <v>2638</v>
      </c>
      <c r="Q161" s="15">
        <v>226</v>
      </c>
      <c r="R161" s="158">
        <v>8.5670962850644433E-2</v>
      </c>
      <c r="S161" s="401">
        <v>0.61296327916952698</v>
      </c>
      <c r="T161" s="153">
        <v>482</v>
      </c>
      <c r="U161" s="197">
        <v>581061.93428916286</v>
      </c>
      <c r="V161" s="159">
        <v>0</v>
      </c>
      <c r="W161" s="159">
        <v>0</v>
      </c>
      <c r="X161" s="159">
        <v>255638.6</v>
      </c>
      <c r="Y161" s="159">
        <v>598448.46227188047</v>
      </c>
      <c r="Z161" s="159">
        <v>0</v>
      </c>
      <c r="AA161" s="155">
        <v>0</v>
      </c>
      <c r="AB161" s="159">
        <v>153337.16536060162</v>
      </c>
      <c r="AC161" s="159">
        <v>353947.06</v>
      </c>
      <c r="AD161" s="174">
        <f>SUM(Muut[[#This Row],[Työttömyysaste]:[Työttömät ja palveluissa olevat ]])</f>
        <v>1942433.2219216451</v>
      </c>
      <c r="AF161" s="62"/>
    </row>
    <row r="162" spans="1:32" s="45" customFormat="1">
      <c r="A162" s="90">
        <v>495</v>
      </c>
      <c r="B162" s="151" t="s">
        <v>161</v>
      </c>
      <c r="C162" s="395">
        <v>1430</v>
      </c>
      <c r="D162" s="134">
        <v>55.5</v>
      </c>
      <c r="E162" s="41">
        <v>560</v>
      </c>
      <c r="F162" s="332">
        <f t="shared" si="5"/>
        <v>9.9107142857142852E-2</v>
      </c>
      <c r="G162" s="377">
        <f>Muut[[#This Row],[Keskim. työttömyysaste 2023, %]]/$F$12</f>
        <v>1.0086025164583736</v>
      </c>
      <c r="H162" s="166">
        <v>0</v>
      </c>
      <c r="I162" s="383">
        <v>4</v>
      </c>
      <c r="J162" s="389">
        <v>36</v>
      </c>
      <c r="K162" s="269">
        <v>733.26</v>
      </c>
      <c r="L162" s="170">
        <f t="shared" si="6"/>
        <v>1.9501950195019502</v>
      </c>
      <c r="M162" s="377">
        <v>9.4495367306958151</v>
      </c>
      <c r="N162" s="166">
        <v>0</v>
      </c>
      <c r="O162" s="397">
        <v>0</v>
      </c>
      <c r="P162" s="269">
        <v>330</v>
      </c>
      <c r="Q162" s="15">
        <v>54</v>
      </c>
      <c r="R162" s="158">
        <v>0.16363636363636364</v>
      </c>
      <c r="S162" s="401">
        <v>1.170794382465238</v>
      </c>
      <c r="T162" s="153">
        <v>85</v>
      </c>
      <c r="U162" s="197">
        <v>99576.502362889179</v>
      </c>
      <c r="V162" s="159">
        <v>0</v>
      </c>
      <c r="W162" s="159">
        <v>0</v>
      </c>
      <c r="X162" s="159">
        <v>65735.64</v>
      </c>
      <c r="Y162" s="159">
        <v>559296.34515540476</v>
      </c>
      <c r="Z162" s="159">
        <v>0</v>
      </c>
      <c r="AA162" s="155">
        <v>0</v>
      </c>
      <c r="AB162" s="159">
        <v>47447.847302662725</v>
      </c>
      <c r="AC162" s="159">
        <v>62418.05</v>
      </c>
      <c r="AD162" s="174">
        <f>SUM(Muut[[#This Row],[Työttömyysaste]:[Työttömät ja palveluissa olevat ]])</f>
        <v>834474.38482095674</v>
      </c>
      <c r="AF162" s="62"/>
    </row>
    <row r="163" spans="1:32" s="45" customFormat="1">
      <c r="A163" s="90">
        <v>498</v>
      </c>
      <c r="B163" s="151" t="s">
        <v>162</v>
      </c>
      <c r="C163" s="395">
        <v>2325</v>
      </c>
      <c r="D163" s="134">
        <v>107.91666666666667</v>
      </c>
      <c r="E163" s="41">
        <v>1062</v>
      </c>
      <c r="F163" s="332">
        <f t="shared" si="5"/>
        <v>0.10161644695543001</v>
      </c>
      <c r="G163" s="377">
        <f>Muut[[#This Row],[Keskim. työttömyysaste 2023, %]]/$F$12</f>
        <v>1.034139428885966</v>
      </c>
      <c r="H163" s="166">
        <v>0</v>
      </c>
      <c r="I163" s="383">
        <v>12</v>
      </c>
      <c r="J163" s="389">
        <v>108</v>
      </c>
      <c r="K163" s="269">
        <v>1904.05</v>
      </c>
      <c r="L163" s="170">
        <f t="shared" si="6"/>
        <v>1.2210813791654631</v>
      </c>
      <c r="M163" s="377">
        <v>15.091901148634719</v>
      </c>
      <c r="N163" s="166">
        <v>0</v>
      </c>
      <c r="O163" s="397">
        <v>0</v>
      </c>
      <c r="P163" s="269">
        <v>708</v>
      </c>
      <c r="Q163" s="15">
        <v>87</v>
      </c>
      <c r="R163" s="158">
        <v>0.1228813559322034</v>
      </c>
      <c r="S163" s="401">
        <v>0.87919822977027062</v>
      </c>
      <c r="T163" s="153">
        <v>146</v>
      </c>
      <c r="U163" s="197">
        <v>165997.99284591753</v>
      </c>
      <c r="V163" s="159">
        <v>0</v>
      </c>
      <c r="W163" s="159">
        <v>0</v>
      </c>
      <c r="X163" s="159">
        <v>197206.92</v>
      </c>
      <c r="Y163" s="159">
        <v>1452320.0583601291</v>
      </c>
      <c r="Z163" s="159">
        <v>0</v>
      </c>
      <c r="AA163" s="155">
        <v>0</v>
      </c>
      <c r="AB163" s="159">
        <v>57930.810958678019</v>
      </c>
      <c r="AC163" s="159">
        <v>107212.18000000001</v>
      </c>
      <c r="AD163" s="174">
        <f>SUM(Muut[[#This Row],[Työttömyysaste]:[Työttömät ja palveluissa olevat ]])</f>
        <v>1980667.9621647245</v>
      </c>
      <c r="AF163" s="62"/>
    </row>
    <row r="164" spans="1:32" s="45" customFormat="1">
      <c r="A164" s="90">
        <v>499</v>
      </c>
      <c r="B164" s="151" t="s">
        <v>163</v>
      </c>
      <c r="C164" s="395">
        <v>19763</v>
      </c>
      <c r="D164" s="134">
        <v>333.08333333333331</v>
      </c>
      <c r="E164" s="41">
        <v>9457</v>
      </c>
      <c r="F164" s="332">
        <f t="shared" si="5"/>
        <v>3.5220824080927707E-2</v>
      </c>
      <c r="G164" s="377">
        <f>Muut[[#This Row],[Keskim. työttömyysaste 2023, %]]/$F$12</f>
        <v>0.35843846140299762</v>
      </c>
      <c r="H164" s="166">
        <v>3</v>
      </c>
      <c r="I164" s="383">
        <v>13470</v>
      </c>
      <c r="J164" s="389">
        <v>674</v>
      </c>
      <c r="K164" s="269">
        <v>849.5</v>
      </c>
      <c r="L164" s="170">
        <f t="shared" si="6"/>
        <v>23.264273101824603</v>
      </c>
      <c r="M164" s="377">
        <v>0.79213476338353284</v>
      </c>
      <c r="N164" s="166">
        <v>3</v>
      </c>
      <c r="O164" s="397">
        <v>2070</v>
      </c>
      <c r="P164" s="269">
        <v>6481</v>
      </c>
      <c r="Q164" s="15">
        <v>451</v>
      </c>
      <c r="R164" s="158">
        <v>6.9588026539114334E-2</v>
      </c>
      <c r="S164" s="401">
        <v>0.49789220897067032</v>
      </c>
      <c r="T164" s="153">
        <v>519</v>
      </c>
      <c r="U164" s="197">
        <v>489066.88534932188</v>
      </c>
      <c r="V164" s="159">
        <v>405394.46640000003</v>
      </c>
      <c r="W164" s="159">
        <v>3670941.3840000005</v>
      </c>
      <c r="X164" s="159">
        <v>1230717.26</v>
      </c>
      <c r="Y164" s="159">
        <v>647958.76661691116</v>
      </c>
      <c r="Z164" s="159">
        <v>0</v>
      </c>
      <c r="AA164" s="155">
        <v>610732.80000000005</v>
      </c>
      <c r="AB164" s="159">
        <v>278861.17119164771</v>
      </c>
      <c r="AC164" s="159">
        <v>381117.27</v>
      </c>
      <c r="AD164" s="174">
        <f>SUM(Muut[[#This Row],[Työttömyysaste]:[Työttömät ja palveluissa olevat ]])</f>
        <v>7714790.0035578813</v>
      </c>
      <c r="AF164" s="62"/>
    </row>
    <row r="165" spans="1:32" s="45" customFormat="1">
      <c r="A165" s="90">
        <v>500</v>
      </c>
      <c r="B165" s="151" t="s">
        <v>164</v>
      </c>
      <c r="C165" s="395">
        <v>10551</v>
      </c>
      <c r="D165" s="134">
        <v>381.83333333333331</v>
      </c>
      <c r="E165" s="41">
        <v>4962</v>
      </c>
      <c r="F165" s="332">
        <f t="shared" si="5"/>
        <v>7.69514980518608E-2</v>
      </c>
      <c r="G165" s="377">
        <f>Muut[[#This Row],[Keskim. työttömyysaste 2023, %]]/$F$12</f>
        <v>0.78312695072063299</v>
      </c>
      <c r="H165" s="166">
        <v>0</v>
      </c>
      <c r="I165" s="383">
        <v>16</v>
      </c>
      <c r="J165" s="389">
        <v>207</v>
      </c>
      <c r="K165" s="269">
        <v>144.06</v>
      </c>
      <c r="L165" s="170">
        <f t="shared" si="6"/>
        <v>73.240316534777179</v>
      </c>
      <c r="M165" s="377">
        <v>0.25161605439066098</v>
      </c>
      <c r="N165" s="166">
        <v>0</v>
      </c>
      <c r="O165" s="397">
        <v>0</v>
      </c>
      <c r="P165" s="269">
        <v>3608</v>
      </c>
      <c r="Q165" s="15">
        <v>195</v>
      </c>
      <c r="R165" s="158">
        <v>5.4046563192904656E-2</v>
      </c>
      <c r="S165" s="401">
        <v>0.38669529908658778</v>
      </c>
      <c r="T165" s="153">
        <v>552</v>
      </c>
      <c r="U165" s="197">
        <v>570461.8104349667</v>
      </c>
      <c r="V165" s="159">
        <v>0</v>
      </c>
      <c r="W165" s="159">
        <v>0</v>
      </c>
      <c r="X165" s="159">
        <v>377979.93</v>
      </c>
      <c r="Y165" s="159">
        <v>109882.21297096202</v>
      </c>
      <c r="Z165" s="159">
        <v>0</v>
      </c>
      <c r="AA165" s="155">
        <v>0</v>
      </c>
      <c r="AB165" s="159">
        <v>115627.82633277772</v>
      </c>
      <c r="AC165" s="159">
        <v>405350.16000000003</v>
      </c>
      <c r="AD165" s="174">
        <f>SUM(Muut[[#This Row],[Työttömyysaste]:[Työttömät ja palveluissa olevat ]])</f>
        <v>1579301.9397387067</v>
      </c>
      <c r="AF165" s="62"/>
    </row>
    <row r="166" spans="1:32" s="45" customFormat="1">
      <c r="A166" s="90">
        <v>503</v>
      </c>
      <c r="B166" s="151" t="s">
        <v>165</v>
      </c>
      <c r="C166" s="395">
        <v>7515</v>
      </c>
      <c r="D166" s="134">
        <v>242.75</v>
      </c>
      <c r="E166" s="41">
        <v>3517</v>
      </c>
      <c r="F166" s="332">
        <f t="shared" si="5"/>
        <v>6.9021893659368783E-2</v>
      </c>
      <c r="G166" s="377">
        <f>Muut[[#This Row],[Keskim. työttömyysaste 2023, %]]/$F$12</f>
        <v>0.70242823704350466</v>
      </c>
      <c r="H166" s="166">
        <v>0</v>
      </c>
      <c r="I166" s="383">
        <v>65</v>
      </c>
      <c r="J166" s="389">
        <v>293</v>
      </c>
      <c r="K166" s="269">
        <v>519.83000000000004</v>
      </c>
      <c r="L166" s="170">
        <f t="shared" si="6"/>
        <v>14.456649289190695</v>
      </c>
      <c r="M166" s="377">
        <v>1.2747379493104776</v>
      </c>
      <c r="N166" s="166">
        <v>0</v>
      </c>
      <c r="O166" s="397">
        <v>0</v>
      </c>
      <c r="P166" s="269">
        <v>2206</v>
      </c>
      <c r="Q166" s="15">
        <v>294</v>
      </c>
      <c r="R166" s="158">
        <v>0.13327289211242066</v>
      </c>
      <c r="S166" s="401">
        <v>0.95354815978960905</v>
      </c>
      <c r="T166" s="153">
        <v>336</v>
      </c>
      <c r="U166" s="197">
        <v>364444.77582340903</v>
      </c>
      <c r="V166" s="159">
        <v>0</v>
      </c>
      <c r="W166" s="159">
        <v>0</v>
      </c>
      <c r="X166" s="159">
        <v>535015.06999999995</v>
      </c>
      <c r="Y166" s="159">
        <v>396501.94897053443</v>
      </c>
      <c r="Z166" s="159">
        <v>0</v>
      </c>
      <c r="AA166" s="155">
        <v>0</v>
      </c>
      <c r="AB166" s="159">
        <v>203082.01468600795</v>
      </c>
      <c r="AC166" s="159">
        <v>246734.88</v>
      </c>
      <c r="AD166" s="174">
        <f>SUM(Muut[[#This Row],[Työttömyysaste]:[Työttömät ja palveluissa olevat ]])</f>
        <v>1745778.6894799513</v>
      </c>
      <c r="AF166" s="62"/>
    </row>
    <row r="167" spans="1:32" s="45" customFormat="1">
      <c r="A167" s="90">
        <v>504</v>
      </c>
      <c r="B167" s="151" t="s">
        <v>166</v>
      </c>
      <c r="C167" s="395">
        <v>1715</v>
      </c>
      <c r="D167" s="134">
        <v>77.25</v>
      </c>
      <c r="E167" s="41">
        <v>827</v>
      </c>
      <c r="F167" s="332">
        <f t="shared" si="5"/>
        <v>9.3409915356711004E-2</v>
      </c>
      <c r="G167" s="377">
        <f>Muut[[#This Row],[Keskim. työttömyysaste 2023, %]]/$F$12</f>
        <v>0.95062245742212159</v>
      </c>
      <c r="H167" s="166">
        <v>1</v>
      </c>
      <c r="I167" s="383">
        <v>159</v>
      </c>
      <c r="J167" s="389">
        <v>72</v>
      </c>
      <c r="K167" s="269">
        <v>200.47</v>
      </c>
      <c r="L167" s="170">
        <f t="shared" si="6"/>
        <v>8.5548959944131298</v>
      </c>
      <c r="M167" s="377">
        <v>2.1541395103854701</v>
      </c>
      <c r="N167" s="166">
        <v>0</v>
      </c>
      <c r="O167" s="397">
        <v>0</v>
      </c>
      <c r="P167" s="269">
        <v>503</v>
      </c>
      <c r="Q167" s="15">
        <v>87</v>
      </c>
      <c r="R167" s="158">
        <v>0.17296222664015903</v>
      </c>
      <c r="S167" s="401">
        <v>1.2375195758993072</v>
      </c>
      <c r="T167" s="153">
        <v>99</v>
      </c>
      <c r="U167" s="197">
        <v>112557.12119962594</v>
      </c>
      <c r="V167" s="159">
        <v>35179.452000000005</v>
      </c>
      <c r="W167" s="159">
        <v>43331.824800000009</v>
      </c>
      <c r="X167" s="159">
        <v>131471.28</v>
      </c>
      <c r="Y167" s="159">
        <v>152909.11588427564</v>
      </c>
      <c r="Z167" s="159">
        <v>0</v>
      </c>
      <c r="AA167" s="155">
        <v>0</v>
      </c>
      <c r="AB167" s="159">
        <v>60147.287699391622</v>
      </c>
      <c r="AC167" s="159">
        <v>72698.67</v>
      </c>
      <c r="AD167" s="174">
        <f>SUM(Muut[[#This Row],[Työttömyysaste]:[Työttömät ja palveluissa olevat ]])</f>
        <v>608294.7515832932</v>
      </c>
      <c r="AF167" s="62"/>
    </row>
    <row r="168" spans="1:32" s="45" customFormat="1">
      <c r="A168" s="90">
        <v>505</v>
      </c>
      <c r="B168" s="151" t="s">
        <v>167</v>
      </c>
      <c r="C168" s="395">
        <v>20957</v>
      </c>
      <c r="D168" s="134">
        <v>689.66666666666663</v>
      </c>
      <c r="E168" s="41">
        <v>10228</v>
      </c>
      <c r="F168" s="332">
        <f t="shared" si="5"/>
        <v>6.7429279103115622E-2</v>
      </c>
      <c r="G168" s="377">
        <f>Muut[[#This Row],[Keskim. työttömyysaste 2023, %]]/$F$12</f>
        <v>0.68622037348415876</v>
      </c>
      <c r="H168" s="166">
        <v>0</v>
      </c>
      <c r="I168" s="383">
        <v>163</v>
      </c>
      <c r="J168" s="389">
        <v>1117</v>
      </c>
      <c r="K168" s="269">
        <v>580.9</v>
      </c>
      <c r="L168" s="170">
        <f t="shared" si="6"/>
        <v>36.076777414357032</v>
      </c>
      <c r="M168" s="377">
        <v>0.5108116852330048</v>
      </c>
      <c r="N168" s="166">
        <v>0</v>
      </c>
      <c r="O168" s="397">
        <v>0</v>
      </c>
      <c r="P168" s="269">
        <v>6825</v>
      </c>
      <c r="Q168" s="15">
        <v>938</v>
      </c>
      <c r="R168" s="158">
        <v>0.13743589743589743</v>
      </c>
      <c r="S168" s="401">
        <v>0.98333385740955037</v>
      </c>
      <c r="T168" s="153">
        <v>955</v>
      </c>
      <c r="U168" s="197">
        <v>992872.55014510301</v>
      </c>
      <c r="V168" s="159">
        <v>0</v>
      </c>
      <c r="W168" s="159">
        <v>0</v>
      </c>
      <c r="X168" s="159">
        <v>2039630.83</v>
      </c>
      <c r="Y168" s="159">
        <v>443083.28137464833</v>
      </c>
      <c r="Z168" s="159">
        <v>0</v>
      </c>
      <c r="AA168" s="155">
        <v>0</v>
      </c>
      <c r="AB168" s="159">
        <v>584023.0015934034</v>
      </c>
      <c r="AC168" s="159">
        <v>701285.15</v>
      </c>
      <c r="AD168" s="174">
        <f>SUM(Muut[[#This Row],[Työttömyysaste]:[Työttömät ja palveluissa olevat ]])</f>
        <v>4760894.8131131548</v>
      </c>
      <c r="AF168" s="62"/>
    </row>
    <row r="169" spans="1:32" s="45" customFormat="1">
      <c r="A169" s="90">
        <v>507</v>
      </c>
      <c r="B169" s="151" t="s">
        <v>168</v>
      </c>
      <c r="C169" s="395">
        <v>7099</v>
      </c>
      <c r="D169" s="134">
        <v>275.83333333333331</v>
      </c>
      <c r="E169" s="41">
        <v>2827</v>
      </c>
      <c r="F169" s="332">
        <f t="shared" si="5"/>
        <v>9.7571041150807683E-2</v>
      </c>
      <c r="G169" s="377">
        <f>Muut[[#This Row],[Keskim. työttömyysaste 2023, %]]/$F$12</f>
        <v>0.99296977797070574</v>
      </c>
      <c r="H169" s="166">
        <v>0</v>
      </c>
      <c r="I169" s="383">
        <v>17</v>
      </c>
      <c r="J169" s="389">
        <v>301</v>
      </c>
      <c r="K169" s="269">
        <v>1355.75</v>
      </c>
      <c r="L169" s="170">
        <f t="shared" si="6"/>
        <v>5.2362161165406604</v>
      </c>
      <c r="M169" s="377">
        <v>3.5194191871856098</v>
      </c>
      <c r="N169" s="166">
        <v>0</v>
      </c>
      <c r="O169" s="397">
        <v>0</v>
      </c>
      <c r="P169" s="269">
        <v>1650</v>
      </c>
      <c r="Q169" s="15">
        <v>295</v>
      </c>
      <c r="R169" s="158">
        <v>0.1787878787878788</v>
      </c>
      <c r="S169" s="401">
        <v>1.2792012697305379</v>
      </c>
      <c r="T169" s="153">
        <v>395</v>
      </c>
      <c r="U169" s="197">
        <v>486669.34301132133</v>
      </c>
      <c r="V169" s="159">
        <v>0</v>
      </c>
      <c r="W169" s="159">
        <v>0</v>
      </c>
      <c r="X169" s="159">
        <v>549622.99</v>
      </c>
      <c r="Y169" s="159">
        <v>1034102.5283588903</v>
      </c>
      <c r="Z169" s="159">
        <v>0</v>
      </c>
      <c r="AA169" s="155">
        <v>0</v>
      </c>
      <c r="AB169" s="159">
        <v>257356.95172357632</v>
      </c>
      <c r="AC169" s="159">
        <v>290060.35000000003</v>
      </c>
      <c r="AD169" s="174">
        <f>SUM(Muut[[#This Row],[Työttömyysaste]:[Työttömät ja palveluissa olevat ]])</f>
        <v>2617812.1630937881</v>
      </c>
      <c r="AF169" s="62"/>
    </row>
    <row r="170" spans="1:32" s="45" customFormat="1">
      <c r="A170" s="90">
        <v>508</v>
      </c>
      <c r="B170" s="151" t="s">
        <v>169</v>
      </c>
      <c r="C170" s="395">
        <v>9271</v>
      </c>
      <c r="D170" s="134">
        <v>357.91666666666669</v>
      </c>
      <c r="E170" s="41">
        <v>3737</v>
      </c>
      <c r="F170" s="332">
        <f t="shared" si="5"/>
        <v>9.5776469538845777E-2</v>
      </c>
      <c r="G170" s="377">
        <f>Muut[[#This Row],[Keskim. työttömyysaste 2023, %]]/$F$12</f>
        <v>0.97470661961895544</v>
      </c>
      <c r="H170" s="166">
        <v>0</v>
      </c>
      <c r="I170" s="383">
        <v>15</v>
      </c>
      <c r="J170" s="389">
        <v>355</v>
      </c>
      <c r="K170" s="269">
        <v>534.78</v>
      </c>
      <c r="L170" s="170">
        <f t="shared" si="6"/>
        <v>17.336100826508098</v>
      </c>
      <c r="M170" s="377">
        <v>1.0630094767691569</v>
      </c>
      <c r="N170" s="166">
        <v>0</v>
      </c>
      <c r="O170" s="397">
        <v>0</v>
      </c>
      <c r="P170" s="269">
        <v>2345</v>
      </c>
      <c r="Q170" s="15">
        <v>326</v>
      </c>
      <c r="R170" s="158">
        <v>0.13901918976545843</v>
      </c>
      <c r="S170" s="401">
        <v>0.99466208375274678</v>
      </c>
      <c r="T170" s="153">
        <v>583</v>
      </c>
      <c r="U170" s="197">
        <v>623880.31006644585</v>
      </c>
      <c r="V170" s="159">
        <v>0</v>
      </c>
      <c r="W170" s="159">
        <v>0</v>
      </c>
      <c r="X170" s="159">
        <v>648226.44999999995</v>
      </c>
      <c r="Y170" s="159">
        <v>407905.10795926052</v>
      </c>
      <c r="Z170" s="159">
        <v>0</v>
      </c>
      <c r="AA170" s="155">
        <v>0</v>
      </c>
      <c r="AB170" s="159">
        <v>261337.65513788842</v>
      </c>
      <c r="AC170" s="159">
        <v>428114.39</v>
      </c>
      <c r="AD170" s="174">
        <f>SUM(Muut[[#This Row],[Työttömyysaste]:[Työttömät ja palveluissa olevat ]])</f>
        <v>2369463.9131635949</v>
      </c>
      <c r="AF170" s="62"/>
    </row>
    <row r="171" spans="1:32" s="45" customFormat="1">
      <c r="A171" s="90">
        <v>529</v>
      </c>
      <c r="B171" s="151" t="s">
        <v>170</v>
      </c>
      <c r="C171" s="395">
        <v>19999</v>
      </c>
      <c r="D171" s="134">
        <v>609.91666666666663</v>
      </c>
      <c r="E171" s="41">
        <v>9166</v>
      </c>
      <c r="F171" s="332">
        <f t="shared" si="5"/>
        <v>6.6541202996581561E-2</v>
      </c>
      <c r="G171" s="377">
        <f>Muut[[#This Row],[Keskim. työttömyysaste 2023, %]]/$F$12</f>
        <v>0.67718252040884686</v>
      </c>
      <c r="H171" s="166">
        <v>0</v>
      </c>
      <c r="I171" s="383">
        <v>271</v>
      </c>
      <c r="J171" s="389">
        <v>775</v>
      </c>
      <c r="K171" s="269">
        <v>312.58999999999997</v>
      </c>
      <c r="L171" s="170">
        <f t="shared" si="6"/>
        <v>63.978374228222279</v>
      </c>
      <c r="M171" s="377">
        <v>0.28804169676250585</v>
      </c>
      <c r="N171" s="166">
        <v>3</v>
      </c>
      <c r="O171" s="397">
        <v>4267</v>
      </c>
      <c r="P171" s="269">
        <v>6006</v>
      </c>
      <c r="Q171" s="15">
        <v>617</v>
      </c>
      <c r="R171" s="158">
        <v>0.10273060273060274</v>
      </c>
      <c r="S171" s="401">
        <v>0.73502252134824164</v>
      </c>
      <c r="T171" s="153">
        <v>897</v>
      </c>
      <c r="U171" s="197">
        <v>935006.87149932689</v>
      </c>
      <c r="V171" s="159">
        <v>0</v>
      </c>
      <c r="W171" s="159">
        <v>0</v>
      </c>
      <c r="X171" s="159">
        <v>1415142.25</v>
      </c>
      <c r="Y171" s="159">
        <v>238428.99453417334</v>
      </c>
      <c r="Z171" s="159">
        <v>0</v>
      </c>
      <c r="AA171" s="155">
        <v>1258935.6800000002</v>
      </c>
      <c r="AB171" s="159">
        <v>416589.93456192833</v>
      </c>
      <c r="AC171" s="159">
        <v>658694.01</v>
      </c>
      <c r="AD171" s="174">
        <f>SUM(Muut[[#This Row],[Työttömyysaste]:[Työttömät ja palveluissa olevat ]])</f>
        <v>4922797.7405954292</v>
      </c>
      <c r="AF171" s="62"/>
    </row>
    <row r="172" spans="1:32" s="45" customFormat="1">
      <c r="A172" s="90">
        <v>531</v>
      </c>
      <c r="B172" s="151" t="s">
        <v>171</v>
      </c>
      <c r="C172" s="395">
        <v>4966</v>
      </c>
      <c r="D172" s="134">
        <v>162.75</v>
      </c>
      <c r="E172" s="41">
        <v>2206</v>
      </c>
      <c r="F172" s="332">
        <f t="shared" si="5"/>
        <v>7.3776065276518588E-2</v>
      </c>
      <c r="G172" s="377">
        <f>Muut[[#This Row],[Keskim. työttömyysaste 2023, %]]/$F$12</f>
        <v>0.75081091985017256</v>
      </c>
      <c r="H172" s="166">
        <v>0</v>
      </c>
      <c r="I172" s="383">
        <v>30</v>
      </c>
      <c r="J172" s="389">
        <v>96</v>
      </c>
      <c r="K172" s="269">
        <v>182.93</v>
      </c>
      <c r="L172" s="170">
        <f t="shared" si="6"/>
        <v>27.146996118733941</v>
      </c>
      <c r="M172" s="377">
        <v>0.6788389915481805</v>
      </c>
      <c r="N172" s="166">
        <v>0</v>
      </c>
      <c r="O172" s="397">
        <v>0</v>
      </c>
      <c r="P172" s="269">
        <v>1443</v>
      </c>
      <c r="Q172" s="15">
        <v>155</v>
      </c>
      <c r="R172" s="158">
        <v>0.10741510741510742</v>
      </c>
      <c r="S172" s="401">
        <v>0.76853947104921494</v>
      </c>
      <c r="T172" s="153">
        <v>306</v>
      </c>
      <c r="U172" s="197">
        <v>257417.50601146012</v>
      </c>
      <c r="V172" s="159">
        <v>0</v>
      </c>
      <c r="W172" s="159">
        <v>0</v>
      </c>
      <c r="X172" s="159">
        <v>175295.04</v>
      </c>
      <c r="Y172" s="159">
        <v>139530.42634164984</v>
      </c>
      <c r="Z172" s="159">
        <v>0</v>
      </c>
      <c r="AA172" s="155">
        <v>0</v>
      </c>
      <c r="AB172" s="159">
        <v>108161.50915494957</v>
      </c>
      <c r="AC172" s="159">
        <v>224704.98</v>
      </c>
      <c r="AD172" s="174">
        <f>SUM(Muut[[#This Row],[Työttömyysaste]:[Työttömät ja palveluissa olevat ]])</f>
        <v>905109.46150805952</v>
      </c>
      <c r="AF172" s="62"/>
    </row>
    <row r="173" spans="1:32" s="45" customFormat="1">
      <c r="A173" s="90">
        <v>535</v>
      </c>
      <c r="B173" s="151" t="s">
        <v>172</v>
      </c>
      <c r="C173" s="395">
        <v>10454</v>
      </c>
      <c r="D173" s="134">
        <v>339.5</v>
      </c>
      <c r="E173" s="41">
        <v>4322</v>
      </c>
      <c r="F173" s="332">
        <f t="shared" si="5"/>
        <v>7.8551596483109665E-2</v>
      </c>
      <c r="G173" s="377">
        <f>Muut[[#This Row],[Keskim. työttömyysaste 2023, %]]/$F$12</f>
        <v>0.79941097685450091</v>
      </c>
      <c r="H173" s="166">
        <v>0</v>
      </c>
      <c r="I173" s="383">
        <v>7</v>
      </c>
      <c r="J173" s="389">
        <v>163</v>
      </c>
      <c r="K173" s="269">
        <v>527.32000000000005</v>
      </c>
      <c r="L173" s="170">
        <f t="shared" si="6"/>
        <v>19.824774330577256</v>
      </c>
      <c r="M173" s="377">
        <v>0.9295661661268011</v>
      </c>
      <c r="N173" s="166">
        <v>0</v>
      </c>
      <c r="O173" s="397">
        <v>0</v>
      </c>
      <c r="P173" s="269">
        <v>2841</v>
      </c>
      <c r="Q173" s="15">
        <v>274</v>
      </c>
      <c r="R173" s="158">
        <v>9.6444913762759585E-2</v>
      </c>
      <c r="S173" s="401">
        <v>0.69004933097700871</v>
      </c>
      <c r="T173" s="153">
        <v>450</v>
      </c>
      <c r="U173" s="197">
        <v>576970.20398463134</v>
      </c>
      <c r="V173" s="159">
        <v>0</v>
      </c>
      <c r="W173" s="159">
        <v>0</v>
      </c>
      <c r="X173" s="159">
        <v>297636.37</v>
      </c>
      <c r="Y173" s="159">
        <v>402214.9697615417</v>
      </c>
      <c r="Z173" s="159">
        <v>0</v>
      </c>
      <c r="AA173" s="155">
        <v>0</v>
      </c>
      <c r="AB173" s="159">
        <v>204438.40350899362</v>
      </c>
      <c r="AC173" s="159">
        <v>330448.5</v>
      </c>
      <c r="AD173" s="174">
        <f>SUM(Muut[[#This Row],[Työttömyysaste]:[Työttömät ja palveluissa olevat ]])</f>
        <v>1811708.4472551665</v>
      </c>
      <c r="AF173" s="62"/>
    </row>
    <row r="174" spans="1:32" s="45" customFormat="1">
      <c r="A174" s="90">
        <v>536</v>
      </c>
      <c r="B174" s="151" t="s">
        <v>173</v>
      </c>
      <c r="C174" s="395">
        <v>35647</v>
      </c>
      <c r="D174" s="134">
        <v>1330.4166666666667</v>
      </c>
      <c r="E174" s="41">
        <v>16908</v>
      </c>
      <c r="F174" s="332">
        <f t="shared" si="5"/>
        <v>7.868563204794575E-2</v>
      </c>
      <c r="G174" s="377">
        <f>Muut[[#This Row],[Keskim. työttömyysaste 2023, %]]/$F$12</f>
        <v>0.80077504208825967</v>
      </c>
      <c r="H174" s="166">
        <v>0</v>
      </c>
      <c r="I174" s="383">
        <v>114</v>
      </c>
      <c r="J174" s="389">
        <v>1288</v>
      </c>
      <c r="K174" s="269">
        <v>288.32</v>
      </c>
      <c r="L174" s="170">
        <f t="shared" si="6"/>
        <v>123.63693118756937</v>
      </c>
      <c r="M174" s="377">
        <v>0.14905287030172212</v>
      </c>
      <c r="N174" s="166">
        <v>0</v>
      </c>
      <c r="O174" s="397">
        <v>0</v>
      </c>
      <c r="P174" s="269">
        <v>12188</v>
      </c>
      <c r="Q174" s="15">
        <v>1065</v>
      </c>
      <c r="R174" s="158">
        <v>8.7381030521824749E-2</v>
      </c>
      <c r="S174" s="401">
        <v>0.62519856464374179</v>
      </c>
      <c r="T174" s="153">
        <v>1994</v>
      </c>
      <c r="U174" s="197">
        <v>1970762.5359641067</v>
      </c>
      <c r="V174" s="159">
        <v>0</v>
      </c>
      <c r="W174" s="159">
        <v>0</v>
      </c>
      <c r="X174" s="159">
        <v>2351875.12</v>
      </c>
      <c r="Y174" s="159">
        <v>219916.97656384678</v>
      </c>
      <c r="Z174" s="159">
        <v>0</v>
      </c>
      <c r="AA174" s="155">
        <v>0</v>
      </c>
      <c r="AB174" s="159">
        <v>631598.08464746387</v>
      </c>
      <c r="AC174" s="159">
        <v>1464254.02</v>
      </c>
      <c r="AD174" s="174">
        <f>SUM(Muut[[#This Row],[Työttömyysaste]:[Työttömät ja palveluissa olevat ]])</f>
        <v>6638406.7371754162</v>
      </c>
      <c r="AF174" s="62"/>
    </row>
    <row r="175" spans="1:32" s="45" customFormat="1">
      <c r="A175" s="90">
        <v>538</v>
      </c>
      <c r="B175" s="151" t="s">
        <v>174</v>
      </c>
      <c r="C175" s="395">
        <v>4695</v>
      </c>
      <c r="D175" s="134">
        <v>115.58333333333333</v>
      </c>
      <c r="E175" s="41">
        <v>2254</v>
      </c>
      <c r="F175" s="332">
        <f t="shared" si="5"/>
        <v>5.1279207335107956E-2</v>
      </c>
      <c r="G175" s="377">
        <f>Muut[[#This Row],[Keskim. työttömyysaste 2023, %]]/$F$12</f>
        <v>0.52186286547209237</v>
      </c>
      <c r="H175" s="166">
        <v>0</v>
      </c>
      <c r="I175" s="383">
        <v>37</v>
      </c>
      <c r="J175" s="389">
        <v>158</v>
      </c>
      <c r="K175" s="269">
        <v>198.94</v>
      </c>
      <c r="L175" s="170">
        <f t="shared" si="6"/>
        <v>23.600080426259172</v>
      </c>
      <c r="M175" s="377">
        <v>0.78086341808813897</v>
      </c>
      <c r="N175" s="166">
        <v>0</v>
      </c>
      <c r="O175" s="397">
        <v>0</v>
      </c>
      <c r="P175" s="269">
        <v>1604</v>
      </c>
      <c r="Q175" s="15">
        <v>154</v>
      </c>
      <c r="R175" s="158">
        <v>9.6009975062344141E-2</v>
      </c>
      <c r="S175" s="401">
        <v>0.68693740783323398</v>
      </c>
      <c r="T175" s="153">
        <v>167</v>
      </c>
      <c r="U175" s="197">
        <v>169158.09043014736</v>
      </c>
      <c r="V175" s="159">
        <v>0</v>
      </c>
      <c r="W175" s="159">
        <v>0</v>
      </c>
      <c r="X175" s="159">
        <v>288506.42</v>
      </c>
      <c r="Y175" s="159">
        <v>151742.10362656659</v>
      </c>
      <c r="Z175" s="159">
        <v>0</v>
      </c>
      <c r="AA175" s="155">
        <v>0</v>
      </c>
      <c r="AB175" s="159">
        <v>91401.349817881128</v>
      </c>
      <c r="AC175" s="159">
        <v>122633.11</v>
      </c>
      <c r="AD175" s="174">
        <f>SUM(Muut[[#This Row],[Työttömyysaste]:[Työttömät ja palveluissa olevat ]])</f>
        <v>823441.07387459499</v>
      </c>
      <c r="AF175" s="62"/>
    </row>
    <row r="176" spans="1:32" s="45" customFormat="1">
      <c r="A176" s="90">
        <v>541</v>
      </c>
      <c r="B176" s="151" t="s">
        <v>175</v>
      </c>
      <c r="C176" s="395">
        <v>9130</v>
      </c>
      <c r="D176" s="134">
        <v>450.5</v>
      </c>
      <c r="E176" s="41">
        <v>3752</v>
      </c>
      <c r="F176" s="332">
        <f t="shared" si="5"/>
        <v>0.12006929637526652</v>
      </c>
      <c r="G176" s="377">
        <f>Muut[[#This Row],[Keskim. työttömyysaste 2023, %]]/$F$12</f>
        <v>1.2219320523450243</v>
      </c>
      <c r="H176" s="166">
        <v>0</v>
      </c>
      <c r="I176" s="383">
        <v>9</v>
      </c>
      <c r="J176" s="390">
        <v>307</v>
      </c>
      <c r="K176" s="269">
        <v>2401.58</v>
      </c>
      <c r="L176" s="170">
        <f t="shared" si="6"/>
        <v>3.8016639045961411</v>
      </c>
      <c r="M176" s="377">
        <v>4.8474667754095986</v>
      </c>
      <c r="N176" s="166">
        <v>0</v>
      </c>
      <c r="O176" s="397">
        <v>0</v>
      </c>
      <c r="P176" s="269">
        <v>2205</v>
      </c>
      <c r="Q176" s="15">
        <v>288</v>
      </c>
      <c r="R176" s="158">
        <v>0.1306122448979592</v>
      </c>
      <c r="S176" s="401">
        <v>0.93451161593597243</v>
      </c>
      <c r="T176" s="153">
        <v>619</v>
      </c>
      <c r="U176" s="197">
        <v>770226.78460131167</v>
      </c>
      <c r="V176" s="159">
        <v>0</v>
      </c>
      <c r="W176" s="159">
        <v>0</v>
      </c>
      <c r="X176" s="159">
        <v>560578.93000000005</v>
      </c>
      <c r="Y176" s="159">
        <v>1831812.6129862759</v>
      </c>
      <c r="Z176" s="159">
        <v>0</v>
      </c>
      <c r="AA176" s="155">
        <v>0</v>
      </c>
      <c r="AB176" s="159">
        <v>241799.46045606045</v>
      </c>
      <c r="AC176" s="159">
        <v>454550.27</v>
      </c>
      <c r="AD176" s="174">
        <f>SUM(Muut[[#This Row],[Työttömyysaste]:[Työttömät ja palveluissa olevat ]])</f>
        <v>3858968.058043648</v>
      </c>
      <c r="AF176" s="62"/>
    </row>
    <row r="177" spans="1:32" s="45" customFormat="1">
      <c r="A177" s="90">
        <v>543</v>
      </c>
      <c r="B177" s="151" t="s">
        <v>176</v>
      </c>
      <c r="C177" s="395">
        <v>44785</v>
      </c>
      <c r="D177" s="134">
        <v>1622.25</v>
      </c>
      <c r="E177" s="41">
        <v>22663</v>
      </c>
      <c r="F177" s="332">
        <f t="shared" si="5"/>
        <v>7.1581432290517583E-2</v>
      </c>
      <c r="G177" s="377">
        <f>Muut[[#This Row],[Keskim. työttömyysaste 2023, %]]/$F$12</f>
        <v>0.72847638079909915</v>
      </c>
      <c r="H177" s="166">
        <v>0</v>
      </c>
      <c r="I177" s="383">
        <v>563</v>
      </c>
      <c r="J177" s="389">
        <v>3434</v>
      </c>
      <c r="K177" s="269">
        <v>361.91</v>
      </c>
      <c r="L177" s="170">
        <f t="shared" si="6"/>
        <v>123.7462352518582</v>
      </c>
      <c r="M177" s="377">
        <v>0.1489212130881937</v>
      </c>
      <c r="N177" s="166">
        <v>0</v>
      </c>
      <c r="O177" s="397">
        <v>0</v>
      </c>
      <c r="P177" s="269">
        <v>15160</v>
      </c>
      <c r="Q177" s="15">
        <v>2289</v>
      </c>
      <c r="R177" s="158">
        <v>0.15098944591029023</v>
      </c>
      <c r="S177" s="401">
        <v>1.0803075255090966</v>
      </c>
      <c r="T177" s="153">
        <v>2110</v>
      </c>
      <c r="U177" s="197">
        <v>2252417.2078606123</v>
      </c>
      <c r="V177" s="159">
        <v>0</v>
      </c>
      <c r="W177" s="159">
        <v>0</v>
      </c>
      <c r="X177" s="159">
        <v>6270449.6600000001</v>
      </c>
      <c r="Y177" s="159">
        <v>276047.97790032532</v>
      </c>
      <c r="Z177" s="159">
        <v>0</v>
      </c>
      <c r="AA177" s="155">
        <v>0</v>
      </c>
      <c r="AB177" s="159">
        <v>1371133.7654980712</v>
      </c>
      <c r="AC177" s="159">
        <v>1549436.3</v>
      </c>
      <c r="AD177" s="174">
        <f>SUM(Muut[[#This Row],[Työttömyysaste]:[Työttömät ja palveluissa olevat ]])</f>
        <v>11719484.91125901</v>
      </c>
      <c r="AF177" s="62"/>
    </row>
    <row r="178" spans="1:32" s="45" customFormat="1">
      <c r="A178" s="90">
        <v>545</v>
      </c>
      <c r="B178" s="151" t="s">
        <v>177</v>
      </c>
      <c r="C178" s="395">
        <v>9621</v>
      </c>
      <c r="D178" s="134">
        <v>186.25</v>
      </c>
      <c r="E178" s="41">
        <v>4449</v>
      </c>
      <c r="F178" s="332">
        <f t="shared" si="5"/>
        <v>4.1863340076421666E-2</v>
      </c>
      <c r="G178" s="377">
        <f>Muut[[#This Row],[Keskim. työttömyysaste 2023, %]]/$F$12</f>
        <v>0.42603861771390422</v>
      </c>
      <c r="H178" s="385">
        <v>3</v>
      </c>
      <c r="I178" s="383">
        <v>7120</v>
      </c>
      <c r="J178" s="389">
        <v>2012</v>
      </c>
      <c r="K178" s="269">
        <v>977.77</v>
      </c>
      <c r="L178" s="170">
        <f t="shared" si="6"/>
        <v>9.8397373615471935</v>
      </c>
      <c r="M178" s="377">
        <v>1.8728588773944719</v>
      </c>
      <c r="N178" s="166">
        <v>3</v>
      </c>
      <c r="O178" s="397">
        <v>102</v>
      </c>
      <c r="P178" s="269">
        <v>2903</v>
      </c>
      <c r="Q178" s="15">
        <v>716</v>
      </c>
      <c r="R178" s="158">
        <v>0.24664140544264554</v>
      </c>
      <c r="S178" s="401">
        <v>1.7646833842952148</v>
      </c>
      <c r="T178" s="153">
        <v>298</v>
      </c>
      <c r="U178" s="197">
        <v>282989.26703239867</v>
      </c>
      <c r="V178" s="159">
        <v>197353.64880000002</v>
      </c>
      <c r="W178" s="159">
        <v>1940393.6640000003</v>
      </c>
      <c r="X178" s="159">
        <v>3673891.88</v>
      </c>
      <c r="Y178" s="159">
        <v>745797.1079870715</v>
      </c>
      <c r="Z178" s="159">
        <v>0</v>
      </c>
      <c r="AA178" s="155">
        <v>30094.080000000002</v>
      </c>
      <c r="AB178" s="159">
        <v>481157.05393422279</v>
      </c>
      <c r="AC178" s="159">
        <v>218830.34000000003</v>
      </c>
      <c r="AD178" s="174">
        <f>SUM(Muut[[#This Row],[Työttömyysaste]:[Työttömät ja palveluissa olevat ]])</f>
        <v>7570507.0417536935</v>
      </c>
      <c r="AF178" s="62"/>
    </row>
    <row r="179" spans="1:32" s="45" customFormat="1">
      <c r="A179" s="90">
        <v>560</v>
      </c>
      <c r="B179" s="151" t="s">
        <v>178</v>
      </c>
      <c r="C179" s="395">
        <v>15669</v>
      </c>
      <c r="D179" s="134">
        <v>750.75</v>
      </c>
      <c r="E179" s="41">
        <v>7203</v>
      </c>
      <c r="F179" s="332">
        <f t="shared" si="5"/>
        <v>0.10422740524781342</v>
      </c>
      <c r="G179" s="377">
        <f>Muut[[#This Row],[Keskim. työttömyysaste 2023, %]]/$F$12</f>
        <v>1.0607108648909538</v>
      </c>
      <c r="H179" s="166">
        <v>0</v>
      </c>
      <c r="I179" s="383">
        <v>94</v>
      </c>
      <c r="J179" s="389">
        <v>595</v>
      </c>
      <c r="K179" s="269">
        <v>785.38</v>
      </c>
      <c r="L179" s="170">
        <f t="shared" si="6"/>
        <v>19.950851816954849</v>
      </c>
      <c r="M179" s="377">
        <v>0.92369186227640987</v>
      </c>
      <c r="N179" s="166">
        <v>0</v>
      </c>
      <c r="O179" s="397">
        <v>0</v>
      </c>
      <c r="P179" s="269">
        <v>4737</v>
      </c>
      <c r="Q179" s="15">
        <v>719</v>
      </c>
      <c r="R179" s="158">
        <v>0.15178382942790797</v>
      </c>
      <c r="S179" s="401">
        <v>1.0859912240421232</v>
      </c>
      <c r="T179" s="153">
        <v>991</v>
      </c>
      <c r="U179" s="197">
        <v>1147464.0305380479</v>
      </c>
      <c r="V179" s="159">
        <v>0</v>
      </c>
      <c r="W179" s="159">
        <v>0</v>
      </c>
      <c r="X179" s="159">
        <v>1086464.05</v>
      </c>
      <c r="Y179" s="159">
        <v>599051.03722847532</v>
      </c>
      <c r="Z179" s="159">
        <v>0</v>
      </c>
      <c r="AA179" s="155">
        <v>0</v>
      </c>
      <c r="AB179" s="159">
        <v>482244.67651288421</v>
      </c>
      <c r="AC179" s="159">
        <v>727721.03</v>
      </c>
      <c r="AD179" s="174">
        <f>SUM(Muut[[#This Row],[Työttömyysaste]:[Työttömät ja palveluissa olevat ]])</f>
        <v>4042944.824279408</v>
      </c>
      <c r="AF179" s="62"/>
    </row>
    <row r="180" spans="1:32" s="45" customFormat="1">
      <c r="A180" s="90">
        <v>561</v>
      </c>
      <c r="B180" s="151" t="s">
        <v>179</v>
      </c>
      <c r="C180" s="395">
        <v>1315</v>
      </c>
      <c r="D180" s="134">
        <v>45.083333333333336</v>
      </c>
      <c r="E180" s="41">
        <v>591</v>
      </c>
      <c r="F180" s="332">
        <f t="shared" si="5"/>
        <v>7.6283135927805987E-2</v>
      </c>
      <c r="G180" s="377">
        <f>Muut[[#This Row],[Keskim. työttömyysaste 2023, %]]/$F$12</f>
        <v>0.77632510273275546</v>
      </c>
      <c r="H180" s="166">
        <v>0</v>
      </c>
      <c r="I180" s="383">
        <v>7</v>
      </c>
      <c r="J180" s="389">
        <v>116</v>
      </c>
      <c r="K180" s="269">
        <v>117.78</v>
      </c>
      <c r="L180" s="170">
        <f t="shared" si="6"/>
        <v>11.164883681439973</v>
      </c>
      <c r="M180" s="377">
        <v>1.6505715594187849</v>
      </c>
      <c r="N180" s="166">
        <v>0</v>
      </c>
      <c r="O180" s="397">
        <v>0</v>
      </c>
      <c r="P180" s="269">
        <v>401</v>
      </c>
      <c r="Q180" s="15">
        <v>90</v>
      </c>
      <c r="R180" s="158">
        <v>0.22443890274314215</v>
      </c>
      <c r="S180" s="401">
        <v>1.6058277066231446</v>
      </c>
      <c r="T180" s="153">
        <v>69</v>
      </c>
      <c r="U180" s="197">
        <v>70480.692896860317</v>
      </c>
      <c r="V180" s="159">
        <v>0</v>
      </c>
      <c r="W180" s="159">
        <v>0</v>
      </c>
      <c r="X180" s="159">
        <v>211814.84</v>
      </c>
      <c r="Y180" s="159">
        <v>89837.061250311715</v>
      </c>
      <c r="Z180" s="159">
        <v>0</v>
      </c>
      <c r="AA180" s="155">
        <v>0</v>
      </c>
      <c r="AB180" s="159">
        <v>59844.541725495394</v>
      </c>
      <c r="AC180" s="159">
        <v>50668.770000000004</v>
      </c>
      <c r="AD180" s="174">
        <f>SUM(Muut[[#This Row],[Työttömyysaste]:[Työttömät ja palveluissa olevat ]])</f>
        <v>482645.90587266744</v>
      </c>
      <c r="AF180" s="62"/>
    </row>
    <row r="181" spans="1:32" s="45" customFormat="1">
      <c r="A181" s="90">
        <v>562</v>
      </c>
      <c r="B181" s="151" t="s">
        <v>180</v>
      </c>
      <c r="C181" s="395">
        <v>8839</v>
      </c>
      <c r="D181" s="134">
        <v>319.16666666666669</v>
      </c>
      <c r="E181" s="41">
        <v>3816</v>
      </c>
      <c r="F181" s="332">
        <f t="shared" si="5"/>
        <v>8.3639063591893784E-2</v>
      </c>
      <c r="G181" s="377">
        <f>Muut[[#This Row],[Keskim. työttömyysaste 2023, %]]/$F$12</f>
        <v>0.85118557130240302</v>
      </c>
      <c r="H181" s="166">
        <v>0</v>
      </c>
      <c r="I181" s="383">
        <v>14</v>
      </c>
      <c r="J181" s="389">
        <v>201</v>
      </c>
      <c r="K181" s="269">
        <v>799.72</v>
      </c>
      <c r="L181" s="170">
        <f t="shared" si="6"/>
        <v>11.052618416445755</v>
      </c>
      <c r="M181" s="377">
        <v>1.6673369851783812</v>
      </c>
      <c r="N181" s="166">
        <v>0</v>
      </c>
      <c r="O181" s="397">
        <v>0</v>
      </c>
      <c r="P181" s="269">
        <v>2435</v>
      </c>
      <c r="Q181" s="15">
        <v>253</v>
      </c>
      <c r="R181" s="158">
        <v>0.10390143737166324</v>
      </c>
      <c r="S181" s="401">
        <v>0.74339967291826548</v>
      </c>
      <c r="T181" s="153">
        <v>458</v>
      </c>
      <c r="U181" s="197">
        <v>519431.36443778366</v>
      </c>
      <c r="V181" s="159">
        <v>0</v>
      </c>
      <c r="W181" s="159">
        <v>0</v>
      </c>
      <c r="X181" s="159">
        <v>367023.99</v>
      </c>
      <c r="Y181" s="159">
        <v>609988.91682033695</v>
      </c>
      <c r="Z181" s="159">
        <v>0</v>
      </c>
      <c r="AA181" s="155">
        <v>0</v>
      </c>
      <c r="AB181" s="159">
        <v>186219.5811509217</v>
      </c>
      <c r="AC181" s="159">
        <v>336323.14</v>
      </c>
      <c r="AD181" s="174">
        <f>SUM(Muut[[#This Row],[Työttömyysaste]:[Työttömät ja palveluissa olevat ]])</f>
        <v>2018986.9924090421</v>
      </c>
      <c r="AF181" s="62"/>
    </row>
    <row r="182" spans="1:32" s="45" customFormat="1">
      <c r="A182" s="90">
        <v>563</v>
      </c>
      <c r="B182" s="151" t="s">
        <v>181</v>
      </c>
      <c r="C182" s="395">
        <v>6978</v>
      </c>
      <c r="D182" s="134">
        <v>261.75</v>
      </c>
      <c r="E182" s="41">
        <v>2911</v>
      </c>
      <c r="F182" s="332">
        <f t="shared" si="5"/>
        <v>8.9917554105118522E-2</v>
      </c>
      <c r="G182" s="377">
        <f>Muut[[#This Row],[Keskim. työttömyysaste 2023, %]]/$F$12</f>
        <v>0.91508108022981127</v>
      </c>
      <c r="H182" s="166">
        <v>0</v>
      </c>
      <c r="I182" s="383">
        <v>8</v>
      </c>
      <c r="J182" s="389">
        <v>159</v>
      </c>
      <c r="K182" s="269">
        <v>587.55999999999995</v>
      </c>
      <c r="L182" s="170">
        <f t="shared" si="6"/>
        <v>11.876233916536185</v>
      </c>
      <c r="M182" s="377">
        <v>1.5517073508584569</v>
      </c>
      <c r="N182" s="166">
        <v>0</v>
      </c>
      <c r="O182" s="397">
        <v>0</v>
      </c>
      <c r="P182" s="269">
        <v>1816</v>
      </c>
      <c r="Q182" s="15">
        <v>190</v>
      </c>
      <c r="R182" s="158">
        <v>0.10462555066079295</v>
      </c>
      <c r="S182" s="401">
        <v>0.74858059818659672</v>
      </c>
      <c r="T182" s="153">
        <v>374</v>
      </c>
      <c r="U182" s="197">
        <v>440850.48610232386</v>
      </c>
      <c r="V182" s="159">
        <v>0</v>
      </c>
      <c r="W182" s="159">
        <v>0</v>
      </c>
      <c r="X182" s="159">
        <v>290332.40999999997</v>
      </c>
      <c r="Y182" s="159">
        <v>448163.21708467603</v>
      </c>
      <c r="Z182" s="159">
        <v>0</v>
      </c>
      <c r="AA182" s="155">
        <v>0</v>
      </c>
      <c r="AB182" s="159">
        <v>148036.69403689966</v>
      </c>
      <c r="AC182" s="159">
        <v>274639.42000000004</v>
      </c>
      <c r="AD182" s="174">
        <f>SUM(Muut[[#This Row],[Työttömyysaste]:[Työttömät ja palveluissa olevat ]])</f>
        <v>1602022.2272238997</v>
      </c>
      <c r="AF182" s="62"/>
    </row>
    <row r="183" spans="1:32" s="45" customFormat="1">
      <c r="A183" s="90">
        <v>564</v>
      </c>
      <c r="B183" s="151" t="s">
        <v>182</v>
      </c>
      <c r="C183" s="395">
        <v>214633</v>
      </c>
      <c r="D183" s="134">
        <v>12807.166666666666</v>
      </c>
      <c r="E183" s="41">
        <v>102841</v>
      </c>
      <c r="F183" s="332">
        <f t="shared" si="5"/>
        <v>0.12453366523727566</v>
      </c>
      <c r="G183" s="377">
        <f>Muut[[#This Row],[Keskim. työttömyysaste 2023, %]]/$F$12</f>
        <v>1.267365444316694</v>
      </c>
      <c r="H183" s="166">
        <v>0</v>
      </c>
      <c r="I183" s="383">
        <v>497</v>
      </c>
      <c r="J183" s="389">
        <v>12825</v>
      </c>
      <c r="K183" s="269">
        <v>2972.52</v>
      </c>
      <c r="L183" s="170">
        <f t="shared" si="6"/>
        <v>72.205737892427976</v>
      </c>
      <c r="M183" s="377">
        <v>0.25522126089561453</v>
      </c>
      <c r="N183" s="166">
        <v>0</v>
      </c>
      <c r="O183" s="397">
        <v>0</v>
      </c>
      <c r="P183" s="269">
        <v>69940</v>
      </c>
      <c r="Q183" s="15">
        <v>6231</v>
      </c>
      <c r="R183" s="158">
        <v>8.9090649127823843E-2</v>
      </c>
      <c r="S183" s="401">
        <v>0.63743063712189718</v>
      </c>
      <c r="T183" s="153">
        <v>16964</v>
      </c>
      <c r="U183" s="197">
        <v>18780153.609188132</v>
      </c>
      <c r="V183" s="159">
        <v>0</v>
      </c>
      <c r="W183" s="159">
        <v>0</v>
      </c>
      <c r="X183" s="159">
        <v>23418321.75</v>
      </c>
      <c r="Y183" s="159">
        <v>2267298.8733891714</v>
      </c>
      <c r="Z183" s="159">
        <v>0</v>
      </c>
      <c r="AA183" s="155">
        <v>0</v>
      </c>
      <c r="AB183" s="159">
        <v>3877298.8392254668</v>
      </c>
      <c r="AC183" s="159">
        <v>12457174.120000001</v>
      </c>
      <c r="AD183" s="174">
        <f>SUM(Muut[[#This Row],[Työttömyysaste]:[Työttömät ja palveluissa olevat ]])</f>
        <v>60800247.19180277</v>
      </c>
      <c r="AF183" s="62"/>
    </row>
    <row r="184" spans="1:32" s="45" customFormat="1">
      <c r="A184" s="90">
        <v>576</v>
      </c>
      <c r="B184" s="151" t="s">
        <v>183</v>
      </c>
      <c r="C184" s="395">
        <v>2726</v>
      </c>
      <c r="D184" s="134">
        <v>120.41666666666667</v>
      </c>
      <c r="E184" s="41">
        <v>1061</v>
      </c>
      <c r="F184" s="332">
        <f t="shared" si="5"/>
        <v>0.11349355953502985</v>
      </c>
      <c r="G184" s="377">
        <f>Muut[[#This Row],[Keskim. työttömyysaste 2023, %]]/$F$12</f>
        <v>1.1550115001685701</v>
      </c>
      <c r="H184" s="166">
        <v>0</v>
      </c>
      <c r="I184" s="383">
        <v>10</v>
      </c>
      <c r="J184" s="389">
        <v>80</v>
      </c>
      <c r="K184" s="269">
        <v>523.1</v>
      </c>
      <c r="L184" s="170">
        <f t="shared" si="6"/>
        <v>5.2112406805582108</v>
      </c>
      <c r="M184" s="377">
        <v>3.5362863852278892</v>
      </c>
      <c r="N184" s="166">
        <v>0</v>
      </c>
      <c r="O184" s="397">
        <v>0</v>
      </c>
      <c r="P184" s="269">
        <v>593</v>
      </c>
      <c r="Q184" s="15">
        <v>99</v>
      </c>
      <c r="R184" s="158">
        <v>0.16694772344013492</v>
      </c>
      <c r="S184" s="401">
        <v>1.1944866802554284</v>
      </c>
      <c r="T184" s="153">
        <v>155</v>
      </c>
      <c r="U184" s="197">
        <v>217376.67556668547</v>
      </c>
      <c r="V184" s="159">
        <v>0</v>
      </c>
      <c r="W184" s="159">
        <v>0</v>
      </c>
      <c r="X184" s="159">
        <v>146079.20000000001</v>
      </c>
      <c r="Y184" s="159">
        <v>398996.15163897147</v>
      </c>
      <c r="Z184" s="159">
        <v>0</v>
      </c>
      <c r="AA184" s="155">
        <v>0</v>
      </c>
      <c r="AB184" s="159">
        <v>92279.877365264285</v>
      </c>
      <c r="AC184" s="159">
        <v>113821.15000000001</v>
      </c>
      <c r="AD184" s="174">
        <f>SUM(Muut[[#This Row],[Työttömyysaste]:[Työttömät ja palveluissa olevat ]])</f>
        <v>968553.05457092135</v>
      </c>
      <c r="AF184" s="62"/>
    </row>
    <row r="185" spans="1:32" s="45" customFormat="1">
      <c r="A185" s="90">
        <v>577</v>
      </c>
      <c r="B185" s="151" t="s">
        <v>184</v>
      </c>
      <c r="C185" s="395">
        <v>11236</v>
      </c>
      <c r="D185" s="134">
        <v>240.16666666666666</v>
      </c>
      <c r="E185" s="41">
        <v>5157</v>
      </c>
      <c r="F185" s="332">
        <f t="shared" si="5"/>
        <v>4.6571003813586712E-2</v>
      </c>
      <c r="G185" s="377">
        <f>Muut[[#This Row],[Keskim. työttömyysaste 2023, %]]/$F$12</f>
        <v>0.47394799492992074</v>
      </c>
      <c r="H185" s="166">
        <v>0</v>
      </c>
      <c r="I185" s="383">
        <v>92</v>
      </c>
      <c r="J185" s="389">
        <v>525</v>
      </c>
      <c r="K185" s="269">
        <v>238.52</v>
      </c>
      <c r="L185" s="170">
        <f t="shared" si="6"/>
        <v>47.107160825088037</v>
      </c>
      <c r="M185" s="377">
        <v>0.39120250819678387</v>
      </c>
      <c r="N185" s="166">
        <v>0</v>
      </c>
      <c r="O185" s="397">
        <v>0</v>
      </c>
      <c r="P185" s="269">
        <v>3775</v>
      </c>
      <c r="Q185" s="15">
        <v>365</v>
      </c>
      <c r="R185" s="158">
        <v>9.6688741721854307E-2</v>
      </c>
      <c r="S185" s="401">
        <v>0.69179388456187352</v>
      </c>
      <c r="T185" s="153">
        <v>445</v>
      </c>
      <c r="U185" s="197">
        <v>367657.30848809006</v>
      </c>
      <c r="V185" s="159">
        <v>0</v>
      </c>
      <c r="W185" s="159">
        <v>0</v>
      </c>
      <c r="X185" s="159">
        <v>958644.75</v>
      </c>
      <c r="Y185" s="159">
        <v>181931.87170508024</v>
      </c>
      <c r="Z185" s="159">
        <v>0</v>
      </c>
      <c r="AA185" s="155">
        <v>0</v>
      </c>
      <c r="AB185" s="159">
        <v>220286.70910380056</v>
      </c>
      <c r="AC185" s="159">
        <v>326776.85000000003</v>
      </c>
      <c r="AD185" s="174">
        <f>SUM(Muut[[#This Row],[Työttömyysaste]:[Työttömät ja palveluissa olevat ]])</f>
        <v>2055297.4892969709</v>
      </c>
      <c r="AF185" s="62"/>
    </row>
    <row r="186" spans="1:32" s="45" customFormat="1">
      <c r="A186" s="90">
        <v>578</v>
      </c>
      <c r="B186" s="151" t="s">
        <v>185</v>
      </c>
      <c r="C186" s="395">
        <v>3037</v>
      </c>
      <c r="D186" s="134">
        <v>126.16666666666667</v>
      </c>
      <c r="E186" s="41">
        <v>1267</v>
      </c>
      <c r="F186" s="332">
        <f t="shared" si="5"/>
        <v>9.957905814259406E-2</v>
      </c>
      <c r="G186" s="377">
        <f>Muut[[#This Row],[Keskim. työttömyysaste 2023, %]]/$F$12</f>
        <v>1.0134051465286134</v>
      </c>
      <c r="H186" s="166">
        <v>0</v>
      </c>
      <c r="I186" s="383">
        <v>3</v>
      </c>
      <c r="J186" s="389">
        <v>53</v>
      </c>
      <c r="K186" s="269">
        <v>918.81</v>
      </c>
      <c r="L186" s="170">
        <f t="shared" si="6"/>
        <v>3.3053623708927855</v>
      </c>
      <c r="M186" s="377">
        <v>5.5753159263521717</v>
      </c>
      <c r="N186" s="166">
        <v>0</v>
      </c>
      <c r="O186" s="397">
        <v>0</v>
      </c>
      <c r="P186" s="269">
        <v>705</v>
      </c>
      <c r="Q186" s="15">
        <v>71</v>
      </c>
      <c r="R186" s="158">
        <v>0.10070921985815603</v>
      </c>
      <c r="S186" s="401">
        <v>0.72055982088680137</v>
      </c>
      <c r="T186" s="153">
        <v>186</v>
      </c>
      <c r="U186" s="197">
        <v>212485.19712771085</v>
      </c>
      <c r="V186" s="159">
        <v>0</v>
      </c>
      <c r="W186" s="159">
        <v>0</v>
      </c>
      <c r="X186" s="159">
        <v>96777.47</v>
      </c>
      <c r="Y186" s="159">
        <v>700825.18464424275</v>
      </c>
      <c r="Z186" s="159">
        <v>0</v>
      </c>
      <c r="AA186" s="155">
        <v>0</v>
      </c>
      <c r="AB186" s="159">
        <v>62017.560588781336</v>
      </c>
      <c r="AC186" s="159">
        <v>136585.38</v>
      </c>
      <c r="AD186" s="174">
        <f>SUM(Muut[[#This Row],[Työttömyysaste]:[Työttömät ja palveluissa olevat ]])</f>
        <v>1208690.7923607351</v>
      </c>
      <c r="AF186" s="62"/>
    </row>
    <row r="187" spans="1:32" s="45" customFormat="1">
      <c r="A187" s="90">
        <v>580</v>
      </c>
      <c r="B187" s="151" t="s">
        <v>186</v>
      </c>
      <c r="C187" s="395">
        <v>4366</v>
      </c>
      <c r="D187" s="134">
        <v>168.08333333333334</v>
      </c>
      <c r="E187" s="41">
        <v>1711</v>
      </c>
      <c r="F187" s="332">
        <f t="shared" si="5"/>
        <v>9.8236898499902595E-2</v>
      </c>
      <c r="G187" s="377">
        <f>Muut[[#This Row],[Keskim. työttömyysaste 2023, %]]/$F$12</f>
        <v>0.99974613513870003</v>
      </c>
      <c r="H187" s="166">
        <v>0</v>
      </c>
      <c r="I187" s="383">
        <v>8</v>
      </c>
      <c r="J187" s="389">
        <v>137</v>
      </c>
      <c r="K187" s="269">
        <v>591.91</v>
      </c>
      <c r="L187" s="170">
        <f t="shared" si="6"/>
        <v>7.3761213698028421</v>
      </c>
      <c r="M187" s="377">
        <v>2.4983915726018346</v>
      </c>
      <c r="N187" s="166">
        <v>3</v>
      </c>
      <c r="O187" s="397">
        <v>160</v>
      </c>
      <c r="P187" s="269">
        <v>949</v>
      </c>
      <c r="Q187" s="15">
        <v>142</v>
      </c>
      <c r="R187" s="158">
        <v>0.14963119072708114</v>
      </c>
      <c r="S187" s="401">
        <v>1.0705894072185353</v>
      </c>
      <c r="T187" s="153">
        <v>224</v>
      </c>
      <c r="U187" s="197">
        <v>301352.11786011461</v>
      </c>
      <c r="V187" s="159">
        <v>0</v>
      </c>
      <c r="W187" s="159">
        <v>0</v>
      </c>
      <c r="X187" s="159">
        <v>250160.63</v>
      </c>
      <c r="Y187" s="159">
        <v>451481.19311149605</v>
      </c>
      <c r="Z187" s="159">
        <v>0</v>
      </c>
      <c r="AA187" s="155">
        <v>47206.400000000001</v>
      </c>
      <c r="AB187" s="159">
        <v>132466.639593303</v>
      </c>
      <c r="AC187" s="159">
        <v>164489.92000000001</v>
      </c>
      <c r="AD187" s="174">
        <f>SUM(Muut[[#This Row],[Työttömyysaste]:[Työttömät ja palveluissa olevat ]])</f>
        <v>1347156.9005649134</v>
      </c>
      <c r="AF187" s="62"/>
    </row>
    <row r="188" spans="1:32" s="45" customFormat="1">
      <c r="A188" s="90">
        <v>581</v>
      </c>
      <c r="B188" s="151" t="s">
        <v>187</v>
      </c>
      <c r="C188" s="395">
        <v>6123</v>
      </c>
      <c r="D188" s="134">
        <v>225.91666666666666</v>
      </c>
      <c r="E188" s="41">
        <v>2483</v>
      </c>
      <c r="F188" s="332">
        <f t="shared" si="5"/>
        <v>9.0985367163377628E-2</v>
      </c>
      <c r="G188" s="377">
        <f>Muut[[#This Row],[Keskim. työttömyysaste 2023, %]]/$F$12</f>
        <v>0.92594809653780508</v>
      </c>
      <c r="H188" s="166">
        <v>0</v>
      </c>
      <c r="I188" s="383">
        <v>8</v>
      </c>
      <c r="J188" s="389">
        <v>186</v>
      </c>
      <c r="K188" s="269">
        <v>852.91</v>
      </c>
      <c r="L188" s="170">
        <f t="shared" si="6"/>
        <v>7.1789520582476465</v>
      </c>
      <c r="M188" s="377">
        <v>2.5670096859933662</v>
      </c>
      <c r="N188" s="166">
        <v>0</v>
      </c>
      <c r="O188" s="397">
        <v>0</v>
      </c>
      <c r="P188" s="269">
        <v>1523</v>
      </c>
      <c r="Q188" s="15">
        <v>262</v>
      </c>
      <c r="R188" s="158">
        <v>0.17202889034799737</v>
      </c>
      <c r="S188" s="401">
        <v>1.2308416904737784</v>
      </c>
      <c r="T188" s="153">
        <v>400</v>
      </c>
      <c r="U188" s="197">
        <v>391427.8166697718</v>
      </c>
      <c r="V188" s="159">
        <v>0</v>
      </c>
      <c r="W188" s="159">
        <v>0</v>
      </c>
      <c r="X188" s="159">
        <v>339634.14</v>
      </c>
      <c r="Y188" s="159">
        <v>650559.75472069427</v>
      </c>
      <c r="Z188" s="159">
        <v>0</v>
      </c>
      <c r="AA188" s="155">
        <v>0</v>
      </c>
      <c r="AB188" s="159">
        <v>213582.81362964859</v>
      </c>
      <c r="AC188" s="159">
        <v>293732</v>
      </c>
      <c r="AD188" s="174">
        <f>SUM(Muut[[#This Row],[Työttömyysaste]:[Työttömät ja palveluissa olevat ]])</f>
        <v>1888936.5250201146</v>
      </c>
      <c r="AF188" s="62"/>
    </row>
    <row r="189" spans="1:32" s="45" customFormat="1">
      <c r="A189" s="90">
        <v>583</v>
      </c>
      <c r="B189" s="151" t="s">
        <v>188</v>
      </c>
      <c r="C189" s="395">
        <v>912</v>
      </c>
      <c r="D189" s="134">
        <v>44.333333333333336</v>
      </c>
      <c r="E189" s="41">
        <v>377</v>
      </c>
      <c r="F189" s="332">
        <f t="shared" si="5"/>
        <v>0.11759504862953139</v>
      </c>
      <c r="G189" s="377">
        <f>Muut[[#This Row],[Keskim. työttömyysaste 2023, %]]/$F$12</f>
        <v>1.1967519045701354</v>
      </c>
      <c r="H189" s="166">
        <v>0</v>
      </c>
      <c r="I189" s="383">
        <v>0</v>
      </c>
      <c r="J189" s="389">
        <v>18</v>
      </c>
      <c r="K189" s="269">
        <v>1836.29</v>
      </c>
      <c r="L189" s="170">
        <f t="shared" si="6"/>
        <v>0.49665357868310561</v>
      </c>
      <c r="M189" s="377">
        <v>37.105218324747348</v>
      </c>
      <c r="N189" s="166">
        <v>0</v>
      </c>
      <c r="O189" s="397">
        <v>0</v>
      </c>
      <c r="P189" s="269">
        <v>259</v>
      </c>
      <c r="Q189" s="15">
        <v>31</v>
      </c>
      <c r="R189" s="158">
        <v>0.11969111969111969</v>
      </c>
      <c r="S189" s="401">
        <v>0.85637255345483954</v>
      </c>
      <c r="T189" s="153">
        <v>59</v>
      </c>
      <c r="U189" s="197">
        <v>75352.861360268202</v>
      </c>
      <c r="V189" s="159">
        <v>0</v>
      </c>
      <c r="W189" s="159">
        <v>0</v>
      </c>
      <c r="X189" s="159">
        <v>32867.82</v>
      </c>
      <c r="Y189" s="159">
        <v>754953.6</v>
      </c>
      <c r="Z189" s="159">
        <v>0</v>
      </c>
      <c r="AA189" s="155">
        <v>0</v>
      </c>
      <c r="AB189" s="159">
        <v>22133.87352639806</v>
      </c>
      <c r="AC189" s="159">
        <v>43325.47</v>
      </c>
      <c r="AD189" s="174">
        <f>SUM(Muut[[#This Row],[Työttömyysaste]:[Työttömät ja palveluissa olevat ]])</f>
        <v>928633.62488666619</v>
      </c>
      <c r="AF189" s="62"/>
    </row>
    <row r="190" spans="1:32" s="45" customFormat="1">
      <c r="A190" s="90">
        <v>584</v>
      </c>
      <c r="B190" s="151" t="s">
        <v>189</v>
      </c>
      <c r="C190" s="395">
        <v>2578</v>
      </c>
      <c r="D190" s="134">
        <v>86.083333333333329</v>
      </c>
      <c r="E190" s="41">
        <v>985</v>
      </c>
      <c r="F190" s="332">
        <f t="shared" si="5"/>
        <v>8.7394247038917086E-2</v>
      </c>
      <c r="G190" s="377">
        <f>Muut[[#This Row],[Keskim. työttömyysaste 2023, %]]/$F$12</f>
        <v>0.88940166113449493</v>
      </c>
      <c r="H190" s="166">
        <v>0</v>
      </c>
      <c r="I190" s="383">
        <v>13</v>
      </c>
      <c r="J190" s="389">
        <v>27</v>
      </c>
      <c r="K190" s="269">
        <v>747.86</v>
      </c>
      <c r="L190" s="170">
        <f t="shared" si="6"/>
        <v>3.4471692562779128</v>
      </c>
      <c r="M190" s="377">
        <v>5.3459630493171257</v>
      </c>
      <c r="N190" s="166">
        <v>0</v>
      </c>
      <c r="O190" s="397">
        <v>0</v>
      </c>
      <c r="P190" s="269">
        <v>593</v>
      </c>
      <c r="Q190" s="15">
        <v>105</v>
      </c>
      <c r="R190" s="158">
        <v>0.17706576728499157</v>
      </c>
      <c r="S190" s="401">
        <v>1.266879812392121</v>
      </c>
      <c r="T190" s="153">
        <v>126</v>
      </c>
      <c r="U190" s="197">
        <v>158300.26138522246</v>
      </c>
      <c r="V190" s="159">
        <v>0</v>
      </c>
      <c r="W190" s="159">
        <v>0</v>
      </c>
      <c r="X190" s="159">
        <v>49301.73</v>
      </c>
      <c r="Y190" s="159">
        <v>570432.54055576597</v>
      </c>
      <c r="Z190" s="159">
        <v>0</v>
      </c>
      <c r="AA190" s="155">
        <v>0</v>
      </c>
      <c r="AB190" s="159">
        <v>92558.897870870802</v>
      </c>
      <c r="AC190" s="159">
        <v>92525.58</v>
      </c>
      <c r="AD190" s="174">
        <f>SUM(Muut[[#This Row],[Työttömyysaste]:[Työttömät ja palveluissa olevat ]])</f>
        <v>963119.00981185923</v>
      </c>
      <c r="AF190" s="62"/>
    </row>
    <row r="191" spans="1:32" s="45" customFormat="1">
      <c r="A191" s="90">
        <v>592</v>
      </c>
      <c r="B191" s="151" t="s">
        <v>191</v>
      </c>
      <c r="C191" s="395">
        <v>3596</v>
      </c>
      <c r="D191" s="134">
        <v>164.58333333333334</v>
      </c>
      <c r="E191" s="41">
        <v>1643</v>
      </c>
      <c r="F191" s="332">
        <f t="shared" si="5"/>
        <v>0.1001724487725705</v>
      </c>
      <c r="G191" s="377">
        <f>Muut[[#This Row],[Keskim. työttömyysaste 2023, %]]/$F$12</f>
        <v>1.0194440178489153</v>
      </c>
      <c r="H191" s="166">
        <v>0</v>
      </c>
      <c r="I191" s="383">
        <v>6</v>
      </c>
      <c r="J191" s="389">
        <v>61</v>
      </c>
      <c r="K191" s="269">
        <v>456.42</v>
      </c>
      <c r="L191" s="170">
        <f t="shared" si="6"/>
        <v>7.8787082073528767</v>
      </c>
      <c r="M191" s="377">
        <v>2.3390178927562273</v>
      </c>
      <c r="N191" s="166">
        <v>0</v>
      </c>
      <c r="O191" s="397">
        <v>0</v>
      </c>
      <c r="P191" s="269">
        <v>1077</v>
      </c>
      <c r="Q191" s="15">
        <v>97</v>
      </c>
      <c r="R191" s="158">
        <v>9.0064995357474462E-2</v>
      </c>
      <c r="S191" s="401">
        <v>0.64440194268565409</v>
      </c>
      <c r="T191" s="153">
        <v>231</v>
      </c>
      <c r="U191" s="197">
        <v>253095.16431227172</v>
      </c>
      <c r="V191" s="159">
        <v>0</v>
      </c>
      <c r="W191" s="159">
        <v>0</v>
      </c>
      <c r="X191" s="159">
        <v>111385.39</v>
      </c>
      <c r="Y191" s="159">
        <v>348135.77428992419</v>
      </c>
      <c r="Z191" s="159">
        <v>0</v>
      </c>
      <c r="AA191" s="155">
        <v>0</v>
      </c>
      <c r="AB191" s="159">
        <v>65671.414396338325</v>
      </c>
      <c r="AC191" s="159">
        <v>169630.23</v>
      </c>
      <c r="AD191" s="174">
        <f>SUM(Muut[[#This Row],[Työttömyysaste]:[Työttömät ja palveluissa olevat ]])</f>
        <v>947917.97299853421</v>
      </c>
      <c r="AF191" s="62"/>
    </row>
    <row r="192" spans="1:32" s="45" customFormat="1">
      <c r="A192" s="90">
        <v>593</v>
      </c>
      <c r="B192" s="151" t="s">
        <v>192</v>
      </c>
      <c r="C192" s="395">
        <v>17050</v>
      </c>
      <c r="D192" s="134">
        <v>659.33333333333337</v>
      </c>
      <c r="E192" s="41">
        <v>6971</v>
      </c>
      <c r="F192" s="332">
        <f t="shared" si="5"/>
        <v>9.4582317218954728E-2</v>
      </c>
      <c r="G192" s="377">
        <f>Muut[[#This Row],[Keskim. työttömyysaste 2023, %]]/$F$12</f>
        <v>0.96255386251028952</v>
      </c>
      <c r="H192" s="166">
        <v>0</v>
      </c>
      <c r="I192" s="383">
        <v>20</v>
      </c>
      <c r="J192" s="389">
        <v>820</v>
      </c>
      <c r="K192" s="269">
        <v>1569.02</v>
      </c>
      <c r="L192" s="170">
        <f t="shared" si="6"/>
        <v>10.866655619431237</v>
      </c>
      <c r="M192" s="377">
        <v>1.695870386823602</v>
      </c>
      <c r="N192" s="166">
        <v>0</v>
      </c>
      <c r="O192" s="397">
        <v>0</v>
      </c>
      <c r="P192" s="269">
        <v>4342</v>
      </c>
      <c r="Q192" s="15">
        <v>607</v>
      </c>
      <c r="R192" s="158">
        <v>0.13979732842008291</v>
      </c>
      <c r="S192" s="401">
        <v>1.0002295526537175</v>
      </c>
      <c r="T192" s="153">
        <v>1038</v>
      </c>
      <c r="U192" s="197">
        <v>1133052.9532844622</v>
      </c>
      <c r="V192" s="159">
        <v>0</v>
      </c>
      <c r="W192" s="159">
        <v>0</v>
      </c>
      <c r="X192" s="159">
        <v>1497311.8</v>
      </c>
      <c r="Y192" s="159">
        <v>1196774.8840462225</v>
      </c>
      <c r="Z192" s="159">
        <v>0</v>
      </c>
      <c r="AA192" s="155">
        <v>0</v>
      </c>
      <c r="AB192" s="159">
        <v>483307.91915361839</v>
      </c>
      <c r="AC192" s="159">
        <v>762234.54</v>
      </c>
      <c r="AD192" s="174">
        <f>SUM(Muut[[#This Row],[Työttömyysaste]:[Työttömät ja palveluissa olevat ]])</f>
        <v>5072682.0964843035</v>
      </c>
      <c r="AF192" s="62"/>
    </row>
    <row r="193" spans="1:32" s="45" customFormat="1">
      <c r="A193" s="90">
        <v>595</v>
      </c>
      <c r="B193" s="151" t="s">
        <v>193</v>
      </c>
      <c r="C193" s="395">
        <v>4073</v>
      </c>
      <c r="D193" s="134">
        <v>134.25</v>
      </c>
      <c r="E193" s="41">
        <v>1550</v>
      </c>
      <c r="F193" s="332">
        <f t="shared" si="5"/>
        <v>8.6612903225806448E-2</v>
      </c>
      <c r="G193" s="377">
        <f>Muut[[#This Row],[Keskim. työttömyysaste 2023, %]]/$F$12</f>
        <v>0.88145001089614106</v>
      </c>
      <c r="H193" s="166">
        <v>0</v>
      </c>
      <c r="I193" s="383">
        <v>10</v>
      </c>
      <c r="J193" s="389">
        <v>80</v>
      </c>
      <c r="K193" s="269">
        <v>1153.23</v>
      </c>
      <c r="L193" s="170">
        <f t="shared" si="6"/>
        <v>3.5318193248528047</v>
      </c>
      <c r="M193" s="377">
        <v>5.2178318803359964</v>
      </c>
      <c r="N193" s="166">
        <v>0</v>
      </c>
      <c r="O193" s="397">
        <v>0</v>
      </c>
      <c r="P193" s="269">
        <v>866</v>
      </c>
      <c r="Q193" s="15">
        <v>127</v>
      </c>
      <c r="R193" s="158">
        <v>0.14665127020785218</v>
      </c>
      <c r="S193" s="401">
        <v>1.0492685093045531</v>
      </c>
      <c r="T193" s="153">
        <v>187</v>
      </c>
      <c r="U193" s="197">
        <v>247863.67254799407</v>
      </c>
      <c r="V193" s="159">
        <v>0</v>
      </c>
      <c r="W193" s="159">
        <v>0</v>
      </c>
      <c r="X193" s="159">
        <v>146079.20000000001</v>
      </c>
      <c r="Y193" s="159">
        <v>879629.76859990635</v>
      </c>
      <c r="Z193" s="159">
        <v>0</v>
      </c>
      <c r="AA193" s="155">
        <v>0</v>
      </c>
      <c r="AB193" s="159">
        <v>121115.82589218357</v>
      </c>
      <c r="AC193" s="159">
        <v>137319.71000000002</v>
      </c>
      <c r="AD193" s="174">
        <f>SUM(Muut[[#This Row],[Työttömyysaste]:[Työttömät ja palveluissa olevat ]])</f>
        <v>1532008.1770400838</v>
      </c>
      <c r="AF193" s="62"/>
    </row>
    <row r="194" spans="1:32" s="45" customFormat="1">
      <c r="A194" s="90">
        <v>598</v>
      </c>
      <c r="B194" s="151" t="s">
        <v>194</v>
      </c>
      <c r="C194" s="395">
        <v>19475</v>
      </c>
      <c r="D194" s="134">
        <v>705.25</v>
      </c>
      <c r="E194" s="41">
        <v>8643</v>
      </c>
      <c r="F194" s="332">
        <f t="shared" si="5"/>
        <v>8.1597824829341664E-2</v>
      </c>
      <c r="G194" s="377">
        <f>Muut[[#This Row],[Keskim. työttömyysaste 2023, %]]/$F$12</f>
        <v>0.83041210842929725</v>
      </c>
      <c r="H194" s="166">
        <v>3</v>
      </c>
      <c r="I194" s="383">
        <v>10535</v>
      </c>
      <c r="J194" s="389">
        <v>2855</v>
      </c>
      <c r="K194" s="269">
        <v>88.52</v>
      </c>
      <c r="L194" s="170">
        <f t="shared" si="6"/>
        <v>220.00677812923635</v>
      </c>
      <c r="M194" s="377">
        <v>8.3763053236380239E-2</v>
      </c>
      <c r="N194" s="166">
        <v>0</v>
      </c>
      <c r="O194" s="397">
        <v>0</v>
      </c>
      <c r="P194" s="269">
        <v>5891</v>
      </c>
      <c r="Q194" s="15">
        <v>1046</v>
      </c>
      <c r="R194" s="158">
        <v>0.17755898828721778</v>
      </c>
      <c r="S194" s="401">
        <v>1.2704087369287451</v>
      </c>
      <c r="T194" s="153">
        <v>1184</v>
      </c>
      <c r="U194" s="197">
        <v>1116533.9220370457</v>
      </c>
      <c r="V194" s="159">
        <v>399486.78</v>
      </c>
      <c r="W194" s="159">
        <v>2871074.0520000006</v>
      </c>
      <c r="X194" s="159">
        <v>5213201.45</v>
      </c>
      <c r="Y194" s="159">
        <v>67518.905263012333</v>
      </c>
      <c r="Z194" s="159">
        <v>0</v>
      </c>
      <c r="AA194" s="155">
        <v>0</v>
      </c>
      <c r="AB194" s="159">
        <v>701165.89569881838</v>
      </c>
      <c r="AC194" s="159">
        <v>869446.72000000009</v>
      </c>
      <c r="AD194" s="174">
        <f>SUM(Muut[[#This Row],[Työttömyysaste]:[Työttömät ja palveluissa olevat ]])</f>
        <v>11238427.724998878</v>
      </c>
      <c r="AF194" s="62"/>
    </row>
    <row r="195" spans="1:32" s="45" customFormat="1">
      <c r="A195" s="90">
        <v>599</v>
      </c>
      <c r="B195" s="151" t="s">
        <v>195</v>
      </c>
      <c r="C195" s="395">
        <v>11225</v>
      </c>
      <c r="D195" s="134">
        <v>118.83333333333333</v>
      </c>
      <c r="E195" s="41">
        <v>5288</v>
      </c>
      <c r="F195" s="332">
        <f t="shared" si="5"/>
        <v>2.2472264246091778E-2</v>
      </c>
      <c r="G195" s="377">
        <f>Muut[[#This Row],[Keskim. työttömyysaste 2023, %]]/$F$12</f>
        <v>0.22869776703982694</v>
      </c>
      <c r="H195" s="166">
        <v>3</v>
      </c>
      <c r="I195" s="383">
        <v>9924</v>
      </c>
      <c r="J195" s="389">
        <v>397</v>
      </c>
      <c r="K195" s="269">
        <v>794.24</v>
      </c>
      <c r="L195" s="170">
        <f t="shared" si="6"/>
        <v>14.133007655116842</v>
      </c>
      <c r="M195" s="377">
        <v>1.3039290658087008</v>
      </c>
      <c r="N195" s="166">
        <v>0</v>
      </c>
      <c r="O195" s="397">
        <v>0</v>
      </c>
      <c r="P195" s="269">
        <v>3264</v>
      </c>
      <c r="Q195" s="15">
        <v>309</v>
      </c>
      <c r="R195" s="158">
        <v>9.466911764705882E-2</v>
      </c>
      <c r="S195" s="401">
        <v>0.67734376804182739</v>
      </c>
      <c r="T195" s="153">
        <v>203</v>
      </c>
      <c r="U195" s="197">
        <v>177234.82331392288</v>
      </c>
      <c r="V195" s="159">
        <v>230256.18000000002</v>
      </c>
      <c r="W195" s="159">
        <v>2704559.9328000005</v>
      </c>
      <c r="X195" s="159">
        <v>724918.03</v>
      </c>
      <c r="Y195" s="159">
        <v>605809.02977965341</v>
      </c>
      <c r="Z195" s="159">
        <v>0</v>
      </c>
      <c r="AA195" s="155">
        <v>0</v>
      </c>
      <c r="AB195" s="159">
        <v>215474.22878627799</v>
      </c>
      <c r="AC195" s="159">
        <v>149068.99000000002</v>
      </c>
      <c r="AD195" s="174">
        <f>SUM(Muut[[#This Row],[Työttömyysaste]:[Työttömät ja palveluissa olevat ]])</f>
        <v>4807321.214679854</v>
      </c>
      <c r="AF195" s="62"/>
    </row>
    <row r="196" spans="1:32" s="45" customFormat="1">
      <c r="A196" s="90">
        <v>601</v>
      </c>
      <c r="B196" s="151" t="s">
        <v>196</v>
      </c>
      <c r="C196" s="395">
        <v>3739</v>
      </c>
      <c r="D196" s="134">
        <v>172.25</v>
      </c>
      <c r="E196" s="41">
        <v>1579</v>
      </c>
      <c r="F196" s="332">
        <f t="shared" si="5"/>
        <v>0.10908803039898671</v>
      </c>
      <c r="G196" s="377">
        <f>Muut[[#This Row],[Keskim. työttömyysaste 2023, %]]/$F$12</f>
        <v>1.1101769136307589</v>
      </c>
      <c r="H196" s="166">
        <v>0</v>
      </c>
      <c r="I196" s="383">
        <v>0</v>
      </c>
      <c r="J196" s="389">
        <v>55</v>
      </c>
      <c r="K196" s="269">
        <v>1074.94</v>
      </c>
      <c r="L196" s="170">
        <f t="shared" si="6"/>
        <v>3.4783336744376427</v>
      </c>
      <c r="M196" s="377">
        <v>5.2980654513495251</v>
      </c>
      <c r="N196" s="166">
        <v>0</v>
      </c>
      <c r="O196" s="397">
        <v>0</v>
      </c>
      <c r="P196" s="269">
        <v>900</v>
      </c>
      <c r="Q196" s="15">
        <v>128</v>
      </c>
      <c r="R196" s="158">
        <v>0.14222222222222222</v>
      </c>
      <c r="S196" s="401">
        <v>1.017579315130281</v>
      </c>
      <c r="T196" s="153">
        <v>243</v>
      </c>
      <c r="U196" s="197">
        <v>286581.69018371578</v>
      </c>
      <c r="V196" s="159">
        <v>0</v>
      </c>
      <c r="W196" s="159">
        <v>0</v>
      </c>
      <c r="X196" s="159">
        <v>100429.45</v>
      </c>
      <c r="Y196" s="159">
        <v>819913.82764824317</v>
      </c>
      <c r="Z196" s="159">
        <v>0</v>
      </c>
      <c r="AA196" s="155">
        <v>0</v>
      </c>
      <c r="AB196" s="159">
        <v>107826.0215397719</v>
      </c>
      <c r="AC196" s="159">
        <v>178442.19</v>
      </c>
      <c r="AD196" s="174">
        <f>SUM(Muut[[#This Row],[Työttömyysaste]:[Työttömät ja palveluissa olevat ]])</f>
        <v>1493193.1793717309</v>
      </c>
      <c r="AF196" s="62"/>
    </row>
    <row r="197" spans="1:32" s="45" customFormat="1">
      <c r="A197" s="90">
        <v>604</v>
      </c>
      <c r="B197" s="151" t="s">
        <v>197</v>
      </c>
      <c r="C197" s="395">
        <v>20763</v>
      </c>
      <c r="D197" s="134">
        <v>689</v>
      </c>
      <c r="E197" s="41">
        <v>10206</v>
      </c>
      <c r="F197" s="332">
        <f t="shared" si="5"/>
        <v>6.7509308250048986E-2</v>
      </c>
      <c r="G197" s="377">
        <f>Muut[[#This Row],[Keskim. työttömyysaste 2023, %]]/$F$12</f>
        <v>0.68703482132979343</v>
      </c>
      <c r="H197" s="166">
        <v>0</v>
      </c>
      <c r="I197" s="383">
        <v>80</v>
      </c>
      <c r="J197" s="389">
        <v>964</v>
      </c>
      <c r="K197" s="269">
        <v>81.430000000000007</v>
      </c>
      <c r="L197" s="170">
        <f t="shared" si="6"/>
        <v>254.97973719759301</v>
      </c>
      <c r="M197" s="377">
        <v>7.2274133118753886E-2</v>
      </c>
      <c r="N197" s="166">
        <v>0</v>
      </c>
      <c r="O197" s="397">
        <v>0</v>
      </c>
      <c r="P197" s="269">
        <v>7373</v>
      </c>
      <c r="Q197" s="15">
        <v>482</v>
      </c>
      <c r="R197" s="158">
        <v>6.5373660653736607E-2</v>
      </c>
      <c r="S197" s="401">
        <v>0.46773903400023298</v>
      </c>
      <c r="T197" s="153">
        <v>994</v>
      </c>
      <c r="U197" s="197">
        <v>984848.97183347552</v>
      </c>
      <c r="V197" s="159">
        <v>0</v>
      </c>
      <c r="W197" s="159">
        <v>0</v>
      </c>
      <c r="X197" s="159">
        <v>1760254.36</v>
      </c>
      <c r="Y197" s="159">
        <v>62110.985715850591</v>
      </c>
      <c r="Z197" s="159">
        <v>0</v>
      </c>
      <c r="AA197" s="155">
        <v>0</v>
      </c>
      <c r="AB197" s="159">
        <v>275228.60205391335</v>
      </c>
      <c r="AC197" s="159">
        <v>729924.02</v>
      </c>
      <c r="AD197" s="174">
        <f>SUM(Muut[[#This Row],[Työttömyysaste]:[Työttömät ja palveluissa olevat ]])</f>
        <v>3812366.9396032398</v>
      </c>
      <c r="AF197" s="62"/>
    </row>
    <row r="198" spans="1:32" s="45" customFormat="1">
      <c r="A198" s="90">
        <v>607</v>
      </c>
      <c r="B198" s="151" t="s">
        <v>198</v>
      </c>
      <c r="C198" s="395">
        <v>4064</v>
      </c>
      <c r="D198" s="134">
        <v>198.75</v>
      </c>
      <c r="E198" s="41">
        <v>1680</v>
      </c>
      <c r="F198" s="332">
        <f t="shared" si="5"/>
        <v>0.11830357142857142</v>
      </c>
      <c r="G198" s="377">
        <f>Muut[[#This Row],[Keskim. työttömyysaste 2023, %]]/$F$12</f>
        <v>1.2039624633399506</v>
      </c>
      <c r="H198" s="166">
        <v>0</v>
      </c>
      <c r="I198" s="383">
        <v>5</v>
      </c>
      <c r="J198" s="389">
        <v>63</v>
      </c>
      <c r="K198" s="269">
        <v>804.62</v>
      </c>
      <c r="L198" s="170">
        <f t="shared" si="6"/>
        <v>5.0508314483855736</v>
      </c>
      <c r="M198" s="377">
        <v>3.6485952178614292</v>
      </c>
      <c r="N198" s="166">
        <v>0</v>
      </c>
      <c r="O198" s="397">
        <v>0</v>
      </c>
      <c r="P198" s="269">
        <v>1036</v>
      </c>
      <c r="Q198" s="15">
        <v>121</v>
      </c>
      <c r="R198" s="158">
        <v>0.1167953667953668</v>
      </c>
      <c r="S198" s="401">
        <v>0.83565386264544828</v>
      </c>
      <c r="T198" s="153">
        <v>278</v>
      </c>
      <c r="U198" s="197">
        <v>337806.05425797612</v>
      </c>
      <c r="V198" s="159">
        <v>0</v>
      </c>
      <c r="W198" s="159">
        <v>0</v>
      </c>
      <c r="X198" s="159">
        <v>115037.37</v>
      </c>
      <c r="Y198" s="159">
        <v>613726.40705744445</v>
      </c>
      <c r="Z198" s="159">
        <v>0</v>
      </c>
      <c r="AA198" s="155">
        <v>0</v>
      </c>
      <c r="AB198" s="159">
        <v>96245.397419399829</v>
      </c>
      <c r="AC198" s="159">
        <v>204143.74000000002</v>
      </c>
      <c r="AD198" s="174">
        <f>SUM(Muut[[#This Row],[Työttömyysaste]:[Työttömät ja palveluissa olevat ]])</f>
        <v>1366958.9687348204</v>
      </c>
      <c r="AF198" s="62"/>
    </row>
    <row r="199" spans="1:32" s="45" customFormat="1">
      <c r="A199" s="90">
        <v>608</v>
      </c>
      <c r="B199" s="151" t="s">
        <v>199</v>
      </c>
      <c r="C199" s="395">
        <v>1943</v>
      </c>
      <c r="D199" s="134">
        <v>59.083333333333336</v>
      </c>
      <c r="E199" s="41">
        <v>805</v>
      </c>
      <c r="F199" s="332">
        <f t="shared" si="5"/>
        <v>7.3395445134575577E-2</v>
      </c>
      <c r="G199" s="377">
        <f>Muut[[#This Row],[Keskim. työttömyysaste 2023, %]]/$F$12</f>
        <v>0.74693739043633578</v>
      </c>
      <c r="H199" s="166">
        <v>0</v>
      </c>
      <c r="I199" s="383">
        <v>1</v>
      </c>
      <c r="J199" s="389">
        <v>30</v>
      </c>
      <c r="K199" s="269">
        <v>301.22000000000003</v>
      </c>
      <c r="L199" s="170">
        <f t="shared" si="6"/>
        <v>6.4504348980811361</v>
      </c>
      <c r="M199" s="377">
        <v>2.8569297667488716</v>
      </c>
      <c r="N199" s="166">
        <v>0</v>
      </c>
      <c r="O199" s="397">
        <v>0</v>
      </c>
      <c r="P199" s="269">
        <v>497</v>
      </c>
      <c r="Q199" s="15">
        <v>82</v>
      </c>
      <c r="R199" s="158">
        <v>0.16498993963782696</v>
      </c>
      <c r="S199" s="401">
        <v>1.1804790218909509</v>
      </c>
      <c r="T199" s="153">
        <v>88</v>
      </c>
      <c r="U199" s="197">
        <v>100197.70709761296</v>
      </c>
      <c r="V199" s="159">
        <v>0</v>
      </c>
      <c r="W199" s="159">
        <v>0</v>
      </c>
      <c r="X199" s="159">
        <v>54779.7</v>
      </c>
      <c r="Y199" s="159">
        <v>229756.49167786463</v>
      </c>
      <c r="Z199" s="159">
        <v>0</v>
      </c>
      <c r="AA199" s="155">
        <v>0</v>
      </c>
      <c r="AB199" s="159">
        <v>65002.628758396895</v>
      </c>
      <c r="AC199" s="159">
        <v>64621.04</v>
      </c>
      <c r="AD199" s="174">
        <f>SUM(Muut[[#This Row],[Työttömyysaste]:[Työttömät ja palveluissa olevat ]])</f>
        <v>514357.56753387448</v>
      </c>
      <c r="AF199" s="62"/>
    </row>
    <row r="200" spans="1:32" s="45" customFormat="1">
      <c r="A200" s="151">
        <v>609</v>
      </c>
      <c r="B200" s="151" t="s">
        <v>200</v>
      </c>
      <c r="C200" s="395">
        <v>83106</v>
      </c>
      <c r="D200" s="134">
        <v>4408.833333333333</v>
      </c>
      <c r="E200" s="41">
        <v>38007</v>
      </c>
      <c r="F200" s="332">
        <f t="shared" si="5"/>
        <v>0.11600056130011137</v>
      </c>
      <c r="G200" s="377">
        <f>Muut[[#This Row],[Keskim. työttömyysaste 2023, %]]/$F$12</f>
        <v>1.1805249820037955</v>
      </c>
      <c r="H200" s="166">
        <v>0</v>
      </c>
      <c r="I200" s="383">
        <v>472</v>
      </c>
      <c r="J200" s="389">
        <v>4282</v>
      </c>
      <c r="K200" s="269">
        <v>1156.48</v>
      </c>
      <c r="L200" s="170">
        <f t="shared" si="6"/>
        <v>71.861164914222471</v>
      </c>
      <c r="M200" s="377">
        <v>0.25644504219770081</v>
      </c>
      <c r="N200" s="166">
        <v>3</v>
      </c>
      <c r="O200" s="397">
        <v>855</v>
      </c>
      <c r="P200" s="269">
        <v>24329</v>
      </c>
      <c r="Q200" s="15">
        <v>3063</v>
      </c>
      <c r="R200" s="158">
        <v>0.12589913272226561</v>
      </c>
      <c r="S200" s="401">
        <v>0.90078998379622999</v>
      </c>
      <c r="T200" s="153">
        <v>6223</v>
      </c>
      <c r="U200" s="197">
        <v>6773425.280020291</v>
      </c>
      <c r="V200" s="159">
        <v>0</v>
      </c>
      <c r="W200" s="159">
        <v>0</v>
      </c>
      <c r="X200" s="159">
        <v>7818889.1799999997</v>
      </c>
      <c r="Y200" s="159">
        <v>882108.71620615118</v>
      </c>
      <c r="Z200" s="159">
        <v>0</v>
      </c>
      <c r="AA200" s="155">
        <v>252259.20000000001</v>
      </c>
      <c r="AB200" s="159">
        <v>2121562.2248280915</v>
      </c>
      <c r="AC200" s="159">
        <v>4569735.59</v>
      </c>
      <c r="AD200" s="174">
        <f>SUM(Muut[[#This Row],[Työttömyysaste]:[Työttömät ja palveluissa olevat ]])</f>
        <v>22417980.191054534</v>
      </c>
      <c r="AF200" s="62"/>
    </row>
    <row r="201" spans="1:32" s="45" customFormat="1">
      <c r="A201" s="90">
        <v>611</v>
      </c>
      <c r="B201" s="151" t="s">
        <v>201</v>
      </c>
      <c r="C201" s="395">
        <v>4973</v>
      </c>
      <c r="D201" s="134">
        <v>169.83333333333334</v>
      </c>
      <c r="E201" s="41">
        <v>2629</v>
      </c>
      <c r="F201" s="332">
        <f t="shared" si="5"/>
        <v>6.4599974641815647E-2</v>
      </c>
      <c r="G201" s="377">
        <f>Muut[[#This Row],[Keskim. työttömyysaste 2023, %]]/$F$12</f>
        <v>0.65742685248025479</v>
      </c>
      <c r="H201" s="166">
        <v>0</v>
      </c>
      <c r="I201" s="383">
        <v>114</v>
      </c>
      <c r="J201" s="389">
        <v>190</v>
      </c>
      <c r="K201" s="269">
        <v>146.53</v>
      </c>
      <c r="L201" s="170">
        <f t="shared" si="6"/>
        <v>33.938442639732479</v>
      </c>
      <c r="M201" s="377">
        <v>0.54299602561106153</v>
      </c>
      <c r="N201" s="166">
        <v>0</v>
      </c>
      <c r="O201" s="397">
        <v>0</v>
      </c>
      <c r="P201" s="269">
        <v>1667</v>
      </c>
      <c r="Q201" s="15">
        <v>213</v>
      </c>
      <c r="R201" s="158">
        <v>0.1277744451109778</v>
      </c>
      <c r="S201" s="401">
        <v>0.91420757119111262</v>
      </c>
      <c r="T201" s="153">
        <v>213</v>
      </c>
      <c r="U201" s="197">
        <v>225718.2532290126</v>
      </c>
      <c r="V201" s="159">
        <v>0</v>
      </c>
      <c r="W201" s="159">
        <v>0</v>
      </c>
      <c r="X201" s="159">
        <v>346938.1</v>
      </c>
      <c r="Y201" s="159">
        <v>111766.21315170807</v>
      </c>
      <c r="Z201" s="159">
        <v>0</v>
      </c>
      <c r="AA201" s="155">
        <v>0</v>
      </c>
      <c r="AB201" s="159">
        <v>128843.67948845663</v>
      </c>
      <c r="AC201" s="159">
        <v>156412.29</v>
      </c>
      <c r="AD201" s="174">
        <f>SUM(Muut[[#This Row],[Työttömyysaste]:[Työttömät ja palveluissa olevat ]])</f>
        <v>969678.5358691772</v>
      </c>
      <c r="AF201" s="62"/>
    </row>
    <row r="202" spans="1:32" s="45" customFormat="1">
      <c r="A202" s="90">
        <v>614</v>
      </c>
      <c r="B202" s="151" t="s">
        <v>202</v>
      </c>
      <c r="C202" s="395">
        <v>2923</v>
      </c>
      <c r="D202" s="134">
        <v>164.66666666666666</v>
      </c>
      <c r="E202" s="41">
        <v>1196</v>
      </c>
      <c r="F202" s="332">
        <f t="shared" si="5"/>
        <v>0.13768115942028986</v>
      </c>
      <c r="G202" s="377">
        <f>Muut[[#This Row],[Keskim. työttömyysaste 2023, %]]/$F$12</f>
        <v>1.4011660497606864</v>
      </c>
      <c r="H202" s="166">
        <v>0</v>
      </c>
      <c r="I202" s="383">
        <v>3</v>
      </c>
      <c r="J202" s="389">
        <v>65</v>
      </c>
      <c r="K202" s="269">
        <v>3039.66</v>
      </c>
      <c r="L202" s="170">
        <f t="shared" si="6"/>
        <v>0.9616207075791372</v>
      </c>
      <c r="M202" s="377">
        <v>19.163937843224055</v>
      </c>
      <c r="N202" s="166">
        <v>0</v>
      </c>
      <c r="O202" s="397">
        <v>0</v>
      </c>
      <c r="P202" s="269">
        <v>606</v>
      </c>
      <c r="Q202" s="15">
        <v>87</v>
      </c>
      <c r="R202" s="158">
        <v>0.14356435643564355</v>
      </c>
      <c r="S202" s="401">
        <v>1.0271820902266526</v>
      </c>
      <c r="T202" s="153">
        <v>217</v>
      </c>
      <c r="U202" s="197">
        <v>282760.80141262157</v>
      </c>
      <c r="V202" s="159">
        <v>0</v>
      </c>
      <c r="W202" s="159">
        <v>0</v>
      </c>
      <c r="X202" s="159">
        <v>118689.35</v>
      </c>
      <c r="Y202" s="159">
        <v>2318510.1171686407</v>
      </c>
      <c r="Z202" s="159">
        <v>0</v>
      </c>
      <c r="AA202" s="155">
        <v>0</v>
      </c>
      <c r="AB202" s="159">
        <v>85089.525097419217</v>
      </c>
      <c r="AC202" s="159">
        <v>159349.61000000002</v>
      </c>
      <c r="AD202" s="174">
        <f>SUM(Muut[[#This Row],[Työttömyysaste]:[Työttömät ja palveluissa olevat ]])</f>
        <v>2964399.4036786812</v>
      </c>
      <c r="AF202" s="62"/>
    </row>
    <row r="203" spans="1:32" s="45" customFormat="1">
      <c r="A203" s="90">
        <v>615</v>
      </c>
      <c r="B203" s="151" t="s">
        <v>203</v>
      </c>
      <c r="C203" s="395">
        <v>7479</v>
      </c>
      <c r="D203" s="134">
        <v>431.83333333333331</v>
      </c>
      <c r="E203" s="41">
        <v>2893</v>
      </c>
      <c r="F203" s="332">
        <f t="shared" si="5"/>
        <v>0.14926834888812074</v>
      </c>
      <c r="G203" s="377">
        <f>Muut[[#This Row],[Keskim. työttömyysaste 2023, %]]/$F$12</f>
        <v>1.5190876053520943</v>
      </c>
      <c r="H203" s="166">
        <v>0</v>
      </c>
      <c r="I203" s="383">
        <v>4</v>
      </c>
      <c r="J203" s="389">
        <v>211</v>
      </c>
      <c r="K203" s="269">
        <v>5638.43</v>
      </c>
      <c r="L203" s="170">
        <f t="shared" si="6"/>
        <v>1.3264330673609497</v>
      </c>
      <c r="M203" s="377">
        <v>13.893229837423046</v>
      </c>
      <c r="N203" s="166">
        <v>0</v>
      </c>
      <c r="O203" s="397">
        <v>0</v>
      </c>
      <c r="P203" s="269">
        <v>1721</v>
      </c>
      <c r="Q203" s="15">
        <v>259</v>
      </c>
      <c r="R203" s="158">
        <v>0.15049389889599071</v>
      </c>
      <c r="S203" s="401">
        <v>1.0767619586943842</v>
      </c>
      <c r="T203" s="153">
        <v>603</v>
      </c>
      <c r="U203" s="197">
        <v>784381.12807757093</v>
      </c>
      <c r="V203" s="159">
        <v>0</v>
      </c>
      <c r="W203" s="159">
        <v>0</v>
      </c>
      <c r="X203" s="159">
        <v>385283.89</v>
      </c>
      <c r="Y203" s="159">
        <v>4300730.0158396596</v>
      </c>
      <c r="Z203" s="159">
        <v>0</v>
      </c>
      <c r="AA203" s="155">
        <v>0</v>
      </c>
      <c r="AB203" s="159">
        <v>228224.93020839398</v>
      </c>
      <c r="AC203" s="159">
        <v>442800.99000000005</v>
      </c>
      <c r="AD203" s="174">
        <f>SUM(Muut[[#This Row],[Työttömyysaste]:[Työttömät ja palveluissa olevat ]])</f>
        <v>6141420.9541256251</v>
      </c>
      <c r="AF203" s="62"/>
    </row>
    <row r="204" spans="1:32" s="45" customFormat="1">
      <c r="A204" s="90">
        <v>616</v>
      </c>
      <c r="B204" s="151" t="s">
        <v>204</v>
      </c>
      <c r="C204" s="395">
        <v>1781</v>
      </c>
      <c r="D204" s="134">
        <v>71.166666666666671</v>
      </c>
      <c r="E204" s="41">
        <v>908</v>
      </c>
      <c r="F204" s="332">
        <f t="shared" ref="F204:F267" si="7">D204/E204</f>
        <v>7.8377386196769455E-2</v>
      </c>
      <c r="G204" s="377">
        <f>Muut[[#This Row],[Keskim. työttömyysaste 2023, %]]/$F$12</f>
        <v>0.79763805788892295</v>
      </c>
      <c r="H204" s="166">
        <v>0</v>
      </c>
      <c r="I204" s="383">
        <v>14</v>
      </c>
      <c r="J204" s="389">
        <v>60</v>
      </c>
      <c r="K204" s="269">
        <v>145.09</v>
      </c>
      <c r="L204" s="170">
        <f t="shared" si="6"/>
        <v>12.275139568543663</v>
      </c>
      <c r="M204" s="377">
        <v>1.5012814612738528</v>
      </c>
      <c r="N204" s="166">
        <v>0</v>
      </c>
      <c r="O204" s="397">
        <v>0</v>
      </c>
      <c r="P204" s="269">
        <v>524</v>
      </c>
      <c r="Q204" s="15">
        <v>68</v>
      </c>
      <c r="R204" s="158">
        <v>0.12977099236641221</v>
      </c>
      <c r="S204" s="401">
        <v>0.92849257642493432</v>
      </c>
      <c r="T204" s="153">
        <v>91</v>
      </c>
      <c r="U204" s="197">
        <v>98077.767031155876</v>
      </c>
      <c r="V204" s="159">
        <v>0</v>
      </c>
      <c r="W204" s="159">
        <v>0</v>
      </c>
      <c r="X204" s="159">
        <v>109559.4</v>
      </c>
      <c r="Y204" s="159">
        <v>110667.84867386421</v>
      </c>
      <c r="Z204" s="159">
        <v>0</v>
      </c>
      <c r="AA204" s="155">
        <v>0</v>
      </c>
      <c r="AB204" s="159">
        <v>46864.307195886977</v>
      </c>
      <c r="AC204" s="159">
        <v>66824.03</v>
      </c>
      <c r="AD204" s="174">
        <f>SUM(Muut[[#This Row],[Työttömyysaste]:[Työttömät ja palveluissa olevat ]])</f>
        <v>431993.35290090705</v>
      </c>
      <c r="AF204" s="62"/>
    </row>
    <row r="205" spans="1:32" s="45" customFormat="1">
      <c r="A205" s="90">
        <v>619</v>
      </c>
      <c r="B205" s="151" t="s">
        <v>205</v>
      </c>
      <c r="C205" s="395">
        <v>2650</v>
      </c>
      <c r="D205" s="134">
        <v>65.583333333333329</v>
      </c>
      <c r="E205" s="41">
        <v>1038</v>
      </c>
      <c r="F205" s="332">
        <f t="shared" si="7"/>
        <v>6.3182402055234427E-2</v>
      </c>
      <c r="G205" s="377">
        <f>Muut[[#This Row],[Keskim. työttömyysaste 2023, %]]/$F$12</f>
        <v>0.64300037183648162</v>
      </c>
      <c r="H205" s="166">
        <v>0</v>
      </c>
      <c r="I205" s="383">
        <v>2</v>
      </c>
      <c r="J205" s="389">
        <v>85</v>
      </c>
      <c r="K205" s="269">
        <v>361.1</v>
      </c>
      <c r="L205" s="170">
        <f t="shared" ref="L205:L268" si="8">C205/K205</f>
        <v>7.3386873442259759</v>
      </c>
      <c r="M205" s="377">
        <v>2.5111356574283108</v>
      </c>
      <c r="N205" s="166">
        <v>0</v>
      </c>
      <c r="O205" s="397">
        <v>0</v>
      </c>
      <c r="P205" s="269">
        <v>651</v>
      </c>
      <c r="Q205" s="15">
        <v>114</v>
      </c>
      <c r="R205" s="158">
        <v>0.17511520737327188</v>
      </c>
      <c r="S205" s="401">
        <v>1.2529238399141565</v>
      </c>
      <c r="T205" s="153">
        <v>122</v>
      </c>
      <c r="U205" s="197">
        <v>117640.77602971537</v>
      </c>
      <c r="V205" s="159">
        <v>0</v>
      </c>
      <c r="W205" s="159">
        <v>0</v>
      </c>
      <c r="X205" s="159">
        <v>155209.15</v>
      </c>
      <c r="Y205" s="159">
        <v>275430.14788153814</v>
      </c>
      <c r="Z205" s="159">
        <v>0</v>
      </c>
      <c r="AA205" s="155">
        <v>0</v>
      </c>
      <c r="AB205" s="159">
        <v>94095.833301393068</v>
      </c>
      <c r="AC205" s="159">
        <v>89588.260000000009</v>
      </c>
      <c r="AD205" s="174">
        <f>SUM(Muut[[#This Row],[Työttömyysaste]:[Työttömät ja palveluissa olevat ]])</f>
        <v>731964.16721264657</v>
      </c>
      <c r="AF205" s="62"/>
    </row>
    <row r="206" spans="1:32" s="45" customFormat="1">
      <c r="A206" s="90">
        <v>620</v>
      </c>
      <c r="B206" s="151" t="s">
        <v>206</v>
      </c>
      <c r="C206" s="395">
        <v>2359</v>
      </c>
      <c r="D206" s="134">
        <v>154.16666666666666</v>
      </c>
      <c r="E206" s="41">
        <v>856</v>
      </c>
      <c r="F206" s="332">
        <f t="shared" si="7"/>
        <v>0.18010124610591899</v>
      </c>
      <c r="G206" s="377">
        <f>Muut[[#This Row],[Keskim. työttömyysaste 2023, %]]/$F$12</f>
        <v>1.8328706166169821</v>
      </c>
      <c r="H206" s="166">
        <v>0</v>
      </c>
      <c r="I206" s="383">
        <v>5</v>
      </c>
      <c r="J206" s="389">
        <v>60</v>
      </c>
      <c r="K206" s="269">
        <v>2461.13</v>
      </c>
      <c r="L206" s="170">
        <f t="shared" si="8"/>
        <v>0.95850280155863354</v>
      </c>
      <c r="M206" s="377">
        <v>19.226276061829971</v>
      </c>
      <c r="N206" s="166">
        <v>0</v>
      </c>
      <c r="O206" s="397">
        <v>0</v>
      </c>
      <c r="P206" s="269">
        <v>475</v>
      </c>
      <c r="Q206" s="15">
        <v>72</v>
      </c>
      <c r="R206" s="158">
        <v>0.15157894736842106</v>
      </c>
      <c r="S206" s="401">
        <v>1.0845253227046416</v>
      </c>
      <c r="T206" s="153">
        <v>215</v>
      </c>
      <c r="U206" s="197">
        <v>298511.13280874683</v>
      </c>
      <c r="V206" s="159">
        <v>0</v>
      </c>
      <c r="W206" s="159">
        <v>0</v>
      </c>
      <c r="X206" s="159">
        <v>109559.4</v>
      </c>
      <c r="Y206" s="159">
        <v>1877234.5606637769</v>
      </c>
      <c r="Z206" s="159">
        <v>0</v>
      </c>
      <c r="AA206" s="155">
        <v>0</v>
      </c>
      <c r="AB206" s="159">
        <v>72504.920995615466</v>
      </c>
      <c r="AC206" s="159">
        <v>157880.95000000001</v>
      </c>
      <c r="AD206" s="174">
        <f>SUM(Muut[[#This Row],[Työttömyysaste]:[Työttömät ja palveluissa olevat ]])</f>
        <v>2515690.9644681392</v>
      </c>
      <c r="AF206" s="62"/>
    </row>
    <row r="207" spans="1:32" s="45" customFormat="1">
      <c r="A207" s="90">
        <v>623</v>
      </c>
      <c r="B207" s="151" t="s">
        <v>207</v>
      </c>
      <c r="C207" s="395">
        <v>2108</v>
      </c>
      <c r="D207" s="134">
        <v>66.5</v>
      </c>
      <c r="E207" s="41">
        <v>843</v>
      </c>
      <c r="F207" s="332">
        <f t="shared" si="7"/>
        <v>7.8884934756820874E-2</v>
      </c>
      <c r="G207" s="377">
        <f>Muut[[#This Row],[Keskim. työttömyysaste 2023, %]]/$F$12</f>
        <v>0.80280332388423659</v>
      </c>
      <c r="H207" s="166">
        <v>0</v>
      </c>
      <c r="I207" s="383">
        <v>6</v>
      </c>
      <c r="J207" s="389">
        <v>62</v>
      </c>
      <c r="K207" s="269">
        <v>794.12</v>
      </c>
      <c r="L207" s="170">
        <f t="shared" si="8"/>
        <v>2.6545106533017679</v>
      </c>
      <c r="M207" s="377">
        <v>6.9423113619385246</v>
      </c>
      <c r="N207" s="166">
        <v>1</v>
      </c>
      <c r="O207" s="397">
        <v>0</v>
      </c>
      <c r="P207" s="269">
        <v>439</v>
      </c>
      <c r="Q207" s="15">
        <v>70</v>
      </c>
      <c r="R207" s="158">
        <v>0.15945330296127563</v>
      </c>
      <c r="S207" s="401">
        <v>1.1408651917213786</v>
      </c>
      <c r="T207" s="153">
        <v>90</v>
      </c>
      <c r="U207" s="197">
        <v>116837.04144187992</v>
      </c>
      <c r="V207" s="159">
        <v>0</v>
      </c>
      <c r="W207" s="159">
        <v>0</v>
      </c>
      <c r="X207" s="159">
        <v>113211.38</v>
      </c>
      <c r="Y207" s="159">
        <v>605717.49940649967</v>
      </c>
      <c r="Z207" s="159">
        <v>850240.72</v>
      </c>
      <c r="AA207" s="155">
        <v>0</v>
      </c>
      <c r="AB207" s="159">
        <v>68156.107976373198</v>
      </c>
      <c r="AC207" s="159">
        <v>66089.7</v>
      </c>
      <c r="AD207" s="174">
        <f>SUM(Muut[[#This Row],[Työttömyysaste]:[Työttömät ja palveluissa olevat ]])</f>
        <v>1820252.4488247528</v>
      </c>
      <c r="AF207" s="62"/>
    </row>
    <row r="208" spans="1:32" s="45" customFormat="1">
      <c r="A208" s="90">
        <v>624</v>
      </c>
      <c r="B208" s="151" t="s">
        <v>208</v>
      </c>
      <c r="C208" s="395">
        <v>5065</v>
      </c>
      <c r="D208" s="134">
        <v>212.66666666666666</v>
      </c>
      <c r="E208" s="41">
        <v>2319</v>
      </c>
      <c r="F208" s="332">
        <f t="shared" si="7"/>
        <v>9.1706195199080062E-2</v>
      </c>
      <c r="G208" s="377">
        <f>Muut[[#This Row],[Keskim. työttömyysaste 2023, %]]/$F$12</f>
        <v>0.93328388435070975</v>
      </c>
      <c r="H208" s="166">
        <v>1</v>
      </c>
      <c r="I208" s="383">
        <v>343</v>
      </c>
      <c r="J208" s="389">
        <v>248</v>
      </c>
      <c r="K208" s="269">
        <v>324.63</v>
      </c>
      <c r="L208" s="170">
        <f t="shared" si="8"/>
        <v>15.602378091981642</v>
      </c>
      <c r="M208" s="377">
        <v>1.1811301687577</v>
      </c>
      <c r="N208" s="166">
        <v>3</v>
      </c>
      <c r="O208" s="397">
        <v>189</v>
      </c>
      <c r="P208" s="269">
        <v>1560</v>
      </c>
      <c r="Q208" s="15">
        <v>212</v>
      </c>
      <c r="R208" s="158">
        <v>0.13589743589743589</v>
      </c>
      <c r="S208" s="401">
        <v>0.97232638885645828</v>
      </c>
      <c r="T208" s="153">
        <v>275</v>
      </c>
      <c r="U208" s="197">
        <v>326357.8016372773</v>
      </c>
      <c r="V208" s="159">
        <v>103897.33200000001</v>
      </c>
      <c r="W208" s="159">
        <v>93476.829600000012</v>
      </c>
      <c r="X208" s="159">
        <v>452845.52</v>
      </c>
      <c r="Y208" s="159">
        <v>247612.54197392333</v>
      </c>
      <c r="Z208" s="159">
        <v>0</v>
      </c>
      <c r="AA208" s="155">
        <v>55762.560000000005</v>
      </c>
      <c r="AB208" s="159">
        <v>139569.77174187262</v>
      </c>
      <c r="AC208" s="159">
        <v>201940.75</v>
      </c>
      <c r="AD208" s="174">
        <f>SUM(Muut[[#This Row],[Työttömyysaste]:[Työttömät ja palveluissa olevat ]])</f>
        <v>1621463.1069530733</v>
      </c>
      <c r="AF208" s="62"/>
    </row>
    <row r="209" spans="1:32" s="45" customFormat="1">
      <c r="A209" s="90">
        <v>625</v>
      </c>
      <c r="B209" s="151" t="s">
        <v>209</v>
      </c>
      <c r="C209" s="395">
        <v>2980</v>
      </c>
      <c r="D209" s="134">
        <v>122.83333333333333</v>
      </c>
      <c r="E209" s="41">
        <v>1275</v>
      </c>
      <c r="F209" s="332">
        <f t="shared" si="7"/>
        <v>9.6339869281045751E-2</v>
      </c>
      <c r="G209" s="377">
        <f>Muut[[#This Row],[Keskim. työttömyysaste 2023, %]]/$F$12</f>
        <v>0.98044027696567149</v>
      </c>
      <c r="H209" s="166">
        <v>0</v>
      </c>
      <c r="I209" s="383">
        <v>7</v>
      </c>
      <c r="J209" s="389">
        <v>129</v>
      </c>
      <c r="K209" s="269">
        <v>543.63</v>
      </c>
      <c r="L209" s="170">
        <f t="shared" si="8"/>
        <v>5.4816695178706105</v>
      </c>
      <c r="M209" s="377">
        <v>3.3618297142368343</v>
      </c>
      <c r="N209" s="166">
        <v>0</v>
      </c>
      <c r="O209" s="397">
        <v>0</v>
      </c>
      <c r="P209" s="269">
        <v>826</v>
      </c>
      <c r="Q209" s="15">
        <v>128</v>
      </c>
      <c r="R209" s="158">
        <v>0.15496368038740921</v>
      </c>
      <c r="S209" s="401">
        <v>1.1087425951782723</v>
      </c>
      <c r="T209" s="153">
        <v>170</v>
      </c>
      <c r="U209" s="197">
        <v>201714.99823069572</v>
      </c>
      <c r="V209" s="159">
        <v>0</v>
      </c>
      <c r="W209" s="159">
        <v>0</v>
      </c>
      <c r="X209" s="159">
        <v>235552.71</v>
      </c>
      <c r="Y209" s="159">
        <v>414655.47297934245</v>
      </c>
      <c r="Z209" s="159">
        <v>0</v>
      </c>
      <c r="AA209" s="155">
        <v>0</v>
      </c>
      <c r="AB209" s="159">
        <v>93636.860139109674</v>
      </c>
      <c r="AC209" s="159">
        <v>124836.1</v>
      </c>
      <c r="AD209" s="174">
        <f>SUM(Muut[[#This Row],[Työttömyysaste]:[Työttömät ja palveluissa olevat ]])</f>
        <v>1070396.1413491478</v>
      </c>
      <c r="AF209" s="62"/>
    </row>
    <row r="210" spans="1:32" s="45" customFormat="1">
      <c r="A210" s="90">
        <v>626</v>
      </c>
      <c r="B210" s="151" t="s">
        <v>210</v>
      </c>
      <c r="C210" s="395">
        <v>4756</v>
      </c>
      <c r="D210" s="134">
        <v>226.33333333333334</v>
      </c>
      <c r="E210" s="41">
        <v>1843</v>
      </c>
      <c r="F210" s="332">
        <f t="shared" si="7"/>
        <v>0.12280701754385966</v>
      </c>
      <c r="G210" s="377">
        <f>Muut[[#This Row],[Keskim. työttömyysaste 2023, %]]/$F$12</f>
        <v>1.2497935402297535</v>
      </c>
      <c r="H210" s="166">
        <v>0</v>
      </c>
      <c r="I210" s="383">
        <v>8</v>
      </c>
      <c r="J210" s="389">
        <v>113</v>
      </c>
      <c r="K210" s="269">
        <v>1310.32</v>
      </c>
      <c r="L210" s="170">
        <f t="shared" si="8"/>
        <v>3.629647719641004</v>
      </c>
      <c r="M210" s="377">
        <v>5.0771978142899261</v>
      </c>
      <c r="N210" s="166">
        <v>0</v>
      </c>
      <c r="O210" s="397">
        <v>0</v>
      </c>
      <c r="P210" s="269">
        <v>1091</v>
      </c>
      <c r="Q210" s="15">
        <v>153</v>
      </c>
      <c r="R210" s="158">
        <v>0.14023831347387716</v>
      </c>
      <c r="S210" s="401">
        <v>1.0033847365765329</v>
      </c>
      <c r="T210" s="153">
        <v>318</v>
      </c>
      <c r="U210" s="197">
        <v>410375.00805905019</v>
      </c>
      <c r="V210" s="159">
        <v>0</v>
      </c>
      <c r="W210" s="159">
        <v>0</v>
      </c>
      <c r="X210" s="159">
        <v>206336.87</v>
      </c>
      <c r="Y210" s="159">
        <v>999450.65458913601</v>
      </c>
      <c r="Z210" s="159">
        <v>0</v>
      </c>
      <c r="AA210" s="155">
        <v>0</v>
      </c>
      <c r="AB210" s="159">
        <v>135241.25185485743</v>
      </c>
      <c r="AC210" s="159">
        <v>233516.94</v>
      </c>
      <c r="AD210" s="174">
        <f>SUM(Muut[[#This Row],[Työttömyysaste]:[Työttömät ja palveluissa olevat ]])</f>
        <v>1984920.7245030436</v>
      </c>
      <c r="AF210" s="62"/>
    </row>
    <row r="211" spans="1:32" s="45" customFormat="1">
      <c r="A211" s="90">
        <v>630</v>
      </c>
      <c r="B211" s="151" t="s">
        <v>211</v>
      </c>
      <c r="C211" s="395">
        <v>1646</v>
      </c>
      <c r="D211" s="134">
        <v>67.666666666666671</v>
      </c>
      <c r="E211" s="41">
        <v>692</v>
      </c>
      <c r="F211" s="332">
        <f t="shared" si="7"/>
        <v>9.7784200385356457E-2</v>
      </c>
      <c r="G211" s="377">
        <f>Muut[[#This Row],[Keskim. työttömyysaste 2023, %]]/$F$12</f>
        <v>0.99513907610779495</v>
      </c>
      <c r="H211" s="166">
        <v>0</v>
      </c>
      <c r="I211" s="383">
        <v>0</v>
      </c>
      <c r="J211" s="389">
        <v>121</v>
      </c>
      <c r="K211" s="269">
        <v>810.16</v>
      </c>
      <c r="L211" s="170">
        <f t="shared" si="8"/>
        <v>2.0316974424804979</v>
      </c>
      <c r="M211" s="377">
        <v>9.0704644714738887</v>
      </c>
      <c r="N211" s="166">
        <v>0</v>
      </c>
      <c r="O211" s="397">
        <v>0</v>
      </c>
      <c r="P211" s="269">
        <v>422</v>
      </c>
      <c r="Q211" s="15">
        <v>79</v>
      </c>
      <c r="R211" s="158">
        <v>0.1872037914691943</v>
      </c>
      <c r="S211" s="401">
        <v>1.3394159009508844</v>
      </c>
      <c r="T211" s="153">
        <v>87</v>
      </c>
      <c r="U211" s="197">
        <v>113087.44538663767</v>
      </c>
      <c r="V211" s="159">
        <v>0</v>
      </c>
      <c r="W211" s="159">
        <v>0</v>
      </c>
      <c r="X211" s="159">
        <v>220944.79</v>
      </c>
      <c r="Y211" s="159">
        <v>617952.05928470474</v>
      </c>
      <c r="Z211" s="159">
        <v>0</v>
      </c>
      <c r="AA211" s="155">
        <v>0</v>
      </c>
      <c r="AB211" s="159">
        <v>62480.590757832506</v>
      </c>
      <c r="AC211" s="159">
        <v>63886.710000000006</v>
      </c>
      <c r="AD211" s="174">
        <f>SUM(Muut[[#This Row],[Työttömyysaste]:[Työttömät ja palveluissa olevat ]])</f>
        <v>1078351.5954291751</v>
      </c>
      <c r="AF211" s="62"/>
    </row>
    <row r="212" spans="1:32" s="45" customFormat="1">
      <c r="A212" s="90">
        <v>631</v>
      </c>
      <c r="B212" s="151" t="s">
        <v>212</v>
      </c>
      <c r="C212" s="395">
        <v>1930</v>
      </c>
      <c r="D212" s="134">
        <v>69.333333333333329</v>
      </c>
      <c r="E212" s="41">
        <v>893</v>
      </c>
      <c r="F212" s="332">
        <f t="shared" si="7"/>
        <v>7.7640910787607306E-2</v>
      </c>
      <c r="G212" s="377">
        <f>Muut[[#This Row],[Keskim. työttömyysaste 2023, %]]/$F$12</f>
        <v>0.7901430284735218</v>
      </c>
      <c r="H212" s="166">
        <v>0</v>
      </c>
      <c r="I212" s="383">
        <v>10</v>
      </c>
      <c r="J212" s="389">
        <v>59</v>
      </c>
      <c r="K212" s="269">
        <v>143.66999999999999</v>
      </c>
      <c r="L212" s="170">
        <f t="shared" si="8"/>
        <v>13.4335630263799</v>
      </c>
      <c r="M212" s="377">
        <v>1.3718206727891347</v>
      </c>
      <c r="N212" s="166">
        <v>0</v>
      </c>
      <c r="O212" s="397">
        <v>0</v>
      </c>
      <c r="P212" s="269">
        <v>529</v>
      </c>
      <c r="Q212" s="15">
        <v>80</v>
      </c>
      <c r="R212" s="158">
        <v>0.15122873345935728</v>
      </c>
      <c r="S212" s="401">
        <v>1.0820195931205729</v>
      </c>
      <c r="T212" s="153">
        <v>99</v>
      </c>
      <c r="U212" s="197">
        <v>105284.34614361708</v>
      </c>
      <c r="V212" s="159">
        <v>0</v>
      </c>
      <c r="W212" s="159">
        <v>0</v>
      </c>
      <c r="X212" s="159">
        <v>107733.41</v>
      </c>
      <c r="Y212" s="159">
        <v>109584.7392582126</v>
      </c>
      <c r="Z212" s="159">
        <v>0</v>
      </c>
      <c r="AA212" s="155">
        <v>0</v>
      </c>
      <c r="AB212" s="159">
        <v>59182.360069241484</v>
      </c>
      <c r="AC212" s="159">
        <v>72698.67</v>
      </c>
      <c r="AD212" s="174">
        <f>SUM(Muut[[#This Row],[Työttömyysaste]:[Työttömät ja palveluissa olevat ]])</f>
        <v>454483.52547107119</v>
      </c>
      <c r="AF212" s="62"/>
    </row>
    <row r="213" spans="1:32" s="45" customFormat="1">
      <c r="A213" s="90">
        <v>635</v>
      </c>
      <c r="B213" s="151" t="s">
        <v>213</v>
      </c>
      <c r="C213" s="395">
        <v>6337</v>
      </c>
      <c r="D213" s="134">
        <v>173.91666666666666</v>
      </c>
      <c r="E213" s="41">
        <v>2798</v>
      </c>
      <c r="F213" s="332">
        <f t="shared" si="7"/>
        <v>6.2157493447700732E-2</v>
      </c>
      <c r="G213" s="377">
        <f>Muut[[#This Row],[Keskim. työttömyysaste 2023, %]]/$F$12</f>
        <v>0.63256998941502096</v>
      </c>
      <c r="H213" s="166">
        <v>0</v>
      </c>
      <c r="I213" s="383">
        <v>24</v>
      </c>
      <c r="J213" s="389">
        <v>249</v>
      </c>
      <c r="K213" s="269">
        <v>560.67999999999995</v>
      </c>
      <c r="L213" s="170">
        <f t="shared" si="8"/>
        <v>11.302347149889421</v>
      </c>
      <c r="M213" s="377">
        <v>1.6304966768768927</v>
      </c>
      <c r="N213" s="166">
        <v>0</v>
      </c>
      <c r="O213" s="397">
        <v>0</v>
      </c>
      <c r="P213" s="269">
        <v>1755</v>
      </c>
      <c r="Q213" s="15">
        <v>235</v>
      </c>
      <c r="R213" s="158">
        <v>0.13390313390313391</v>
      </c>
      <c r="S213" s="401">
        <v>0.95805744813948734</v>
      </c>
      <c r="T213" s="153">
        <v>292</v>
      </c>
      <c r="U213" s="197">
        <v>276753.46942260314</v>
      </c>
      <c r="V213" s="159">
        <v>0</v>
      </c>
      <c r="W213" s="159">
        <v>0</v>
      </c>
      <c r="X213" s="159">
        <v>454671.51</v>
      </c>
      <c r="Y213" s="159">
        <v>427660.41349825752</v>
      </c>
      <c r="Z213" s="159">
        <v>0</v>
      </c>
      <c r="AA213" s="155">
        <v>0</v>
      </c>
      <c r="AB213" s="159">
        <v>172058.09278469047</v>
      </c>
      <c r="AC213" s="159">
        <v>214424.36000000002</v>
      </c>
      <c r="AD213" s="174">
        <f>SUM(Muut[[#This Row],[Työttömyysaste]:[Työttömät ja palveluissa olevat ]])</f>
        <v>1545567.8457055511</v>
      </c>
      <c r="AF213" s="62"/>
    </row>
    <row r="214" spans="1:32" s="45" customFormat="1">
      <c r="A214" s="90">
        <v>636</v>
      </c>
      <c r="B214" s="151" t="s">
        <v>214</v>
      </c>
      <c r="C214" s="395">
        <v>8130</v>
      </c>
      <c r="D214" s="134">
        <v>298.5</v>
      </c>
      <c r="E214" s="41">
        <v>3709</v>
      </c>
      <c r="F214" s="332">
        <f t="shared" si="7"/>
        <v>8.0479913723375568E-2</v>
      </c>
      <c r="G214" s="377">
        <f>Muut[[#This Row],[Keskim. työttömyysaste 2023, %]]/$F$12</f>
        <v>0.81903524978774167</v>
      </c>
      <c r="H214" s="166">
        <v>0</v>
      </c>
      <c r="I214" s="383">
        <v>51</v>
      </c>
      <c r="J214" s="389">
        <v>422</v>
      </c>
      <c r="K214" s="269">
        <v>749.98</v>
      </c>
      <c r="L214" s="170">
        <f t="shared" si="8"/>
        <v>10.840289074375317</v>
      </c>
      <c r="M214" s="377">
        <v>1.6999952069881199</v>
      </c>
      <c r="N214" s="166">
        <v>0</v>
      </c>
      <c r="O214" s="397">
        <v>0</v>
      </c>
      <c r="P214" s="269">
        <v>2395</v>
      </c>
      <c r="Q214" s="15">
        <v>470</v>
      </c>
      <c r="R214" s="158">
        <v>0.19624217118997914</v>
      </c>
      <c r="S214" s="401">
        <v>1.4040841933067225</v>
      </c>
      <c r="T214" s="153">
        <v>398</v>
      </c>
      <c r="U214" s="197">
        <v>459720.55433666054</v>
      </c>
      <c r="V214" s="159">
        <v>0</v>
      </c>
      <c r="W214" s="159">
        <v>0</v>
      </c>
      <c r="X214" s="159">
        <v>770567.78</v>
      </c>
      <c r="Y214" s="159">
        <v>572049.57714814728</v>
      </c>
      <c r="Z214" s="159">
        <v>0</v>
      </c>
      <c r="AA214" s="155">
        <v>0</v>
      </c>
      <c r="AB214" s="159">
        <v>323506.89529148076</v>
      </c>
      <c r="AC214" s="159">
        <v>292263.34000000003</v>
      </c>
      <c r="AD214" s="174">
        <f>SUM(Muut[[#This Row],[Työttömyysaste]:[Työttömät ja palveluissa olevat ]])</f>
        <v>2418108.1467762883</v>
      </c>
      <c r="AF214" s="62"/>
    </row>
    <row r="215" spans="1:32" s="45" customFormat="1">
      <c r="A215" s="90">
        <v>638</v>
      </c>
      <c r="B215" s="151" t="s">
        <v>215</v>
      </c>
      <c r="C215" s="395">
        <v>51289</v>
      </c>
      <c r="D215" s="134">
        <v>2265.3333333333335</v>
      </c>
      <c r="E215" s="41">
        <v>25212</v>
      </c>
      <c r="F215" s="332">
        <f t="shared" si="7"/>
        <v>8.9851393516314992E-2</v>
      </c>
      <c r="G215" s="377">
        <f>Muut[[#This Row],[Keskim. työttömyysaste 2023, %]]/$F$12</f>
        <v>0.9144077711782751</v>
      </c>
      <c r="H215" s="166">
        <v>1</v>
      </c>
      <c r="I215" s="383">
        <v>14281</v>
      </c>
      <c r="J215" s="389">
        <v>4352</v>
      </c>
      <c r="K215" s="269">
        <v>654.91999999999996</v>
      </c>
      <c r="L215" s="170">
        <f t="shared" si="8"/>
        <v>78.313381787088503</v>
      </c>
      <c r="M215" s="377">
        <v>0.23531660934915735</v>
      </c>
      <c r="N215" s="166">
        <v>3</v>
      </c>
      <c r="O215" s="397">
        <v>1703</v>
      </c>
      <c r="P215" s="269">
        <v>16598</v>
      </c>
      <c r="Q215" s="15">
        <v>2231</v>
      </c>
      <c r="R215" s="158">
        <v>0.13441378479334859</v>
      </c>
      <c r="S215" s="401">
        <v>0.96171108098965763</v>
      </c>
      <c r="T215" s="153">
        <v>3076</v>
      </c>
      <c r="U215" s="197">
        <v>3237911.1145484555</v>
      </c>
      <c r="V215" s="159">
        <v>1052080.9992000002</v>
      </c>
      <c r="W215" s="159">
        <v>3891960.9432000006</v>
      </c>
      <c r="X215" s="159">
        <v>7946708.4800000004</v>
      </c>
      <c r="Y215" s="159">
        <v>499542.2665482607</v>
      </c>
      <c r="Z215" s="159">
        <v>0</v>
      </c>
      <c r="AA215" s="155">
        <v>502453.12000000005</v>
      </c>
      <c r="AB215" s="159">
        <v>1397876.1575957781</v>
      </c>
      <c r="AC215" s="159">
        <v>2258799.08</v>
      </c>
      <c r="AD215" s="174">
        <f>SUM(Muut[[#This Row],[Työttömyysaste]:[Työttömät ja palveluissa olevat ]])</f>
        <v>20787332.161092497</v>
      </c>
      <c r="AF215" s="62"/>
    </row>
    <row r="216" spans="1:32" s="45" customFormat="1">
      <c r="A216" s="90">
        <v>678</v>
      </c>
      <c r="B216" s="151" t="s">
        <v>216</v>
      </c>
      <c r="C216" s="395">
        <v>23797</v>
      </c>
      <c r="D216" s="134">
        <v>1163.9166666666667</v>
      </c>
      <c r="E216" s="41">
        <v>10112</v>
      </c>
      <c r="F216" s="332">
        <f t="shared" si="7"/>
        <v>0.11510251845991562</v>
      </c>
      <c r="G216" s="377">
        <f>Muut[[#This Row],[Keskim. työttömyysaste 2023, %]]/$F$12</f>
        <v>1.1713856985737963</v>
      </c>
      <c r="H216" s="166">
        <v>0</v>
      </c>
      <c r="I216" s="383">
        <v>17</v>
      </c>
      <c r="J216" s="389">
        <v>940</v>
      </c>
      <c r="K216" s="269">
        <v>1013.78</v>
      </c>
      <c r="L216" s="170">
        <f t="shared" si="8"/>
        <v>23.473534691944998</v>
      </c>
      <c r="M216" s="377">
        <v>0.78507304974088477</v>
      </c>
      <c r="N216" s="166">
        <v>0</v>
      </c>
      <c r="O216" s="397">
        <v>0</v>
      </c>
      <c r="P216" s="269">
        <v>6803</v>
      </c>
      <c r="Q216" s="15">
        <v>810</v>
      </c>
      <c r="R216" s="158">
        <v>0.11906511833014846</v>
      </c>
      <c r="S216" s="401">
        <v>0.85189360476303522</v>
      </c>
      <c r="T216" s="153">
        <v>1710</v>
      </c>
      <c r="U216" s="197">
        <v>1924522.1359770424</v>
      </c>
      <c r="V216" s="159">
        <v>0</v>
      </c>
      <c r="W216" s="159">
        <v>0</v>
      </c>
      <c r="X216" s="159">
        <v>1716430.6</v>
      </c>
      <c r="Y216" s="159">
        <v>773263.84746426402</v>
      </c>
      <c r="Z216" s="159">
        <v>0</v>
      </c>
      <c r="AA216" s="155">
        <v>0</v>
      </c>
      <c r="AB216" s="159">
        <v>574522.99326955213</v>
      </c>
      <c r="AC216" s="159">
        <v>1255704.3</v>
      </c>
      <c r="AD216" s="174">
        <f>SUM(Muut[[#This Row],[Työttömyysaste]:[Työttömät ja palveluissa olevat ]])</f>
        <v>6244443.8767108591</v>
      </c>
      <c r="AF216" s="62"/>
    </row>
    <row r="217" spans="1:32" s="45" customFormat="1">
      <c r="A217" s="90">
        <v>680</v>
      </c>
      <c r="B217" s="151" t="s">
        <v>217</v>
      </c>
      <c r="C217" s="395">
        <v>25331</v>
      </c>
      <c r="D217" s="134">
        <v>864.91666666666663</v>
      </c>
      <c r="E217" s="41">
        <v>11933</v>
      </c>
      <c r="F217" s="332">
        <f t="shared" si="7"/>
        <v>7.2481074890360056E-2</v>
      </c>
      <c r="G217" s="377">
        <f>Muut[[#This Row],[Keskim. työttömyysaste 2023, %]]/$F$12</f>
        <v>0.73763194480745942</v>
      </c>
      <c r="H217" s="166">
        <v>0</v>
      </c>
      <c r="I217" s="383">
        <v>364</v>
      </c>
      <c r="J217" s="389">
        <v>3051</v>
      </c>
      <c r="K217" s="269">
        <v>48.76</v>
      </c>
      <c r="L217" s="170">
        <f t="shared" si="8"/>
        <v>519.50369155045121</v>
      </c>
      <c r="M217" s="377">
        <v>3.5473163653186583E-2</v>
      </c>
      <c r="N217" s="166">
        <v>0</v>
      </c>
      <c r="O217" s="397">
        <v>0</v>
      </c>
      <c r="P217" s="269">
        <v>8305</v>
      </c>
      <c r="Q217" s="15">
        <v>1226</v>
      </c>
      <c r="R217" s="158">
        <v>0.14762191450933174</v>
      </c>
      <c r="S217" s="401">
        <v>1.0562133281106563</v>
      </c>
      <c r="T217" s="153">
        <v>1451</v>
      </c>
      <c r="U217" s="197">
        <v>1290009.2789720821</v>
      </c>
      <c r="V217" s="159">
        <v>0</v>
      </c>
      <c r="W217" s="159">
        <v>0</v>
      </c>
      <c r="X217" s="159">
        <v>5571095.4900000002</v>
      </c>
      <c r="Y217" s="159">
        <v>37191.841624768203</v>
      </c>
      <c r="Z217" s="159">
        <v>0</v>
      </c>
      <c r="AA217" s="155">
        <v>0</v>
      </c>
      <c r="AB217" s="159">
        <v>758234.99433927517</v>
      </c>
      <c r="AC217" s="159">
        <v>1065512.83</v>
      </c>
      <c r="AD217" s="174">
        <f>SUM(Muut[[#This Row],[Työttömyysaste]:[Työttömät ja palveluissa olevat ]])</f>
        <v>8722044.4349361248</v>
      </c>
      <c r="AF217" s="62"/>
    </row>
    <row r="218" spans="1:32" s="45" customFormat="1">
      <c r="A218" s="90">
        <v>681</v>
      </c>
      <c r="B218" s="151" t="s">
        <v>218</v>
      </c>
      <c r="C218" s="395">
        <v>3297</v>
      </c>
      <c r="D218" s="134">
        <v>108.75</v>
      </c>
      <c r="E218" s="41">
        <v>1351</v>
      </c>
      <c r="F218" s="332">
        <f t="shared" si="7"/>
        <v>8.0495928941524797E-2</v>
      </c>
      <c r="G218" s="377">
        <f>Muut[[#This Row],[Keskim. työttömyysaste 2023, %]]/$F$12</f>
        <v>0.81919823490527477</v>
      </c>
      <c r="H218" s="166">
        <v>0</v>
      </c>
      <c r="I218" s="383">
        <v>5</v>
      </c>
      <c r="J218" s="389">
        <v>188</v>
      </c>
      <c r="K218" s="269">
        <v>559.65</v>
      </c>
      <c r="L218" s="170">
        <f t="shared" si="8"/>
        <v>5.8911819887429644</v>
      </c>
      <c r="M218" s="377">
        <v>3.1281395658829245</v>
      </c>
      <c r="N218" s="166">
        <v>0</v>
      </c>
      <c r="O218" s="397">
        <v>0</v>
      </c>
      <c r="P218" s="269">
        <v>804</v>
      </c>
      <c r="Q218" s="15">
        <v>156</v>
      </c>
      <c r="R218" s="158">
        <v>0.19402985074626866</v>
      </c>
      <c r="S218" s="401">
        <v>1.3882553622929441</v>
      </c>
      <c r="T218" s="153">
        <v>162</v>
      </c>
      <c r="U218" s="197">
        <v>186469.89991652503</v>
      </c>
      <c r="V218" s="159">
        <v>0</v>
      </c>
      <c r="W218" s="159">
        <v>0</v>
      </c>
      <c r="X218" s="159">
        <v>343286.12</v>
      </c>
      <c r="Y218" s="159">
        <v>426874.7777953553</v>
      </c>
      <c r="Z218" s="159">
        <v>0</v>
      </c>
      <c r="AA218" s="155">
        <v>0</v>
      </c>
      <c r="AB218" s="159">
        <v>129714.38852145858</v>
      </c>
      <c r="AC218" s="159">
        <v>118961.46</v>
      </c>
      <c r="AD218" s="174">
        <f>SUM(Muut[[#This Row],[Työttömyysaste]:[Työttömät ja palveluissa olevat ]])</f>
        <v>1205306.6462333389</v>
      </c>
      <c r="AF218" s="62"/>
    </row>
    <row r="219" spans="1:32" s="45" customFormat="1">
      <c r="A219" s="90">
        <v>683</v>
      </c>
      <c r="B219" s="151" t="s">
        <v>219</v>
      </c>
      <c r="C219" s="395">
        <v>3599</v>
      </c>
      <c r="D219" s="134">
        <v>150.25</v>
      </c>
      <c r="E219" s="41">
        <v>1375</v>
      </c>
      <c r="F219" s="332">
        <f t="shared" si="7"/>
        <v>0.10927272727272727</v>
      </c>
      <c r="G219" s="377">
        <f>Muut[[#This Row],[Keskim. työttömyysaste 2023, %]]/$F$12</f>
        <v>1.1120565534454718</v>
      </c>
      <c r="H219" s="166">
        <v>0</v>
      </c>
      <c r="I219" s="383">
        <v>7</v>
      </c>
      <c r="J219" s="389">
        <v>62</v>
      </c>
      <c r="K219" s="269">
        <v>3454.19</v>
      </c>
      <c r="L219" s="170">
        <f t="shared" si="8"/>
        <v>1.0419229978663593</v>
      </c>
      <c r="M219" s="377">
        <v>17.686949521741351</v>
      </c>
      <c r="N219" s="166">
        <v>0</v>
      </c>
      <c r="O219" s="397">
        <v>0</v>
      </c>
      <c r="P219" s="269">
        <v>805</v>
      </c>
      <c r="Q219" s="15">
        <v>130</v>
      </c>
      <c r="R219" s="158">
        <v>0.16149068322981366</v>
      </c>
      <c r="S219" s="401">
        <v>1.1554423512251832</v>
      </c>
      <c r="T219" s="153">
        <v>198</v>
      </c>
      <c r="U219" s="197">
        <v>276318.20763510151</v>
      </c>
      <c r="V219" s="159">
        <v>0</v>
      </c>
      <c r="W219" s="159">
        <v>0</v>
      </c>
      <c r="X219" s="159">
        <v>113211.38</v>
      </c>
      <c r="Y219" s="159">
        <v>2634694.1636968437</v>
      </c>
      <c r="Z219" s="159">
        <v>0</v>
      </c>
      <c r="AA219" s="155">
        <v>0</v>
      </c>
      <c r="AB219" s="159">
        <v>117850.10520516438</v>
      </c>
      <c r="AC219" s="159">
        <v>145397.34</v>
      </c>
      <c r="AD219" s="174">
        <f>SUM(Muut[[#This Row],[Työttömyysaste]:[Työttömät ja palveluissa olevat ]])</f>
        <v>3287471.1965371091</v>
      </c>
      <c r="AF219" s="62"/>
    </row>
    <row r="220" spans="1:32" s="45" customFormat="1">
      <c r="A220" s="90">
        <v>684</v>
      </c>
      <c r="B220" s="151" t="s">
        <v>220</v>
      </c>
      <c r="C220" s="395">
        <v>38832</v>
      </c>
      <c r="D220" s="134">
        <v>1543.5</v>
      </c>
      <c r="E220" s="41">
        <v>18100</v>
      </c>
      <c r="F220" s="332">
        <f t="shared" si="7"/>
        <v>8.5276243093922649E-2</v>
      </c>
      <c r="G220" s="377">
        <f>Muut[[#This Row],[Keskim. työttömyysaste 2023, %]]/$F$12</f>
        <v>0.86784696742417988</v>
      </c>
      <c r="H220" s="166">
        <v>0</v>
      </c>
      <c r="I220" s="383">
        <v>117</v>
      </c>
      <c r="J220" s="389">
        <v>3335</v>
      </c>
      <c r="K220" s="269">
        <v>496.3</v>
      </c>
      <c r="L220" s="170">
        <f t="shared" si="8"/>
        <v>78.242998186580692</v>
      </c>
      <c r="M220" s="377">
        <v>0.23552828874040191</v>
      </c>
      <c r="N220" s="166">
        <v>0</v>
      </c>
      <c r="O220" s="397">
        <v>0</v>
      </c>
      <c r="P220" s="269">
        <v>11771</v>
      </c>
      <c r="Q220" s="15">
        <v>2045</v>
      </c>
      <c r="R220" s="158">
        <v>0.17373205335145697</v>
      </c>
      <c r="S220" s="401">
        <v>1.2430275740546697</v>
      </c>
      <c r="T220" s="153">
        <v>2276</v>
      </c>
      <c r="U220" s="197">
        <v>2326664.116629648</v>
      </c>
      <c r="V220" s="159">
        <v>0</v>
      </c>
      <c r="W220" s="159">
        <v>0</v>
      </c>
      <c r="X220" s="159">
        <v>6089676.6500000004</v>
      </c>
      <c r="Y220" s="159">
        <v>378554.36830132204</v>
      </c>
      <c r="Z220" s="159">
        <v>0</v>
      </c>
      <c r="AA220" s="155">
        <v>0</v>
      </c>
      <c r="AB220" s="159">
        <v>1367950.453056281</v>
      </c>
      <c r="AC220" s="159">
        <v>1671335.08</v>
      </c>
      <c r="AD220" s="174">
        <f>SUM(Muut[[#This Row],[Työttömyysaste]:[Työttömät ja palveluissa olevat ]])</f>
        <v>11834180.667987252</v>
      </c>
      <c r="AF220" s="62"/>
    </row>
    <row r="221" spans="1:32" s="45" customFormat="1">
      <c r="A221" s="90">
        <v>686</v>
      </c>
      <c r="B221" s="151" t="s">
        <v>221</v>
      </c>
      <c r="C221" s="395">
        <v>2933</v>
      </c>
      <c r="D221" s="134">
        <v>110.08333333333333</v>
      </c>
      <c r="E221" s="41">
        <v>1144</v>
      </c>
      <c r="F221" s="332">
        <f t="shared" si="7"/>
        <v>9.6226689976689969E-2</v>
      </c>
      <c r="G221" s="377">
        <f>Muut[[#This Row],[Keskim. työttömyysaste 2023, %]]/$F$12</f>
        <v>0.97928846360597455</v>
      </c>
      <c r="H221" s="166">
        <v>0</v>
      </c>
      <c r="I221" s="383">
        <v>3</v>
      </c>
      <c r="J221" s="389">
        <v>104</v>
      </c>
      <c r="K221" s="269">
        <v>538.95000000000005</v>
      </c>
      <c r="L221" s="170">
        <f t="shared" si="8"/>
        <v>5.4420632711754333</v>
      </c>
      <c r="M221" s="377">
        <v>3.3862964376787472</v>
      </c>
      <c r="N221" s="166">
        <v>0</v>
      </c>
      <c r="O221" s="397">
        <v>0</v>
      </c>
      <c r="P221" s="269">
        <v>726</v>
      </c>
      <c r="Q221" s="15">
        <v>89</v>
      </c>
      <c r="R221" s="158">
        <v>0.12258953168044077</v>
      </c>
      <c r="S221" s="401">
        <v>0.87711026969197126</v>
      </c>
      <c r="T221" s="153">
        <v>151</v>
      </c>
      <c r="U221" s="197">
        <v>198300.35152173662</v>
      </c>
      <c r="V221" s="159">
        <v>0</v>
      </c>
      <c r="W221" s="159">
        <v>0</v>
      </c>
      <c r="X221" s="159">
        <v>189902.96</v>
      </c>
      <c r="Y221" s="159">
        <v>411085.78842635005</v>
      </c>
      <c r="Z221" s="159">
        <v>0</v>
      </c>
      <c r="AA221" s="155">
        <v>0</v>
      </c>
      <c r="AB221" s="159">
        <v>72906.475691325672</v>
      </c>
      <c r="AC221" s="159">
        <v>110883.83</v>
      </c>
      <c r="AD221" s="174">
        <f>SUM(Muut[[#This Row],[Työttömyysaste]:[Työttömät ja palveluissa olevat ]])</f>
        <v>983079.40563941223</v>
      </c>
      <c r="AF221" s="62"/>
    </row>
    <row r="222" spans="1:32" s="45" customFormat="1">
      <c r="A222" s="90">
        <v>687</v>
      </c>
      <c r="B222" s="151" t="s">
        <v>222</v>
      </c>
      <c r="C222" s="395">
        <v>1424</v>
      </c>
      <c r="D222" s="134">
        <v>61.833333333333336</v>
      </c>
      <c r="E222" s="41">
        <v>513</v>
      </c>
      <c r="F222" s="332">
        <f t="shared" si="7"/>
        <v>0.12053281351526966</v>
      </c>
      <c r="G222" s="377">
        <f>Muut[[#This Row],[Keskim. työttömyysaste 2023, %]]/$F$12</f>
        <v>1.2266492154106841</v>
      </c>
      <c r="H222" s="166">
        <v>0</v>
      </c>
      <c r="I222" s="383">
        <v>0</v>
      </c>
      <c r="J222" s="389">
        <v>22</v>
      </c>
      <c r="K222" s="269">
        <v>1150.81</v>
      </c>
      <c r="L222" s="170">
        <f t="shared" si="8"/>
        <v>1.2373893170897021</v>
      </c>
      <c r="M222" s="377">
        <v>14.893000298521073</v>
      </c>
      <c r="N222" s="166">
        <v>0</v>
      </c>
      <c r="O222" s="397">
        <v>0</v>
      </c>
      <c r="P222" s="269">
        <v>294</v>
      </c>
      <c r="Q222" s="15">
        <v>48</v>
      </c>
      <c r="R222" s="158">
        <v>0.16326530612244897</v>
      </c>
      <c r="S222" s="401">
        <v>1.1681395199199653</v>
      </c>
      <c r="T222" s="153">
        <v>92</v>
      </c>
      <c r="U222" s="197">
        <v>120595.51524870197</v>
      </c>
      <c r="V222" s="159">
        <v>0</v>
      </c>
      <c r="W222" s="159">
        <v>0</v>
      </c>
      <c r="X222" s="159">
        <v>40171.78</v>
      </c>
      <c r="Y222" s="159">
        <v>877783.90607464104</v>
      </c>
      <c r="Z222" s="159">
        <v>0</v>
      </c>
      <c r="AA222" s="155">
        <v>0</v>
      </c>
      <c r="AB222" s="159">
        <v>47141.62536821331</v>
      </c>
      <c r="AC222" s="159">
        <v>67558.36</v>
      </c>
      <c r="AD222" s="174">
        <f>SUM(Muut[[#This Row],[Työttömyysaste]:[Työttömät ja palveluissa olevat ]])</f>
        <v>1153251.1866915564</v>
      </c>
      <c r="AF222" s="62"/>
    </row>
    <row r="223" spans="1:32" s="45" customFormat="1">
      <c r="A223" s="90">
        <v>689</v>
      </c>
      <c r="B223" s="151" t="s">
        <v>223</v>
      </c>
      <c r="C223" s="395">
        <v>3032</v>
      </c>
      <c r="D223" s="134">
        <v>163.91666666666666</v>
      </c>
      <c r="E223" s="41">
        <v>1144</v>
      </c>
      <c r="F223" s="332">
        <f t="shared" si="7"/>
        <v>0.14328379953379952</v>
      </c>
      <c r="G223" s="377">
        <f>Muut[[#This Row],[Keskim. työttömyysaste 2023, %]]/$F$12</f>
        <v>1.4581835033406148</v>
      </c>
      <c r="H223" s="166">
        <v>0</v>
      </c>
      <c r="I223" s="383">
        <v>6</v>
      </c>
      <c r="J223" s="389">
        <v>135</v>
      </c>
      <c r="K223" s="269">
        <v>351.48</v>
      </c>
      <c r="L223" s="170">
        <f t="shared" si="8"/>
        <v>8.6263798793672475</v>
      </c>
      <c r="M223" s="377">
        <v>2.1362888867068377</v>
      </c>
      <c r="N223" s="166">
        <v>0</v>
      </c>
      <c r="O223" s="397">
        <v>0</v>
      </c>
      <c r="P223" s="269">
        <v>666</v>
      </c>
      <c r="Q223" s="15">
        <v>112</v>
      </c>
      <c r="R223" s="158">
        <v>0.16816816816816818</v>
      </c>
      <c r="S223" s="401">
        <v>1.2032187847824269</v>
      </c>
      <c r="T223" s="153">
        <v>246</v>
      </c>
      <c r="U223" s="197">
        <v>305240.50286216859</v>
      </c>
      <c r="V223" s="159">
        <v>0</v>
      </c>
      <c r="W223" s="159">
        <v>0</v>
      </c>
      <c r="X223" s="159">
        <v>246508.65</v>
      </c>
      <c r="Y223" s="159">
        <v>268092.46296705352</v>
      </c>
      <c r="Z223" s="159">
        <v>0</v>
      </c>
      <c r="AA223" s="155">
        <v>0</v>
      </c>
      <c r="AB223" s="159">
        <v>103388.83613374543</v>
      </c>
      <c r="AC223" s="159">
        <v>180645.18000000002</v>
      </c>
      <c r="AD223" s="174">
        <f>SUM(Muut[[#This Row],[Työttömyysaste]:[Työttömät ja palveluissa olevat ]])</f>
        <v>1103875.6319629676</v>
      </c>
      <c r="AF223" s="62"/>
    </row>
    <row r="224" spans="1:32" s="45" customFormat="1">
      <c r="A224" s="90">
        <v>691</v>
      </c>
      <c r="B224" s="151" t="s">
        <v>224</v>
      </c>
      <c r="C224" s="395">
        <v>2598</v>
      </c>
      <c r="D224" s="134">
        <v>71.333333333333329</v>
      </c>
      <c r="E224" s="41">
        <v>1057</v>
      </c>
      <c r="F224" s="332">
        <f t="shared" si="7"/>
        <v>6.7486597287921793E-2</v>
      </c>
      <c r="G224" s="377">
        <f>Muut[[#This Row],[Keskim. työttömyysaste 2023, %]]/$F$12</f>
        <v>0.68680369436061328</v>
      </c>
      <c r="H224" s="166">
        <v>0</v>
      </c>
      <c r="I224" s="383">
        <v>0</v>
      </c>
      <c r="J224" s="389">
        <v>13</v>
      </c>
      <c r="K224" s="269">
        <v>474.4</v>
      </c>
      <c r="L224" s="170">
        <f t="shared" si="8"/>
        <v>5.4763912310286678</v>
      </c>
      <c r="M224" s="377">
        <v>3.3650699322557678</v>
      </c>
      <c r="N224" s="166">
        <v>0</v>
      </c>
      <c r="O224" s="397">
        <v>0</v>
      </c>
      <c r="P224" s="269">
        <v>631</v>
      </c>
      <c r="Q224" s="15">
        <v>104</v>
      </c>
      <c r="R224" s="158">
        <v>0.16481774960380349</v>
      </c>
      <c r="S224" s="401">
        <v>1.1792470272409159</v>
      </c>
      <c r="T224" s="153">
        <v>106</v>
      </c>
      <c r="U224" s="197">
        <v>123189.17649839024</v>
      </c>
      <c r="V224" s="159">
        <v>0</v>
      </c>
      <c r="W224" s="159">
        <v>0</v>
      </c>
      <c r="X224" s="159">
        <v>23737.87</v>
      </c>
      <c r="Y224" s="159">
        <v>361850.07520078012</v>
      </c>
      <c r="Z224" s="159">
        <v>0</v>
      </c>
      <c r="AA224" s="155">
        <v>0</v>
      </c>
      <c r="AB224" s="159">
        <v>86824.798233715628</v>
      </c>
      <c r="AC224" s="159">
        <v>77838.98000000001</v>
      </c>
      <c r="AD224" s="174">
        <f>SUM(Muut[[#This Row],[Työttömyysaste]:[Työttömät ja palveluissa olevat ]])</f>
        <v>673440.89993288589</v>
      </c>
      <c r="AF224" s="62"/>
    </row>
    <row r="225" spans="1:32" s="45" customFormat="1">
      <c r="A225" s="90">
        <v>694</v>
      </c>
      <c r="B225" s="151" t="s">
        <v>225</v>
      </c>
      <c r="C225" s="395">
        <v>28483</v>
      </c>
      <c r="D225" s="134">
        <v>1284.3333333333333</v>
      </c>
      <c r="E225" s="41">
        <v>13483</v>
      </c>
      <c r="F225" s="332">
        <f t="shared" si="7"/>
        <v>9.5255754159558947E-2</v>
      </c>
      <c r="G225" s="377">
        <f>Muut[[#This Row],[Keskim. työttömyysaste 2023, %]]/$F$12</f>
        <v>0.96940735634926045</v>
      </c>
      <c r="H225" s="166">
        <v>0</v>
      </c>
      <c r="I225" s="383">
        <v>120</v>
      </c>
      <c r="J225" s="389">
        <v>1941</v>
      </c>
      <c r="K225" s="269">
        <v>121.01</v>
      </c>
      <c r="L225" s="170">
        <f t="shared" si="8"/>
        <v>235.37724155028508</v>
      </c>
      <c r="M225" s="377">
        <v>7.8293208584767696E-2</v>
      </c>
      <c r="N225" s="166">
        <v>0</v>
      </c>
      <c r="O225" s="397">
        <v>0</v>
      </c>
      <c r="P225" s="269">
        <v>8809</v>
      </c>
      <c r="Q225" s="15">
        <v>1257</v>
      </c>
      <c r="R225" s="158">
        <v>0.14269497105233284</v>
      </c>
      <c r="S225" s="401">
        <v>1.0209617642529007</v>
      </c>
      <c r="T225" s="153">
        <v>1970</v>
      </c>
      <c r="U225" s="197">
        <v>1906306.9166210592</v>
      </c>
      <c r="V225" s="159">
        <v>0</v>
      </c>
      <c r="W225" s="159">
        <v>0</v>
      </c>
      <c r="X225" s="159">
        <v>3544246.59</v>
      </c>
      <c r="Y225" s="159">
        <v>92300.753794364238</v>
      </c>
      <c r="Z225" s="159">
        <v>0</v>
      </c>
      <c r="AA225" s="155">
        <v>0</v>
      </c>
      <c r="AB225" s="159">
        <v>824128.72841064364</v>
      </c>
      <c r="AC225" s="159">
        <v>1446630.1</v>
      </c>
      <c r="AD225" s="174">
        <f>SUM(Muut[[#This Row],[Työttömyysaste]:[Työttömät ja palveluissa olevat ]])</f>
        <v>7813613.0888260677</v>
      </c>
      <c r="AF225" s="62"/>
    </row>
    <row r="226" spans="1:32" s="45" customFormat="1">
      <c r="A226" s="90">
        <v>697</v>
      </c>
      <c r="B226" s="151" t="s">
        <v>226</v>
      </c>
      <c r="C226" s="395">
        <v>1164</v>
      </c>
      <c r="D226" s="134">
        <v>44.5</v>
      </c>
      <c r="E226" s="41">
        <v>487</v>
      </c>
      <c r="F226" s="332">
        <f t="shared" si="7"/>
        <v>9.1375770020533875E-2</v>
      </c>
      <c r="G226" s="377">
        <f>Muut[[#This Row],[Keskim. työttömyysaste 2023, %]]/$F$12</f>
        <v>0.92992118357077425</v>
      </c>
      <c r="H226" s="166">
        <v>0</v>
      </c>
      <c r="I226" s="383">
        <v>0</v>
      </c>
      <c r="J226" s="389">
        <v>23</v>
      </c>
      <c r="K226" s="269">
        <v>835.83</v>
      </c>
      <c r="L226" s="170">
        <f t="shared" si="8"/>
        <v>1.3926276874484045</v>
      </c>
      <c r="M226" s="377">
        <v>13.232854434029393</v>
      </c>
      <c r="N226" s="166">
        <v>0</v>
      </c>
      <c r="O226" s="397">
        <v>0</v>
      </c>
      <c r="P226" s="269">
        <v>248</v>
      </c>
      <c r="Q226" s="15">
        <v>28</v>
      </c>
      <c r="R226" s="158">
        <v>0.11290322580645161</v>
      </c>
      <c r="S226" s="401">
        <v>0.80780615994465343</v>
      </c>
      <c r="T226" s="153">
        <v>64</v>
      </c>
      <c r="U226" s="197">
        <v>74730.846909977379</v>
      </c>
      <c r="V226" s="159">
        <v>0</v>
      </c>
      <c r="W226" s="159">
        <v>0</v>
      </c>
      <c r="X226" s="159">
        <v>41997.77</v>
      </c>
      <c r="Y226" s="159">
        <v>637531.93160849076</v>
      </c>
      <c r="Z226" s="159">
        <v>0</v>
      </c>
      <c r="AA226" s="155">
        <v>0</v>
      </c>
      <c r="AB226" s="159">
        <v>26647.715730775843</v>
      </c>
      <c r="AC226" s="159">
        <v>46997.120000000003</v>
      </c>
      <c r="AD226" s="174">
        <f>SUM(Muut[[#This Row],[Työttömyysaste]:[Työttömät ja palveluissa olevat ]])</f>
        <v>827905.384249244</v>
      </c>
      <c r="AF226" s="62"/>
    </row>
    <row r="227" spans="1:32" s="45" customFormat="1">
      <c r="A227" s="90">
        <v>698</v>
      </c>
      <c r="B227" s="151" t="s">
        <v>227</v>
      </c>
      <c r="C227" s="395">
        <v>65286</v>
      </c>
      <c r="D227" s="134">
        <v>2959</v>
      </c>
      <c r="E227" s="41">
        <v>31149</v>
      </c>
      <c r="F227" s="332">
        <f t="shared" si="7"/>
        <v>9.4995023917300719E-2</v>
      </c>
      <c r="G227" s="377">
        <f>Muut[[#This Row],[Keskim. työttömyysaste 2023, %]]/$F$12</f>
        <v>0.96675393328733739</v>
      </c>
      <c r="H227" s="166">
        <v>0</v>
      </c>
      <c r="I227" s="383">
        <v>143</v>
      </c>
      <c r="J227" s="389">
        <v>3072</v>
      </c>
      <c r="K227" s="269">
        <v>7581.51</v>
      </c>
      <c r="L227" s="170">
        <f t="shared" si="8"/>
        <v>8.6112133334916123</v>
      </c>
      <c r="M227" s="377">
        <v>2.1400514370175858</v>
      </c>
      <c r="N227" s="166">
        <v>0</v>
      </c>
      <c r="O227" s="397">
        <v>0</v>
      </c>
      <c r="P227" s="269">
        <v>20307</v>
      </c>
      <c r="Q227" s="15">
        <v>1885</v>
      </c>
      <c r="R227" s="158">
        <v>9.2825134190180722E-2</v>
      </c>
      <c r="S227" s="401">
        <v>0.66415033459772244</v>
      </c>
      <c r="T227" s="153">
        <v>4407</v>
      </c>
      <c r="U227" s="197">
        <v>4357493.9328047456</v>
      </c>
      <c r="V227" s="159">
        <v>0</v>
      </c>
      <c r="W227" s="159">
        <v>0</v>
      </c>
      <c r="X227" s="159">
        <v>5609441.2800000003</v>
      </c>
      <c r="Y227" s="159">
        <v>5782820.3280680152</v>
      </c>
      <c r="Z227" s="159">
        <v>0</v>
      </c>
      <c r="AA227" s="155">
        <v>0</v>
      </c>
      <c r="AB227" s="159">
        <v>1228814.4292204594</v>
      </c>
      <c r="AC227" s="159">
        <v>3236192.31</v>
      </c>
      <c r="AD227" s="174">
        <f>SUM(Muut[[#This Row],[Työttömyysaste]:[Työttömät ja palveluissa olevat ]])</f>
        <v>20214762.280093219</v>
      </c>
      <c r="AF227" s="62"/>
    </row>
    <row r="228" spans="1:32" s="45" customFormat="1">
      <c r="A228" s="90">
        <v>700</v>
      </c>
      <c r="B228" s="151" t="s">
        <v>228</v>
      </c>
      <c r="C228" s="395">
        <v>4758</v>
      </c>
      <c r="D228" s="134">
        <v>195.16666666666666</v>
      </c>
      <c r="E228" s="41">
        <v>1994</v>
      </c>
      <c r="F228" s="332">
        <f t="shared" si="7"/>
        <v>9.7876964226011359E-2</v>
      </c>
      <c r="G228" s="377">
        <f>Muut[[#This Row],[Keskim. työttömyysaste 2023, %]]/$F$12</f>
        <v>0.99608312353387951</v>
      </c>
      <c r="H228" s="166">
        <v>0</v>
      </c>
      <c r="I228" s="383">
        <v>11</v>
      </c>
      <c r="J228" s="389">
        <v>173</v>
      </c>
      <c r="K228" s="269">
        <v>942.16</v>
      </c>
      <c r="L228" s="170">
        <f t="shared" si="8"/>
        <v>5.0500976479578839</v>
      </c>
      <c r="M228" s="377">
        <v>3.6491253740916592</v>
      </c>
      <c r="N228" s="166">
        <v>3</v>
      </c>
      <c r="O228" s="397">
        <v>290</v>
      </c>
      <c r="P228" s="269">
        <v>1211</v>
      </c>
      <c r="Q228" s="15">
        <v>158</v>
      </c>
      <c r="R228" s="158">
        <v>0.13047068538398018</v>
      </c>
      <c r="S228" s="401">
        <v>0.93349877820193772</v>
      </c>
      <c r="T228" s="153">
        <v>275</v>
      </c>
      <c r="U228" s="197">
        <v>327205.65616249072</v>
      </c>
      <c r="V228" s="159">
        <v>0</v>
      </c>
      <c r="W228" s="159">
        <v>0</v>
      </c>
      <c r="X228" s="159">
        <v>315896.27</v>
      </c>
      <c r="Y228" s="159">
        <v>718635.46975372464</v>
      </c>
      <c r="Z228" s="159">
        <v>0</v>
      </c>
      <c r="AA228" s="155">
        <v>85561.600000000006</v>
      </c>
      <c r="AB228" s="159">
        <v>125874.58087064778</v>
      </c>
      <c r="AC228" s="159">
        <v>201940.75</v>
      </c>
      <c r="AD228" s="174">
        <f>SUM(Muut[[#This Row],[Työttömyysaste]:[Työttömät ja palveluissa olevat ]])</f>
        <v>1775114.3267868632</v>
      </c>
      <c r="AF228" s="62"/>
    </row>
    <row r="229" spans="1:32" s="45" customFormat="1">
      <c r="A229" s="90">
        <v>702</v>
      </c>
      <c r="B229" s="151" t="s">
        <v>229</v>
      </c>
      <c r="C229" s="395">
        <v>4124</v>
      </c>
      <c r="D229" s="134">
        <v>149.83333333333334</v>
      </c>
      <c r="E229" s="41">
        <v>1586</v>
      </c>
      <c r="F229" s="332">
        <f t="shared" si="7"/>
        <v>9.4472467423287104E-2</v>
      </c>
      <c r="G229" s="377">
        <f>Muut[[#This Row],[Keskim. työttömyysaste 2023, %]]/$F$12</f>
        <v>0.96143593319511889</v>
      </c>
      <c r="H229" s="166">
        <v>0</v>
      </c>
      <c r="I229" s="383">
        <v>12</v>
      </c>
      <c r="J229" s="389">
        <v>121</v>
      </c>
      <c r="K229" s="269">
        <v>776.93</v>
      </c>
      <c r="L229" s="170">
        <f t="shared" si="8"/>
        <v>5.3080715122340498</v>
      </c>
      <c r="M229" s="377">
        <v>3.4717767886754785</v>
      </c>
      <c r="N229" s="166">
        <v>0</v>
      </c>
      <c r="O229" s="397">
        <v>0</v>
      </c>
      <c r="P229" s="269">
        <v>952</v>
      </c>
      <c r="Q229" s="15">
        <v>120</v>
      </c>
      <c r="R229" s="158">
        <v>0.12605042016806722</v>
      </c>
      <c r="S229" s="401">
        <v>0.90187242346762031</v>
      </c>
      <c r="T229" s="153">
        <v>262</v>
      </c>
      <c r="U229" s="197">
        <v>273740.96187781019</v>
      </c>
      <c r="V229" s="159">
        <v>0</v>
      </c>
      <c r="W229" s="159">
        <v>0</v>
      </c>
      <c r="X229" s="159">
        <v>220944.79</v>
      </c>
      <c r="Y229" s="159">
        <v>592605.77345223865</v>
      </c>
      <c r="Z229" s="159">
        <v>0</v>
      </c>
      <c r="AA229" s="155">
        <v>0</v>
      </c>
      <c r="AB229" s="159">
        <v>105405.5819199424</v>
      </c>
      <c r="AC229" s="159">
        <v>192394.46000000002</v>
      </c>
      <c r="AD229" s="174">
        <f>SUM(Muut[[#This Row],[Työttömyysaste]:[Työttömät ja palveluissa olevat ]])</f>
        <v>1385091.5672499915</v>
      </c>
      <c r="AF229" s="62"/>
    </row>
    <row r="230" spans="1:32" s="45" customFormat="1">
      <c r="A230" s="90">
        <v>704</v>
      </c>
      <c r="B230" s="151" t="s">
        <v>230</v>
      </c>
      <c r="C230" s="395">
        <v>6436</v>
      </c>
      <c r="D230" s="134">
        <v>129.08333333333334</v>
      </c>
      <c r="E230" s="41">
        <v>3135</v>
      </c>
      <c r="F230" s="332">
        <f t="shared" si="7"/>
        <v>4.1174906964380649E-2</v>
      </c>
      <c r="G230" s="377">
        <f>Muut[[#This Row],[Keskim. työttömyysaste 2023, %]]/$F$12</f>
        <v>0.41903250948395843</v>
      </c>
      <c r="H230" s="166">
        <v>0</v>
      </c>
      <c r="I230" s="383">
        <v>105</v>
      </c>
      <c r="J230" s="389">
        <v>214</v>
      </c>
      <c r="K230" s="269">
        <v>127.16</v>
      </c>
      <c r="L230" s="170">
        <f t="shared" si="8"/>
        <v>50.613400440390059</v>
      </c>
      <c r="M230" s="377">
        <v>0.36410198304118724</v>
      </c>
      <c r="N230" s="166">
        <v>0</v>
      </c>
      <c r="O230" s="397">
        <v>0</v>
      </c>
      <c r="P230" s="269">
        <v>2257</v>
      </c>
      <c r="Q230" s="15">
        <v>186</v>
      </c>
      <c r="R230" s="158">
        <v>8.2410279131590602E-2</v>
      </c>
      <c r="S230" s="401">
        <v>0.58963356139513534</v>
      </c>
      <c r="T230" s="153">
        <v>189</v>
      </c>
      <c r="U230" s="197">
        <v>186193.50867091579</v>
      </c>
      <c r="V230" s="159">
        <v>0</v>
      </c>
      <c r="W230" s="159">
        <v>0</v>
      </c>
      <c r="X230" s="159">
        <v>390761.86</v>
      </c>
      <c r="Y230" s="159">
        <v>96991.685418489025</v>
      </c>
      <c r="Z230" s="159">
        <v>0</v>
      </c>
      <c r="AA230" s="155">
        <v>0</v>
      </c>
      <c r="AB230" s="159">
        <v>107546.94457628184</v>
      </c>
      <c r="AC230" s="159">
        <v>138788.37</v>
      </c>
      <c r="AD230" s="174">
        <f>SUM(Muut[[#This Row],[Työttömyysaste]:[Työttömät ja palveluissa olevat ]])</f>
        <v>920282.36866568658</v>
      </c>
      <c r="AF230" s="62"/>
    </row>
    <row r="231" spans="1:32" s="45" customFormat="1">
      <c r="A231" s="90">
        <v>707</v>
      </c>
      <c r="B231" s="151" t="s">
        <v>231</v>
      </c>
      <c r="C231" s="395">
        <v>1902</v>
      </c>
      <c r="D231" s="134">
        <v>113.33333333333333</v>
      </c>
      <c r="E231" s="41">
        <v>744</v>
      </c>
      <c r="F231" s="332">
        <f t="shared" si="7"/>
        <v>0.15232974910394265</v>
      </c>
      <c r="G231" s="377">
        <f>Muut[[#This Row],[Keskim. työttömyysaste 2023, %]]/$F$12</f>
        <v>1.550243139378688</v>
      </c>
      <c r="H231" s="166">
        <v>0</v>
      </c>
      <c r="I231" s="383">
        <v>2</v>
      </c>
      <c r="J231" s="389">
        <v>85</v>
      </c>
      <c r="K231" s="269">
        <v>428.05</v>
      </c>
      <c r="L231" s="170">
        <f t="shared" si="8"/>
        <v>4.4434061441420392</v>
      </c>
      <c r="M231" s="377">
        <v>4.1473677784550125</v>
      </c>
      <c r="N231" s="166">
        <v>3</v>
      </c>
      <c r="O231" s="397">
        <v>331</v>
      </c>
      <c r="P231" s="269">
        <v>394</v>
      </c>
      <c r="Q231" s="15">
        <v>62</v>
      </c>
      <c r="R231" s="158">
        <v>0.15736040609137056</v>
      </c>
      <c r="S231" s="401">
        <v>1.1258908190091546</v>
      </c>
      <c r="T231" s="153">
        <v>163</v>
      </c>
      <c r="U231" s="197">
        <v>203568.75162382424</v>
      </c>
      <c r="V231" s="159">
        <v>0</v>
      </c>
      <c r="W231" s="159">
        <v>0</v>
      </c>
      <c r="X231" s="159">
        <v>155209.15</v>
      </c>
      <c r="Y231" s="159">
        <v>326496.46857018117</v>
      </c>
      <c r="Z231" s="159">
        <v>0</v>
      </c>
      <c r="AA231" s="155">
        <v>97658.240000000005</v>
      </c>
      <c r="AB231" s="159">
        <v>60688.532531988378</v>
      </c>
      <c r="AC231" s="159">
        <v>119695.79000000001</v>
      </c>
      <c r="AD231" s="174">
        <f>SUM(Muut[[#This Row],[Työttömyysaste]:[Työttömät ja palveluissa olevat ]])</f>
        <v>963316.9327259938</v>
      </c>
      <c r="AF231" s="62"/>
    </row>
    <row r="232" spans="1:32" s="45" customFormat="1">
      <c r="A232" s="90">
        <v>710</v>
      </c>
      <c r="B232" s="151" t="s">
        <v>232</v>
      </c>
      <c r="C232" s="395">
        <v>27209</v>
      </c>
      <c r="D232" s="134">
        <v>1076.4166666666667</v>
      </c>
      <c r="E232" s="41">
        <v>12605</v>
      </c>
      <c r="F232" s="332">
        <f t="shared" si="7"/>
        <v>8.5396006875578481E-2</v>
      </c>
      <c r="G232" s="377">
        <f>Muut[[#This Row],[Keskim. työttömyysaste 2023, %]]/$F$12</f>
        <v>0.86906579028675357</v>
      </c>
      <c r="H232" s="166">
        <v>3</v>
      </c>
      <c r="I232" s="383">
        <v>17311</v>
      </c>
      <c r="J232" s="389">
        <v>1590</v>
      </c>
      <c r="K232" s="269">
        <v>1152.1400000000001</v>
      </c>
      <c r="L232" s="170">
        <f t="shared" si="8"/>
        <v>23.616053604596662</v>
      </c>
      <c r="M232" s="377">
        <v>0.78033526588950419</v>
      </c>
      <c r="N232" s="166">
        <v>3</v>
      </c>
      <c r="O232" s="397">
        <v>1762</v>
      </c>
      <c r="P232" s="269">
        <v>8115</v>
      </c>
      <c r="Q232" s="15">
        <v>1322</v>
      </c>
      <c r="R232" s="158">
        <v>0.16290819470117068</v>
      </c>
      <c r="S232" s="401">
        <v>1.1655844396391795</v>
      </c>
      <c r="T232" s="153">
        <v>1465</v>
      </c>
      <c r="U232" s="197">
        <v>1632548.2215094639</v>
      </c>
      <c r="V232" s="159">
        <v>558132.77520000003</v>
      </c>
      <c r="W232" s="159">
        <v>4717718.3592000008</v>
      </c>
      <c r="X232" s="159">
        <v>2903324.1</v>
      </c>
      <c r="Y232" s="159">
        <v>878798.3677104275</v>
      </c>
      <c r="Z232" s="159">
        <v>0</v>
      </c>
      <c r="AA232" s="155">
        <v>519860.48000000004</v>
      </c>
      <c r="AB232" s="159">
        <v>898785.7280941566</v>
      </c>
      <c r="AC232" s="159">
        <v>1075793.45</v>
      </c>
      <c r="AD232" s="174">
        <f>SUM(Muut[[#This Row],[Työttömyysaste]:[Työttömät ja palveluissa olevat ]])</f>
        <v>13184961.481714049</v>
      </c>
      <c r="AF232" s="62"/>
    </row>
    <row r="233" spans="1:32" s="45" customFormat="1">
      <c r="A233" s="90">
        <v>729</v>
      </c>
      <c r="B233" s="151" t="s">
        <v>233</v>
      </c>
      <c r="C233" s="395">
        <v>8847</v>
      </c>
      <c r="D233" s="134">
        <v>502.75</v>
      </c>
      <c r="E233" s="41">
        <v>3648</v>
      </c>
      <c r="F233" s="332">
        <f t="shared" si="7"/>
        <v>0.13781524122807018</v>
      </c>
      <c r="G233" s="377">
        <f>Muut[[#This Row],[Keskim. työttömyysaste 2023, %]]/$F$12</f>
        <v>1.4025305856038137</v>
      </c>
      <c r="H233" s="166">
        <v>0</v>
      </c>
      <c r="I233" s="383">
        <v>13</v>
      </c>
      <c r="J233" s="389">
        <v>141</v>
      </c>
      <c r="K233" s="269">
        <v>1251.76</v>
      </c>
      <c r="L233" s="170">
        <f t="shared" si="8"/>
        <v>7.0676487505592123</v>
      </c>
      <c r="M233" s="377">
        <v>2.6074356719192662</v>
      </c>
      <c r="N233" s="166">
        <v>0</v>
      </c>
      <c r="O233" s="397">
        <v>0</v>
      </c>
      <c r="P233" s="269">
        <v>2138</v>
      </c>
      <c r="Q233" s="15">
        <v>304</v>
      </c>
      <c r="R233" s="158">
        <v>0.14218896164639849</v>
      </c>
      <c r="S233" s="401">
        <v>1.0173413405476965</v>
      </c>
      <c r="T233" s="153">
        <v>718</v>
      </c>
      <c r="U233" s="197">
        <v>856661.30579138245</v>
      </c>
      <c r="V233" s="159">
        <v>0</v>
      </c>
      <c r="W233" s="159">
        <v>0</v>
      </c>
      <c r="X233" s="159">
        <v>257464.59</v>
      </c>
      <c r="Y233" s="159">
        <v>954783.83249015291</v>
      </c>
      <c r="Z233" s="159">
        <v>0</v>
      </c>
      <c r="AA233" s="155">
        <v>0</v>
      </c>
      <c r="AB233" s="159">
        <v>255071.86992065387</v>
      </c>
      <c r="AC233" s="159">
        <v>527248.94000000006</v>
      </c>
      <c r="AD233" s="174">
        <f>SUM(Muut[[#This Row],[Työttömyysaste]:[Työttömät ja palveluissa olevat ]])</f>
        <v>2851230.5382021894</v>
      </c>
      <c r="AF233" s="62"/>
    </row>
    <row r="234" spans="1:32" s="45" customFormat="1">
      <c r="A234" s="90">
        <v>732</v>
      </c>
      <c r="B234" s="151" t="s">
        <v>234</v>
      </c>
      <c r="C234" s="395">
        <v>3344</v>
      </c>
      <c r="D234" s="134">
        <v>181.58333333333334</v>
      </c>
      <c r="E234" s="41">
        <v>1370</v>
      </c>
      <c r="F234" s="332">
        <f t="shared" si="7"/>
        <v>0.1325425790754258</v>
      </c>
      <c r="G234" s="377">
        <f>Muut[[#This Row],[Keskim. työttömyysaste 2023, %]]/$F$12</f>
        <v>1.3488712815185615</v>
      </c>
      <c r="H234" s="166">
        <v>0</v>
      </c>
      <c r="I234" s="383">
        <v>11</v>
      </c>
      <c r="J234" s="389">
        <v>121</v>
      </c>
      <c r="K234" s="269">
        <v>5729.77</v>
      </c>
      <c r="L234" s="170">
        <f t="shared" si="8"/>
        <v>0.58361853966215049</v>
      </c>
      <c r="M234" s="377">
        <v>31.576172133722334</v>
      </c>
      <c r="N234" s="166">
        <v>0</v>
      </c>
      <c r="O234" s="397">
        <v>0</v>
      </c>
      <c r="P234" s="269">
        <v>744</v>
      </c>
      <c r="Q234" s="15">
        <v>108</v>
      </c>
      <c r="R234" s="158">
        <v>0.14516129032258066</v>
      </c>
      <c r="S234" s="401">
        <v>1.0386079199288403</v>
      </c>
      <c r="T234" s="153">
        <v>236</v>
      </c>
      <c r="U234" s="197">
        <v>311413.58903508278</v>
      </c>
      <c r="V234" s="159">
        <v>0</v>
      </c>
      <c r="W234" s="159">
        <v>0</v>
      </c>
      <c r="X234" s="159">
        <v>220944.79</v>
      </c>
      <c r="Y234" s="159">
        <v>2768163.2</v>
      </c>
      <c r="Z234" s="159">
        <v>0</v>
      </c>
      <c r="AA234" s="155">
        <v>0</v>
      </c>
      <c r="AB234" s="159">
        <v>98427.792419419464</v>
      </c>
      <c r="AC234" s="159">
        <v>173301.88</v>
      </c>
      <c r="AD234" s="174">
        <f>SUM(Muut[[#This Row],[Työttömyysaste]:[Työttömät ja palveluissa olevat ]])</f>
        <v>3572251.2514545023</v>
      </c>
      <c r="AF234" s="62"/>
    </row>
    <row r="235" spans="1:32" s="45" customFormat="1">
      <c r="A235" s="90">
        <v>734</v>
      </c>
      <c r="B235" s="151" t="s">
        <v>235</v>
      </c>
      <c r="C235" s="395">
        <v>51100</v>
      </c>
      <c r="D235" s="134">
        <v>2114.8333333333335</v>
      </c>
      <c r="E235" s="41">
        <v>23238</v>
      </c>
      <c r="F235" s="332">
        <f t="shared" si="7"/>
        <v>9.1007545112889818E-2</v>
      </c>
      <c r="G235" s="377">
        <f>Muut[[#This Row],[Keskim. työttömyysaste 2023, %]]/$F$12</f>
        <v>0.92617379909609721</v>
      </c>
      <c r="H235" s="166">
        <v>0</v>
      </c>
      <c r="I235" s="383">
        <v>588</v>
      </c>
      <c r="J235" s="389">
        <v>4273</v>
      </c>
      <c r="K235" s="269">
        <v>1989.77</v>
      </c>
      <c r="L235" s="170">
        <f t="shared" si="8"/>
        <v>25.6813601572041</v>
      </c>
      <c r="M235" s="377">
        <v>0.71758035228652794</v>
      </c>
      <c r="N235" s="166">
        <v>3</v>
      </c>
      <c r="O235" s="397">
        <v>578</v>
      </c>
      <c r="P235" s="269">
        <v>15075</v>
      </c>
      <c r="Q235" s="15">
        <v>2272</v>
      </c>
      <c r="R235" s="158">
        <v>0.15071310116086237</v>
      </c>
      <c r="S235" s="401">
        <v>1.0783303190186559</v>
      </c>
      <c r="T235" s="153">
        <v>3432</v>
      </c>
      <c r="U235" s="197">
        <v>3267489.2974782828</v>
      </c>
      <c r="V235" s="159">
        <v>0</v>
      </c>
      <c r="W235" s="159">
        <v>0</v>
      </c>
      <c r="X235" s="159">
        <v>7802455.2700000005</v>
      </c>
      <c r="Y235" s="159">
        <v>1517703.254916223</v>
      </c>
      <c r="Z235" s="159">
        <v>0</v>
      </c>
      <c r="AA235" s="155">
        <v>170533.12000000002</v>
      </c>
      <c r="AB235" s="159">
        <v>1561609.9314145232</v>
      </c>
      <c r="AC235" s="159">
        <v>2520220.56</v>
      </c>
      <c r="AD235" s="174">
        <f>SUM(Muut[[#This Row],[Työttömyysaste]:[Työttömät ja palveluissa olevat ]])</f>
        <v>16840011.433809027</v>
      </c>
      <c r="AF235" s="62"/>
    </row>
    <row r="236" spans="1:32" s="45" customFormat="1">
      <c r="A236" s="90">
        <v>738</v>
      </c>
      <c r="B236" s="151" t="s">
        <v>236</v>
      </c>
      <c r="C236" s="395">
        <v>2974</v>
      </c>
      <c r="D236" s="134">
        <v>64.583333333333329</v>
      </c>
      <c r="E236" s="41">
        <v>1322</v>
      </c>
      <c r="F236" s="332">
        <f t="shared" si="7"/>
        <v>4.8852748361069086E-2</v>
      </c>
      <c r="G236" s="377">
        <f>Muut[[#This Row],[Keskim. työttömyysaste 2023, %]]/$F$12</f>
        <v>0.4971690587822325</v>
      </c>
      <c r="H236" s="166">
        <v>0</v>
      </c>
      <c r="I236" s="383">
        <v>73</v>
      </c>
      <c r="J236" s="389">
        <v>203</v>
      </c>
      <c r="K236" s="269">
        <v>252.78</v>
      </c>
      <c r="L236" s="170">
        <f t="shared" si="8"/>
        <v>11.765171295197405</v>
      </c>
      <c r="M236" s="377">
        <v>1.566355389685341</v>
      </c>
      <c r="N236" s="166">
        <v>0</v>
      </c>
      <c r="O236" s="397">
        <v>0</v>
      </c>
      <c r="P236" s="269">
        <v>907</v>
      </c>
      <c r="Q236" s="15">
        <v>124</v>
      </c>
      <c r="R236" s="158">
        <v>0.13671444321940462</v>
      </c>
      <c r="S236" s="401">
        <v>0.97817195741919927</v>
      </c>
      <c r="T236" s="153">
        <v>126</v>
      </c>
      <c r="U236" s="197">
        <v>102081.21710769956</v>
      </c>
      <c r="V236" s="159">
        <v>0</v>
      </c>
      <c r="W236" s="159">
        <v>0</v>
      </c>
      <c r="X236" s="159">
        <v>370675.97000000003</v>
      </c>
      <c r="Y236" s="159">
        <v>192808.73104817283</v>
      </c>
      <c r="Z236" s="159">
        <v>0</v>
      </c>
      <c r="AA236" s="155">
        <v>0</v>
      </c>
      <c r="AB236" s="159">
        <v>82443.423594675551</v>
      </c>
      <c r="AC236" s="159">
        <v>92525.58</v>
      </c>
      <c r="AD236" s="174">
        <f>SUM(Muut[[#This Row],[Työttömyysaste]:[Työttömät ja palveluissa olevat ]])</f>
        <v>840534.92175054795</v>
      </c>
      <c r="AF236" s="62"/>
    </row>
    <row r="237" spans="1:32" s="45" customFormat="1">
      <c r="A237" s="90">
        <v>739</v>
      </c>
      <c r="B237" s="151" t="s">
        <v>237</v>
      </c>
      <c r="C237" s="395">
        <v>3216</v>
      </c>
      <c r="D237" s="134">
        <v>128.58333333333334</v>
      </c>
      <c r="E237" s="41">
        <v>1276</v>
      </c>
      <c r="F237" s="332">
        <f t="shared" si="7"/>
        <v>0.10077063740856845</v>
      </c>
      <c r="G237" s="377">
        <f>Muut[[#This Row],[Keskim. työttömyysaste 2023, %]]/$F$12</f>
        <v>1.0255317179499464</v>
      </c>
      <c r="H237" s="166">
        <v>0</v>
      </c>
      <c r="I237" s="383">
        <v>12</v>
      </c>
      <c r="J237" s="389">
        <v>83</v>
      </c>
      <c r="K237" s="269">
        <v>539.07000000000005</v>
      </c>
      <c r="L237" s="170">
        <f t="shared" si="8"/>
        <v>5.9658300406255211</v>
      </c>
      <c r="M237" s="377">
        <v>3.0889984031243851</v>
      </c>
      <c r="N237" s="166">
        <v>0</v>
      </c>
      <c r="O237" s="397">
        <v>0</v>
      </c>
      <c r="P237" s="269">
        <v>749</v>
      </c>
      <c r="Q237" s="15">
        <v>111</v>
      </c>
      <c r="R237" s="158">
        <v>0.14819759679572764</v>
      </c>
      <c r="S237" s="401">
        <v>1.060332251142305</v>
      </c>
      <c r="T237" s="153">
        <v>164</v>
      </c>
      <c r="U237" s="197">
        <v>227701.51474016203</v>
      </c>
      <c r="V237" s="159">
        <v>0</v>
      </c>
      <c r="W237" s="159">
        <v>0</v>
      </c>
      <c r="X237" s="159">
        <v>151557.17000000001</v>
      </c>
      <c r="Y237" s="159">
        <v>411177.31879950367</v>
      </c>
      <c r="Z237" s="159">
        <v>0</v>
      </c>
      <c r="AA237" s="155">
        <v>0</v>
      </c>
      <c r="AB237" s="159">
        <v>96640.208247551316</v>
      </c>
      <c r="AC237" s="159">
        <v>120430.12000000001</v>
      </c>
      <c r="AD237" s="174">
        <f>SUM(Muut[[#This Row],[Työttömyysaste]:[Työttömät ja palveluissa olevat ]])</f>
        <v>1007506.3317872171</v>
      </c>
      <c r="AF237" s="62"/>
    </row>
    <row r="238" spans="1:32" s="45" customFormat="1">
      <c r="A238" s="90">
        <v>740</v>
      </c>
      <c r="B238" s="151" t="s">
        <v>238</v>
      </c>
      <c r="C238" s="395">
        <v>31843</v>
      </c>
      <c r="D238" s="134">
        <v>1548.75</v>
      </c>
      <c r="E238" s="41">
        <v>13636</v>
      </c>
      <c r="F238" s="332">
        <f t="shared" si="7"/>
        <v>0.11357802874743327</v>
      </c>
      <c r="G238" s="377">
        <f>Muut[[#This Row],[Keskim. työttömyysaste 2023, %]]/$F$12</f>
        <v>1.1558711340732237</v>
      </c>
      <c r="H238" s="166">
        <v>0</v>
      </c>
      <c r="I238" s="383">
        <v>42</v>
      </c>
      <c r="J238" s="389">
        <v>1541</v>
      </c>
      <c r="K238" s="269">
        <v>2237.9</v>
      </c>
      <c r="L238" s="170">
        <f t="shared" si="8"/>
        <v>14.228964654363466</v>
      </c>
      <c r="M238" s="377">
        <v>1.2951356557873268</v>
      </c>
      <c r="N238" s="166">
        <v>3</v>
      </c>
      <c r="O238" s="397">
        <v>4599</v>
      </c>
      <c r="P238" s="269">
        <v>8047</v>
      </c>
      <c r="Q238" s="15">
        <v>983</v>
      </c>
      <c r="R238" s="158">
        <v>0.12215732571144526</v>
      </c>
      <c r="S238" s="401">
        <v>0.87401789884405645</v>
      </c>
      <c r="T238" s="153">
        <v>2330</v>
      </c>
      <c r="U238" s="197">
        <v>2541114.1682191547</v>
      </c>
      <c r="V238" s="159">
        <v>0</v>
      </c>
      <c r="W238" s="159">
        <v>0</v>
      </c>
      <c r="X238" s="159">
        <v>2813850.59</v>
      </c>
      <c r="Y238" s="159">
        <v>1706965.1840046919</v>
      </c>
      <c r="Z238" s="159">
        <v>0</v>
      </c>
      <c r="AA238" s="155">
        <v>1356888.9600000002</v>
      </c>
      <c r="AB238" s="159">
        <v>788740.51434493915</v>
      </c>
      <c r="AC238" s="159">
        <v>1710988.9000000001</v>
      </c>
      <c r="AD238" s="174">
        <f>SUM(Muut[[#This Row],[Työttömyysaste]:[Työttömät ja palveluissa olevat ]])</f>
        <v>10918548.316568788</v>
      </c>
      <c r="AF238" s="62"/>
    </row>
    <row r="239" spans="1:32" s="45" customFormat="1">
      <c r="A239" s="90">
        <v>742</v>
      </c>
      <c r="B239" s="151" t="s">
        <v>239</v>
      </c>
      <c r="C239" s="395">
        <v>978</v>
      </c>
      <c r="D239" s="134">
        <v>61.083333333333336</v>
      </c>
      <c r="E239" s="41">
        <v>458</v>
      </c>
      <c r="F239" s="332">
        <f t="shared" si="7"/>
        <v>0.13336972343522563</v>
      </c>
      <c r="G239" s="377">
        <f>Muut[[#This Row],[Keskim. työttömyysaste 2023, %]]/$F$12</f>
        <v>1.3572890388942433</v>
      </c>
      <c r="H239" s="166">
        <v>0</v>
      </c>
      <c r="I239" s="383">
        <v>4</v>
      </c>
      <c r="J239" s="389">
        <v>20</v>
      </c>
      <c r="K239" s="269">
        <v>6440.08</v>
      </c>
      <c r="L239" s="170">
        <f t="shared" si="8"/>
        <v>0.15186146755940921</v>
      </c>
      <c r="M239" s="377">
        <v>121.35033175281539</v>
      </c>
      <c r="N239" s="166">
        <v>0</v>
      </c>
      <c r="O239" s="397">
        <v>0</v>
      </c>
      <c r="P239" s="269">
        <v>227</v>
      </c>
      <c r="Q239" s="15">
        <v>29</v>
      </c>
      <c r="R239" s="158">
        <v>0.1277533039647577</v>
      </c>
      <c r="S239" s="401">
        <v>0.91405630936468651</v>
      </c>
      <c r="T239" s="153">
        <v>88</v>
      </c>
      <c r="U239" s="197">
        <v>91645.676069862908</v>
      </c>
      <c r="V239" s="159">
        <v>0</v>
      </c>
      <c r="W239" s="159">
        <v>0</v>
      </c>
      <c r="X239" s="159">
        <v>36519.800000000003</v>
      </c>
      <c r="Y239" s="159">
        <v>809588.4</v>
      </c>
      <c r="Z239" s="159">
        <v>0</v>
      </c>
      <c r="AA239" s="155">
        <v>0</v>
      </c>
      <c r="AB239" s="159">
        <v>25334.45997963252</v>
      </c>
      <c r="AC239" s="159">
        <v>64621.04</v>
      </c>
      <c r="AD239" s="174">
        <f>SUM(Muut[[#This Row],[Työttömyysaste]:[Työttömät ja palveluissa olevat ]])</f>
        <v>1027709.3760494955</v>
      </c>
      <c r="AF239" s="62"/>
    </row>
    <row r="240" spans="1:32" s="45" customFormat="1">
      <c r="A240" s="90">
        <v>743</v>
      </c>
      <c r="B240" s="151" t="s">
        <v>240</v>
      </c>
      <c r="C240" s="395">
        <v>66160</v>
      </c>
      <c r="D240" s="134">
        <v>2270.5</v>
      </c>
      <c r="E240" s="41">
        <v>31684</v>
      </c>
      <c r="F240" s="332">
        <f t="shared" si="7"/>
        <v>7.166077515465219E-2</v>
      </c>
      <c r="G240" s="377">
        <f>Muut[[#This Row],[Keskim. työttömyysaste 2023, %]]/$F$12</f>
        <v>0.72928384442000627</v>
      </c>
      <c r="H240" s="166">
        <v>0</v>
      </c>
      <c r="I240" s="383">
        <v>152</v>
      </c>
      <c r="J240" s="389">
        <v>2981</v>
      </c>
      <c r="K240" s="269">
        <v>1431.59</v>
      </c>
      <c r="L240" s="170">
        <f t="shared" si="8"/>
        <v>46.214349080393134</v>
      </c>
      <c r="M240" s="377">
        <v>0.39876012181294912</v>
      </c>
      <c r="N240" s="166">
        <v>0</v>
      </c>
      <c r="O240" s="397">
        <v>0</v>
      </c>
      <c r="P240" s="269">
        <v>20577</v>
      </c>
      <c r="Q240" s="15">
        <v>1755</v>
      </c>
      <c r="R240" s="158">
        <v>8.5289400787286779E-2</v>
      </c>
      <c r="S240" s="401">
        <v>0.61023325810077655</v>
      </c>
      <c r="T240" s="153">
        <v>3533</v>
      </c>
      <c r="U240" s="197">
        <v>3331139.897896979</v>
      </c>
      <c r="V240" s="159">
        <v>0</v>
      </c>
      <c r="W240" s="159">
        <v>0</v>
      </c>
      <c r="X240" s="159">
        <v>5443276.1900000004</v>
      </c>
      <c r="Y240" s="159">
        <v>1091949.7241919998</v>
      </c>
      <c r="Z240" s="159">
        <v>0</v>
      </c>
      <c r="AA240" s="155">
        <v>0</v>
      </c>
      <c r="AB240" s="159">
        <v>1144171.7369675487</v>
      </c>
      <c r="AC240" s="159">
        <v>2594387.89</v>
      </c>
      <c r="AD240" s="174">
        <f>SUM(Muut[[#This Row],[Työttömyysaste]:[Työttömät ja palveluissa olevat ]])</f>
        <v>13604925.439056529</v>
      </c>
      <c r="AF240" s="62"/>
    </row>
    <row r="241" spans="1:32" s="45" customFormat="1">
      <c r="A241" s="90">
        <v>746</v>
      </c>
      <c r="B241" s="151" t="s">
        <v>241</v>
      </c>
      <c r="C241" s="395">
        <v>4713</v>
      </c>
      <c r="D241" s="134">
        <v>172.5</v>
      </c>
      <c r="E241" s="41">
        <v>1932</v>
      </c>
      <c r="F241" s="332">
        <f t="shared" si="7"/>
        <v>8.9285714285714288E-2</v>
      </c>
      <c r="G241" s="377">
        <f>Muut[[#This Row],[Keskim. työttömyysaste 2023, %]]/$F$12</f>
        <v>0.90865091572826462</v>
      </c>
      <c r="H241" s="166">
        <v>0</v>
      </c>
      <c r="I241" s="383">
        <v>10</v>
      </c>
      <c r="J241" s="389">
        <v>167</v>
      </c>
      <c r="K241" s="269">
        <v>786.41</v>
      </c>
      <c r="L241" s="170">
        <f t="shared" si="8"/>
        <v>5.9930570567515673</v>
      </c>
      <c r="M241" s="377">
        <v>3.0749647958119954</v>
      </c>
      <c r="N241" s="166">
        <v>0</v>
      </c>
      <c r="O241" s="397">
        <v>0</v>
      </c>
      <c r="P241" s="269">
        <v>1278</v>
      </c>
      <c r="Q241" s="15">
        <v>183</v>
      </c>
      <c r="R241" s="158">
        <v>0.14319248826291081</v>
      </c>
      <c r="S241" s="401">
        <v>1.0245214275354393</v>
      </c>
      <c r="T241" s="153">
        <v>225</v>
      </c>
      <c r="U241" s="197">
        <v>295661.85071271763</v>
      </c>
      <c r="V241" s="159">
        <v>0</v>
      </c>
      <c r="W241" s="159">
        <v>0</v>
      </c>
      <c r="X241" s="159">
        <v>304940.33</v>
      </c>
      <c r="Y241" s="159">
        <v>599836.67293137743</v>
      </c>
      <c r="Z241" s="159">
        <v>0</v>
      </c>
      <c r="AA241" s="155">
        <v>0</v>
      </c>
      <c r="AB241" s="159">
        <v>136841.65928919805</v>
      </c>
      <c r="AC241" s="159">
        <v>165224.25</v>
      </c>
      <c r="AD241" s="174">
        <f>SUM(Muut[[#This Row],[Työttömyysaste]:[Työttömät ja palveluissa olevat ]])</f>
        <v>1502504.7629332929</v>
      </c>
      <c r="AF241" s="62"/>
    </row>
    <row r="242" spans="1:32" s="45" customFormat="1">
      <c r="A242" s="90">
        <v>747</v>
      </c>
      <c r="B242" s="151" t="s">
        <v>242</v>
      </c>
      <c r="C242" s="395">
        <v>1283</v>
      </c>
      <c r="D242" s="134">
        <v>55</v>
      </c>
      <c r="E242" s="41">
        <v>517</v>
      </c>
      <c r="F242" s="332">
        <f t="shared" si="7"/>
        <v>0.10638297872340426</v>
      </c>
      <c r="G242" s="377">
        <f>Muut[[#This Row],[Keskim. työttömyysaste 2023, %]]/$F$12</f>
        <v>1.0826478995911237</v>
      </c>
      <c r="H242" s="166">
        <v>0</v>
      </c>
      <c r="I242" s="383">
        <v>2</v>
      </c>
      <c r="J242" s="389">
        <v>18</v>
      </c>
      <c r="K242" s="269">
        <v>463.32</v>
      </c>
      <c r="L242" s="170">
        <f t="shared" si="8"/>
        <v>2.7691444358111026</v>
      </c>
      <c r="M242" s="377">
        <v>6.6549217261778173</v>
      </c>
      <c r="N242" s="166">
        <v>0</v>
      </c>
      <c r="O242" s="397">
        <v>0</v>
      </c>
      <c r="P242" s="269">
        <v>281</v>
      </c>
      <c r="Q242" s="15">
        <v>40</v>
      </c>
      <c r="R242" s="158">
        <v>0.14234875444839859</v>
      </c>
      <c r="S242" s="401">
        <v>1.018484634805664</v>
      </c>
      <c r="T242" s="153">
        <v>87</v>
      </c>
      <c r="U242" s="197">
        <v>95899.132097310459</v>
      </c>
      <c r="V242" s="159">
        <v>0</v>
      </c>
      <c r="W242" s="159">
        <v>0</v>
      </c>
      <c r="X242" s="159">
        <v>32867.82</v>
      </c>
      <c r="Y242" s="159">
        <v>353398.77074625931</v>
      </c>
      <c r="Z242" s="159">
        <v>0</v>
      </c>
      <c r="AA242" s="155">
        <v>0</v>
      </c>
      <c r="AB242" s="159">
        <v>37032.3253881536</v>
      </c>
      <c r="AC242" s="159">
        <v>63886.710000000006</v>
      </c>
      <c r="AD242" s="174">
        <f>SUM(Muut[[#This Row],[Työttömyysaste]:[Työttömät ja palveluissa olevat ]])</f>
        <v>583084.75823172333</v>
      </c>
      <c r="AF242" s="62"/>
    </row>
    <row r="243" spans="1:32" s="45" customFormat="1">
      <c r="A243" s="90">
        <v>748</v>
      </c>
      <c r="B243" s="151" t="s">
        <v>243</v>
      </c>
      <c r="C243" s="395">
        <v>4837</v>
      </c>
      <c r="D243" s="134">
        <v>182.41666666666666</v>
      </c>
      <c r="E243" s="41">
        <v>2003</v>
      </c>
      <c r="F243" s="332">
        <f t="shared" si="7"/>
        <v>9.1071725744716253E-2</v>
      </c>
      <c r="G243" s="377">
        <f>Muut[[#This Row],[Keskim. työttömyysaste 2023, %]]/$F$12</f>
        <v>0.92682695834276563</v>
      </c>
      <c r="H243" s="166">
        <v>0</v>
      </c>
      <c r="I243" s="383">
        <v>2</v>
      </c>
      <c r="J243" s="389">
        <v>83</v>
      </c>
      <c r="K243" s="269">
        <v>1055.47</v>
      </c>
      <c r="L243" s="170">
        <f t="shared" si="8"/>
        <v>4.582792500023686</v>
      </c>
      <c r="M243" s="377">
        <v>4.0212249340786155</v>
      </c>
      <c r="N243" s="166">
        <v>0</v>
      </c>
      <c r="O243" s="397">
        <v>0</v>
      </c>
      <c r="P243" s="269">
        <v>1271</v>
      </c>
      <c r="Q243" s="15">
        <v>178</v>
      </c>
      <c r="R243" s="158">
        <v>0.14004720692368214</v>
      </c>
      <c r="S243" s="401">
        <v>1.0020173970045179</v>
      </c>
      <c r="T243" s="153">
        <v>258</v>
      </c>
      <c r="U243" s="197">
        <v>309510.60030767333</v>
      </c>
      <c r="V243" s="159">
        <v>0</v>
      </c>
      <c r="W243" s="159">
        <v>0</v>
      </c>
      <c r="X243" s="159">
        <v>151557.17000000001</v>
      </c>
      <c r="Y243" s="159">
        <v>805063.02460406278</v>
      </c>
      <c r="Z243" s="159">
        <v>0</v>
      </c>
      <c r="AA243" s="155">
        <v>0</v>
      </c>
      <c r="AB243" s="159">
        <v>137357.12595146956</v>
      </c>
      <c r="AC243" s="159">
        <v>189457.14</v>
      </c>
      <c r="AD243" s="174">
        <f>SUM(Muut[[#This Row],[Työttömyysaste]:[Työttömät ja palveluissa olevat ]])</f>
        <v>1592945.0608632057</v>
      </c>
      <c r="AF243" s="62"/>
    </row>
    <row r="244" spans="1:32" s="45" customFormat="1">
      <c r="A244" s="90">
        <v>749</v>
      </c>
      <c r="B244" s="151" t="s">
        <v>244</v>
      </c>
      <c r="C244" s="395">
        <v>21290</v>
      </c>
      <c r="D244" s="134">
        <v>746.91666666666663</v>
      </c>
      <c r="E244" s="41">
        <v>9914</v>
      </c>
      <c r="F244" s="332">
        <f t="shared" si="7"/>
        <v>7.5339587115863083E-2</v>
      </c>
      <c r="G244" s="377">
        <f>Muut[[#This Row],[Keskim. työttömyysaste 2023, %]]/$F$12</f>
        <v>0.76672271002228554</v>
      </c>
      <c r="H244" s="166">
        <v>0</v>
      </c>
      <c r="I244" s="383">
        <v>18</v>
      </c>
      <c r="J244" s="389">
        <v>483</v>
      </c>
      <c r="K244" s="269">
        <v>401</v>
      </c>
      <c r="L244" s="170">
        <f t="shared" si="8"/>
        <v>53.092269326683294</v>
      </c>
      <c r="M244" s="377">
        <v>0.34710212433021564</v>
      </c>
      <c r="N244" s="166">
        <v>0</v>
      </c>
      <c r="O244" s="397">
        <v>0</v>
      </c>
      <c r="P244" s="269">
        <v>6845</v>
      </c>
      <c r="Q244" s="15">
        <v>467</v>
      </c>
      <c r="R244" s="158">
        <v>6.8224981738495255E-2</v>
      </c>
      <c r="S244" s="401">
        <v>0.48813982166414482</v>
      </c>
      <c r="T244" s="153">
        <v>982</v>
      </c>
      <c r="U244" s="197">
        <v>1126976.2693096928</v>
      </c>
      <c r="V244" s="159">
        <v>0</v>
      </c>
      <c r="W244" s="159">
        <v>0</v>
      </c>
      <c r="X244" s="159">
        <v>881953.17</v>
      </c>
      <c r="Y244" s="159">
        <v>305863.99695512815</v>
      </c>
      <c r="Z244" s="159">
        <v>0</v>
      </c>
      <c r="AA244" s="155">
        <v>0</v>
      </c>
      <c r="AB244" s="159">
        <v>294523.3594035281</v>
      </c>
      <c r="AC244" s="159">
        <v>721112.06</v>
      </c>
      <c r="AD244" s="174">
        <f>SUM(Muut[[#This Row],[Työttömyysaste]:[Työttömät ja palveluissa olevat ]])</f>
        <v>3330428.8556683497</v>
      </c>
      <c r="AF244" s="62"/>
    </row>
    <row r="245" spans="1:32" s="45" customFormat="1">
      <c r="A245" s="90">
        <v>751</v>
      </c>
      <c r="B245" s="151" t="s">
        <v>245</v>
      </c>
      <c r="C245" s="395">
        <v>2828</v>
      </c>
      <c r="D245" s="134">
        <v>127.25</v>
      </c>
      <c r="E245" s="41">
        <v>1146</v>
      </c>
      <c r="F245" s="332">
        <f t="shared" si="7"/>
        <v>0.11103839441535776</v>
      </c>
      <c r="G245" s="377">
        <f>Muut[[#This Row],[Keskim. työttömyysaste 2023, %]]/$F$12</f>
        <v>1.1300255541849238</v>
      </c>
      <c r="H245" s="166">
        <v>0</v>
      </c>
      <c r="I245" s="383">
        <v>5</v>
      </c>
      <c r="J245" s="389">
        <v>27</v>
      </c>
      <c r="K245" s="269">
        <v>1446.29</v>
      </c>
      <c r="L245" s="170">
        <f t="shared" si="8"/>
        <v>1.9553478209764295</v>
      </c>
      <c r="M245" s="377">
        <v>9.4246349785488448</v>
      </c>
      <c r="N245" s="166">
        <v>0</v>
      </c>
      <c r="O245" s="397">
        <v>0</v>
      </c>
      <c r="P245" s="269">
        <v>697</v>
      </c>
      <c r="Q245" s="15">
        <v>68</v>
      </c>
      <c r="R245" s="158">
        <v>9.7560975609756101E-2</v>
      </c>
      <c r="S245" s="401">
        <v>0.69803459117168665</v>
      </c>
      <c r="T245" s="153">
        <v>181</v>
      </c>
      <c r="U245" s="197">
        <v>220631.974929902</v>
      </c>
      <c r="V245" s="159">
        <v>0</v>
      </c>
      <c r="W245" s="159">
        <v>0</v>
      </c>
      <c r="X245" s="159">
        <v>49301.73</v>
      </c>
      <c r="Y245" s="159">
        <v>1103162.1949033225</v>
      </c>
      <c r="Z245" s="159">
        <v>0</v>
      </c>
      <c r="AA245" s="155">
        <v>0</v>
      </c>
      <c r="AB245" s="159">
        <v>55944.345287442236</v>
      </c>
      <c r="AC245" s="159">
        <v>132913.73000000001</v>
      </c>
      <c r="AD245" s="174">
        <f>SUM(Muut[[#This Row],[Työttömyysaste]:[Työttömät ja palveluissa olevat ]])</f>
        <v>1561953.9751206667</v>
      </c>
      <c r="AF245" s="62"/>
    </row>
    <row r="246" spans="1:32" s="45" customFormat="1">
      <c r="A246" s="90">
        <v>753</v>
      </c>
      <c r="B246" s="151" t="s">
        <v>246</v>
      </c>
      <c r="C246" s="395">
        <v>22595</v>
      </c>
      <c r="D246" s="134">
        <v>730.16666666666663</v>
      </c>
      <c r="E246" s="41">
        <v>11691</v>
      </c>
      <c r="F246" s="332">
        <f t="shared" si="7"/>
        <v>6.245545006130071E-2</v>
      </c>
      <c r="G246" s="377">
        <f>Muut[[#This Row],[Keskim. työttömyysaste 2023, %]]/$F$12</f>
        <v>0.635602261172724</v>
      </c>
      <c r="H246" s="166">
        <v>1</v>
      </c>
      <c r="I246" s="383">
        <v>6348</v>
      </c>
      <c r="J246" s="389">
        <v>1600</v>
      </c>
      <c r="K246" s="269">
        <v>339.65</v>
      </c>
      <c r="L246" s="170">
        <f t="shared" si="8"/>
        <v>66.524363315177396</v>
      </c>
      <c r="M246" s="377">
        <v>0.27701790066736814</v>
      </c>
      <c r="N246" s="166">
        <v>3</v>
      </c>
      <c r="O246" s="397">
        <v>188</v>
      </c>
      <c r="P246" s="269">
        <v>7740</v>
      </c>
      <c r="Q246" s="15">
        <v>952</v>
      </c>
      <c r="R246" s="158">
        <v>0.12299741602067184</v>
      </c>
      <c r="S246" s="401">
        <v>0.8800286228234262</v>
      </c>
      <c r="T246" s="153">
        <v>949</v>
      </c>
      <c r="U246" s="197">
        <v>991513.34061628929</v>
      </c>
      <c r="V246" s="159">
        <v>463486.71600000007</v>
      </c>
      <c r="W246" s="159">
        <v>1730002.6656000004</v>
      </c>
      <c r="X246" s="159">
        <v>2921584</v>
      </c>
      <c r="Y246" s="159">
        <v>259069.0936803224</v>
      </c>
      <c r="Z246" s="159">
        <v>0</v>
      </c>
      <c r="AA246" s="155">
        <v>55467.520000000004</v>
      </c>
      <c r="AB246" s="159">
        <v>563519.55240458529</v>
      </c>
      <c r="AC246" s="159">
        <v>696879.17</v>
      </c>
      <c r="AD246" s="174">
        <f>SUM(Muut[[#This Row],[Työttömyysaste]:[Työttömät ja palveluissa olevat ]])</f>
        <v>7681522.0583011964</v>
      </c>
      <c r="AF246" s="62"/>
    </row>
    <row r="247" spans="1:32" s="45" customFormat="1">
      <c r="A247" s="90">
        <v>755</v>
      </c>
      <c r="B247" s="151" t="s">
        <v>247</v>
      </c>
      <c r="C247" s="395">
        <v>6158</v>
      </c>
      <c r="D247" s="134">
        <v>169.66666666666666</v>
      </c>
      <c r="E247" s="41">
        <v>3164</v>
      </c>
      <c r="F247" s="332">
        <f t="shared" si="7"/>
        <v>5.3624104509060258E-2</v>
      </c>
      <c r="G247" s="377">
        <f>Muut[[#This Row],[Keskim. työttömyysaste 2023, %]]/$F$12</f>
        <v>0.54572662667337657</v>
      </c>
      <c r="H247" s="166">
        <v>1</v>
      </c>
      <c r="I247" s="383">
        <v>1618</v>
      </c>
      <c r="J247" s="389">
        <v>493</v>
      </c>
      <c r="K247" s="269">
        <v>241.54</v>
      </c>
      <c r="L247" s="170">
        <f t="shared" si="8"/>
        <v>25.49474207170655</v>
      </c>
      <c r="M247" s="377">
        <v>0.72283294402319753</v>
      </c>
      <c r="N247" s="166">
        <v>0</v>
      </c>
      <c r="O247" s="397">
        <v>0</v>
      </c>
      <c r="P247" s="269">
        <v>2101</v>
      </c>
      <c r="Q247" s="15">
        <v>352</v>
      </c>
      <c r="R247" s="158">
        <v>0.16753926701570682</v>
      </c>
      <c r="S247" s="401">
        <v>1.1987190885042578</v>
      </c>
      <c r="T247" s="153">
        <v>225</v>
      </c>
      <c r="U247" s="197">
        <v>232014.75850945333</v>
      </c>
      <c r="V247" s="159">
        <v>126317.82240000002</v>
      </c>
      <c r="W247" s="159">
        <v>440949.00960000011</v>
      </c>
      <c r="X247" s="159">
        <v>900213.07</v>
      </c>
      <c r="Y247" s="159">
        <v>184235.38609611386</v>
      </c>
      <c r="Z247" s="159">
        <v>0</v>
      </c>
      <c r="AA247" s="155">
        <v>0</v>
      </c>
      <c r="AB247" s="159">
        <v>209197.72224624129</v>
      </c>
      <c r="AC247" s="159">
        <v>165224.25</v>
      </c>
      <c r="AD247" s="174">
        <f>SUM(Muut[[#This Row],[Työttömyysaste]:[Työttömät ja palveluissa olevat ]])</f>
        <v>2258152.0188518083</v>
      </c>
      <c r="AF247" s="62"/>
    </row>
    <row r="248" spans="1:32" s="45" customFormat="1">
      <c r="A248" s="90">
        <v>758</v>
      </c>
      <c r="B248" s="151" t="s">
        <v>248</v>
      </c>
      <c r="C248" s="395">
        <v>8126</v>
      </c>
      <c r="D248" s="134">
        <v>238.83333333333334</v>
      </c>
      <c r="E248" s="41">
        <v>3837</v>
      </c>
      <c r="F248" s="332">
        <f t="shared" si="7"/>
        <v>6.224480931283121E-2</v>
      </c>
      <c r="G248" s="377">
        <f>Muut[[#This Row],[Keskim. työttömyysaste 2023, %]]/$F$12</f>
        <v>0.63345859339207522</v>
      </c>
      <c r="H248" s="166">
        <v>0</v>
      </c>
      <c r="I248" s="383">
        <v>13</v>
      </c>
      <c r="J248" s="389">
        <v>195</v>
      </c>
      <c r="K248" s="269">
        <v>11694.13</v>
      </c>
      <c r="L248" s="170">
        <f t="shared" si="8"/>
        <v>0.69487854162729512</v>
      </c>
      <c r="M248" s="377">
        <v>26.52037495019956</v>
      </c>
      <c r="N248" s="166">
        <v>0</v>
      </c>
      <c r="O248" s="397">
        <v>0</v>
      </c>
      <c r="P248" s="269">
        <v>2323</v>
      </c>
      <c r="Q248" s="15">
        <v>241</v>
      </c>
      <c r="R248" s="158">
        <v>0.1037451571244081</v>
      </c>
      <c r="S248" s="401">
        <v>0.74228151047863067</v>
      </c>
      <c r="T248" s="153">
        <v>394</v>
      </c>
      <c r="U248" s="197">
        <v>355382.33194457245</v>
      </c>
      <c r="V248" s="159">
        <v>0</v>
      </c>
      <c r="W248" s="159">
        <v>0</v>
      </c>
      <c r="X248" s="159">
        <v>356068.05</v>
      </c>
      <c r="Y248" s="159">
        <v>6726702.7999999998</v>
      </c>
      <c r="Z248" s="159">
        <v>0</v>
      </c>
      <c r="AA248" s="155">
        <v>0</v>
      </c>
      <c r="AB248" s="159">
        <v>170940.63256459264</v>
      </c>
      <c r="AC248" s="159">
        <v>289326.02</v>
      </c>
      <c r="AD248" s="174">
        <f>SUM(Muut[[#This Row],[Työttömyysaste]:[Työttömät ja palveluissa olevat ]])</f>
        <v>7898419.8345091641</v>
      </c>
      <c r="AF248" s="62"/>
    </row>
    <row r="249" spans="1:32" s="45" customFormat="1">
      <c r="A249" s="90">
        <v>759</v>
      </c>
      <c r="B249" s="151" t="s">
        <v>249</v>
      </c>
      <c r="C249" s="395">
        <v>1873</v>
      </c>
      <c r="D249" s="134">
        <v>50.333333333333336</v>
      </c>
      <c r="E249" s="41">
        <v>779</v>
      </c>
      <c r="F249" s="332">
        <f t="shared" si="7"/>
        <v>6.461275139067181E-2</v>
      </c>
      <c r="G249" s="377">
        <f>Muut[[#This Row],[Keskim. työttömyysaste 2023, %]]/$F$12</f>
        <v>0.65755688005119439</v>
      </c>
      <c r="H249" s="166">
        <v>0</v>
      </c>
      <c r="I249" s="383">
        <v>2</v>
      </c>
      <c r="J249" s="389">
        <v>26</v>
      </c>
      <c r="K249" s="269">
        <v>551.95000000000005</v>
      </c>
      <c r="L249" s="170">
        <f t="shared" si="8"/>
        <v>3.3934233173294679</v>
      </c>
      <c r="M249" s="377">
        <v>5.4306338306493407</v>
      </c>
      <c r="N249" s="166">
        <v>0</v>
      </c>
      <c r="O249" s="397">
        <v>0</v>
      </c>
      <c r="P249" s="269">
        <v>418</v>
      </c>
      <c r="Q249" s="15">
        <v>59</v>
      </c>
      <c r="R249" s="158">
        <v>0.14114832535885166</v>
      </c>
      <c r="S249" s="401">
        <v>1.0098957392609509</v>
      </c>
      <c r="T249" s="153">
        <v>85</v>
      </c>
      <c r="U249" s="197">
        <v>85029.942668629665</v>
      </c>
      <c r="V249" s="159">
        <v>0</v>
      </c>
      <c r="W249" s="159">
        <v>0</v>
      </c>
      <c r="X249" s="159">
        <v>47475.74</v>
      </c>
      <c r="Y249" s="159">
        <v>421001.57885132922</v>
      </c>
      <c r="Z249" s="159">
        <v>0</v>
      </c>
      <c r="AA249" s="155">
        <v>0</v>
      </c>
      <c r="AB249" s="159">
        <v>53606.093954477466</v>
      </c>
      <c r="AC249" s="159">
        <v>62418.05</v>
      </c>
      <c r="AD249" s="174">
        <f>SUM(Muut[[#This Row],[Työttömyysaste]:[Työttömät ja palveluissa olevat ]])</f>
        <v>669531.40547443635</v>
      </c>
      <c r="AF249" s="62"/>
    </row>
    <row r="250" spans="1:32" s="45" customFormat="1">
      <c r="A250" s="90">
        <v>761</v>
      </c>
      <c r="B250" s="151" t="s">
        <v>250</v>
      </c>
      <c r="C250" s="395">
        <v>8410</v>
      </c>
      <c r="D250" s="134">
        <v>287.33333333333331</v>
      </c>
      <c r="E250" s="41">
        <v>3535</v>
      </c>
      <c r="F250" s="332">
        <f t="shared" si="7"/>
        <v>8.1282413955681282E-2</v>
      </c>
      <c r="G250" s="377">
        <f>Muut[[#This Row],[Keskim. työttömyysaste 2023, %]]/$F$12</f>
        <v>0.82720220658245713</v>
      </c>
      <c r="H250" s="166">
        <v>0</v>
      </c>
      <c r="I250" s="383">
        <v>44</v>
      </c>
      <c r="J250" s="389">
        <v>456</v>
      </c>
      <c r="K250" s="269">
        <v>668.06</v>
      </c>
      <c r="L250" s="170">
        <f t="shared" si="8"/>
        <v>12.588689638655211</v>
      </c>
      <c r="M250" s="377">
        <v>1.4638886173042822</v>
      </c>
      <c r="N250" s="166">
        <v>0</v>
      </c>
      <c r="O250" s="397">
        <v>0</v>
      </c>
      <c r="P250" s="269">
        <v>2174</v>
      </c>
      <c r="Q250" s="15">
        <v>370</v>
      </c>
      <c r="R250" s="158">
        <v>0.17019319227230911</v>
      </c>
      <c r="S250" s="401">
        <v>1.217707537727057</v>
      </c>
      <c r="T250" s="153">
        <v>452</v>
      </c>
      <c r="U250" s="197">
        <v>480295.43928002845</v>
      </c>
      <c r="V250" s="159">
        <v>0</v>
      </c>
      <c r="W250" s="159">
        <v>0</v>
      </c>
      <c r="X250" s="159">
        <v>832651.44000000006</v>
      </c>
      <c r="Y250" s="159">
        <v>509564.84240858589</v>
      </c>
      <c r="Z250" s="159">
        <v>0</v>
      </c>
      <c r="AA250" s="155">
        <v>0</v>
      </c>
      <c r="AB250" s="159">
        <v>290227.68391734414</v>
      </c>
      <c r="AC250" s="159">
        <v>331917.16000000003</v>
      </c>
      <c r="AD250" s="174">
        <f>SUM(Muut[[#This Row],[Työttömyysaste]:[Työttömät ja palveluissa olevat ]])</f>
        <v>2444656.5656059585</v>
      </c>
      <c r="AF250" s="62"/>
    </row>
    <row r="251" spans="1:32" s="45" customFormat="1">
      <c r="A251" s="90">
        <v>762</v>
      </c>
      <c r="B251" s="151" t="s">
        <v>251</v>
      </c>
      <c r="C251" s="395">
        <v>3637</v>
      </c>
      <c r="D251" s="134">
        <v>157.33333333333334</v>
      </c>
      <c r="E251" s="41">
        <v>1494</v>
      </c>
      <c r="F251" s="332">
        <f t="shared" si="7"/>
        <v>0.10531012940651495</v>
      </c>
      <c r="G251" s="377">
        <f>Muut[[#This Row],[Keskim. työttömyysaste 2023, %]]/$F$12</f>
        <v>1.0717296298317487</v>
      </c>
      <c r="H251" s="166">
        <v>0</v>
      </c>
      <c r="I251" s="383">
        <v>3</v>
      </c>
      <c r="J251" s="389">
        <v>45</v>
      </c>
      <c r="K251" s="269">
        <v>1465.94</v>
      </c>
      <c r="L251" s="170">
        <f t="shared" si="8"/>
        <v>2.4810019509666152</v>
      </c>
      <c r="M251" s="377">
        <v>7.427821433846062</v>
      </c>
      <c r="N251" s="166">
        <v>0</v>
      </c>
      <c r="O251" s="397">
        <v>0</v>
      </c>
      <c r="P251" s="269">
        <v>853</v>
      </c>
      <c r="Q251" s="15">
        <v>119</v>
      </c>
      <c r="R251" s="158">
        <v>0.1395076201641266</v>
      </c>
      <c r="S251" s="401">
        <v>0.99815673221766088</v>
      </c>
      <c r="T251" s="153">
        <v>225</v>
      </c>
      <c r="U251" s="197">
        <v>269109.68102171482</v>
      </c>
      <c r="V251" s="159">
        <v>0</v>
      </c>
      <c r="W251" s="159">
        <v>0</v>
      </c>
      <c r="X251" s="159">
        <v>82169.55</v>
      </c>
      <c r="Y251" s="159">
        <v>1118150.2935072335</v>
      </c>
      <c r="Z251" s="159">
        <v>0</v>
      </c>
      <c r="AA251" s="155">
        <v>0</v>
      </c>
      <c r="AB251" s="159">
        <v>102882.58963404343</v>
      </c>
      <c r="AC251" s="159">
        <v>165224.25</v>
      </c>
      <c r="AD251" s="174">
        <f>SUM(Muut[[#This Row],[Työttömyysaste]:[Työttömät ja palveluissa olevat ]])</f>
        <v>1737536.3641629918</v>
      </c>
      <c r="AF251" s="62"/>
    </row>
    <row r="252" spans="1:32" s="45" customFormat="1">
      <c r="A252" s="90">
        <v>765</v>
      </c>
      <c r="B252" s="151" t="s">
        <v>252</v>
      </c>
      <c r="C252" s="395">
        <v>10274</v>
      </c>
      <c r="D252" s="134">
        <v>256.91666666666669</v>
      </c>
      <c r="E252" s="41">
        <v>4706</v>
      </c>
      <c r="F252" s="332">
        <f t="shared" si="7"/>
        <v>5.4593426830995898E-2</v>
      </c>
      <c r="G252" s="377">
        <f>Muut[[#This Row],[Keskim. työttömyysaste 2023, %]]/$F$12</f>
        <v>0.55559131356655844</v>
      </c>
      <c r="H252" s="166">
        <v>0</v>
      </c>
      <c r="I252" s="383">
        <v>18</v>
      </c>
      <c r="J252" s="389">
        <v>497</v>
      </c>
      <c r="K252" s="269">
        <v>2648.9</v>
      </c>
      <c r="L252" s="170">
        <f t="shared" si="8"/>
        <v>3.8785911132923099</v>
      </c>
      <c r="M252" s="377">
        <v>4.7513230785394374</v>
      </c>
      <c r="N252" s="166">
        <v>0</v>
      </c>
      <c r="O252" s="397">
        <v>0</v>
      </c>
      <c r="P252" s="269">
        <v>3024</v>
      </c>
      <c r="Q252" s="15">
        <v>331</v>
      </c>
      <c r="R252" s="158">
        <v>0.10945767195767196</v>
      </c>
      <c r="S252" s="401">
        <v>0.78315372327967592</v>
      </c>
      <c r="T252" s="153">
        <v>465</v>
      </c>
      <c r="U252" s="197">
        <v>394090.34154143813</v>
      </c>
      <c r="V252" s="159">
        <v>0</v>
      </c>
      <c r="W252" s="159">
        <v>0</v>
      </c>
      <c r="X252" s="159">
        <v>907517.03</v>
      </c>
      <c r="Y252" s="159">
        <v>2020456.7120559579</v>
      </c>
      <c r="Z252" s="159">
        <v>0</v>
      </c>
      <c r="AA252" s="155">
        <v>0</v>
      </c>
      <c r="AB252" s="159">
        <v>228027.07914332257</v>
      </c>
      <c r="AC252" s="159">
        <v>341463.45</v>
      </c>
      <c r="AD252" s="174">
        <f>SUM(Muut[[#This Row],[Työttömyysaste]:[Työttömät ja palveluissa olevat ]])</f>
        <v>3891554.6127407188</v>
      </c>
      <c r="AF252" s="62"/>
    </row>
    <row r="253" spans="1:32" s="45" customFormat="1">
      <c r="A253" s="90">
        <v>768</v>
      </c>
      <c r="B253" s="151" t="s">
        <v>253</v>
      </c>
      <c r="C253" s="395">
        <v>2368</v>
      </c>
      <c r="D253" s="134">
        <v>75.833333333333329</v>
      </c>
      <c r="E253" s="41">
        <v>910</v>
      </c>
      <c r="F253" s="332">
        <f t="shared" si="7"/>
        <v>8.3333333333333329E-2</v>
      </c>
      <c r="G253" s="377">
        <f>Muut[[#This Row],[Keskim. työttömyysaste 2023, %]]/$F$12</f>
        <v>0.8480741880130469</v>
      </c>
      <c r="H253" s="166">
        <v>0</v>
      </c>
      <c r="I253" s="383">
        <v>4</v>
      </c>
      <c r="J253" s="389">
        <v>97</v>
      </c>
      <c r="K253" s="269">
        <v>584.38</v>
      </c>
      <c r="L253" s="170">
        <f t="shared" si="8"/>
        <v>4.0521578424997431</v>
      </c>
      <c r="M253" s="377">
        <v>4.5478088922210809</v>
      </c>
      <c r="N253" s="166">
        <v>1</v>
      </c>
      <c r="O253" s="397">
        <v>0</v>
      </c>
      <c r="P253" s="269">
        <v>508</v>
      </c>
      <c r="Q253" s="15">
        <v>62</v>
      </c>
      <c r="R253" s="158">
        <v>0.12204724409448819</v>
      </c>
      <c r="S253" s="401">
        <v>0.87323028088505295</v>
      </c>
      <c r="T253" s="153">
        <v>116</v>
      </c>
      <c r="U253" s="197">
        <v>138648.86731491637</v>
      </c>
      <c r="V253" s="159">
        <v>0</v>
      </c>
      <c r="W253" s="159">
        <v>0</v>
      </c>
      <c r="X253" s="159">
        <v>177121.03</v>
      </c>
      <c r="Y253" s="159">
        <v>445737.6621961043</v>
      </c>
      <c r="Z253" s="159">
        <v>955109.12</v>
      </c>
      <c r="AA253" s="155">
        <v>0</v>
      </c>
      <c r="AB253" s="159">
        <v>58601.715707548727</v>
      </c>
      <c r="AC253" s="159">
        <v>85182.28</v>
      </c>
      <c r="AD253" s="174">
        <f>SUM(Muut[[#This Row],[Työttömyysaste]:[Työttömät ja palveluissa olevat ]])</f>
        <v>1860400.6752185693</v>
      </c>
      <c r="AF253" s="62"/>
    </row>
    <row r="254" spans="1:32" s="45" customFormat="1">
      <c r="A254" s="90">
        <v>777</v>
      </c>
      <c r="B254" s="151" t="s">
        <v>254</v>
      </c>
      <c r="C254" s="395">
        <v>7172</v>
      </c>
      <c r="D254" s="134">
        <v>311.83333333333331</v>
      </c>
      <c r="E254" s="41">
        <v>2874</v>
      </c>
      <c r="F254" s="332">
        <f t="shared" si="7"/>
        <v>0.10850150777081882</v>
      </c>
      <c r="G254" s="377">
        <f>Muut[[#This Row],[Keskim. työttömyysaste 2023, %]]/$F$12</f>
        <v>1.1042079372111417</v>
      </c>
      <c r="H254" s="166">
        <v>0</v>
      </c>
      <c r="I254" s="383">
        <v>5</v>
      </c>
      <c r="J254" s="389">
        <v>230</v>
      </c>
      <c r="K254" s="269">
        <v>5270.37</v>
      </c>
      <c r="L254" s="170">
        <f t="shared" si="8"/>
        <v>1.360815274828902</v>
      </c>
      <c r="M254" s="377">
        <v>13.542205036698141</v>
      </c>
      <c r="N254" s="166">
        <v>0</v>
      </c>
      <c r="O254" s="397">
        <v>0</v>
      </c>
      <c r="P254" s="269">
        <v>1595</v>
      </c>
      <c r="Q254" s="15">
        <v>215</v>
      </c>
      <c r="R254" s="158">
        <v>0.13479623824451412</v>
      </c>
      <c r="S254" s="401">
        <v>0.96444747980852952</v>
      </c>
      <c r="T254" s="153">
        <v>451</v>
      </c>
      <c r="U254" s="197">
        <v>546753.94864483061</v>
      </c>
      <c r="V254" s="159">
        <v>0</v>
      </c>
      <c r="W254" s="159">
        <v>0</v>
      </c>
      <c r="X254" s="159">
        <v>419977.7</v>
      </c>
      <c r="Y254" s="159">
        <v>4019991.1063152095</v>
      </c>
      <c r="Z254" s="159">
        <v>0</v>
      </c>
      <c r="AA254" s="155">
        <v>0</v>
      </c>
      <c r="AB254" s="159">
        <v>196028.27099579317</v>
      </c>
      <c r="AC254" s="159">
        <v>331182.83</v>
      </c>
      <c r="AD254" s="174">
        <f>SUM(Muut[[#This Row],[Työttömyysaste]:[Työttömät ja palveluissa olevat ]])</f>
        <v>5513933.8559558326</v>
      </c>
      <c r="AF254" s="62"/>
    </row>
    <row r="255" spans="1:32" s="104" customFormat="1">
      <c r="A255" s="90">
        <v>778</v>
      </c>
      <c r="B255" s="151" t="s">
        <v>255</v>
      </c>
      <c r="C255" s="395">
        <v>6708</v>
      </c>
      <c r="D255" s="134">
        <v>248.75</v>
      </c>
      <c r="E255" s="41">
        <v>2816</v>
      </c>
      <c r="F255" s="332">
        <f t="shared" si="7"/>
        <v>8.8334517045454544E-2</v>
      </c>
      <c r="G255" s="377">
        <f>Muut[[#This Row],[Keskim. työttömyysaste 2023, %]]/$F$12</f>
        <v>0.8989706858021822</v>
      </c>
      <c r="H255" s="166">
        <v>0</v>
      </c>
      <c r="I255" s="383">
        <v>12</v>
      </c>
      <c r="J255" s="389">
        <v>246</v>
      </c>
      <c r="K255" s="269">
        <v>713.56</v>
      </c>
      <c r="L255" s="170">
        <f t="shared" si="8"/>
        <v>9.400751163181793</v>
      </c>
      <c r="M255" s="377">
        <v>1.9603156331782323</v>
      </c>
      <c r="N255" s="166">
        <v>0</v>
      </c>
      <c r="O255" s="397">
        <v>0</v>
      </c>
      <c r="P255" s="269">
        <v>1815</v>
      </c>
      <c r="Q255" s="15">
        <v>236</v>
      </c>
      <c r="R255" s="158">
        <v>0.13002754820936638</v>
      </c>
      <c r="S255" s="401">
        <v>0.93032819616766382</v>
      </c>
      <c r="T255" s="153">
        <v>360</v>
      </c>
      <c r="U255" s="197">
        <v>416331.5916793262</v>
      </c>
      <c r="V255" s="159">
        <v>0</v>
      </c>
      <c r="W255" s="159">
        <v>0</v>
      </c>
      <c r="X255" s="159">
        <v>449193.54</v>
      </c>
      <c r="Y255" s="159">
        <v>544270.10889601312</v>
      </c>
      <c r="Z255" s="159">
        <v>0</v>
      </c>
      <c r="AA255" s="155">
        <v>0</v>
      </c>
      <c r="AB255" s="159">
        <v>176859.7812405588</v>
      </c>
      <c r="AC255" s="159">
        <v>264358.8</v>
      </c>
      <c r="AD255" s="174">
        <f>SUM(Muut[[#This Row],[Työttömyysaste]:[Työttömät ja palveluissa olevat ]])</f>
        <v>1851013.8218158979</v>
      </c>
      <c r="AF255" s="351"/>
    </row>
    <row r="256" spans="1:32" s="45" customFormat="1">
      <c r="A256" s="90">
        <v>781</v>
      </c>
      <c r="B256" s="151" t="s">
        <v>256</v>
      </c>
      <c r="C256" s="395">
        <v>3496</v>
      </c>
      <c r="D256" s="134">
        <v>123.91666666666667</v>
      </c>
      <c r="E256" s="41">
        <v>1272</v>
      </c>
      <c r="F256" s="332">
        <f t="shared" si="7"/>
        <v>9.7418763102725375E-2</v>
      </c>
      <c r="G256" s="377">
        <f>Muut[[#This Row],[Keskim. työttömyysaste 2023, %]]/$F$12</f>
        <v>0.99142006098695046</v>
      </c>
      <c r="H256" s="166">
        <v>0</v>
      </c>
      <c r="I256" s="383">
        <v>9</v>
      </c>
      <c r="J256" s="389">
        <v>105</v>
      </c>
      <c r="K256" s="269">
        <v>666.75</v>
      </c>
      <c r="L256" s="170">
        <f t="shared" si="8"/>
        <v>5.2433445819272588</v>
      </c>
      <c r="M256" s="377">
        <v>3.5146344438858357</v>
      </c>
      <c r="N256" s="166">
        <v>0</v>
      </c>
      <c r="O256" s="397">
        <v>0</v>
      </c>
      <c r="P256" s="269">
        <v>669</v>
      </c>
      <c r="Q256" s="15">
        <v>114</v>
      </c>
      <c r="R256" s="158">
        <v>0.17040358744394618</v>
      </c>
      <c r="S256" s="401">
        <v>1.2192128845801433</v>
      </c>
      <c r="T256" s="153">
        <v>180</v>
      </c>
      <c r="U256" s="197">
        <v>239292.95297284459</v>
      </c>
      <c r="V256" s="159">
        <v>0</v>
      </c>
      <c r="W256" s="159">
        <v>0</v>
      </c>
      <c r="X256" s="159">
        <v>191728.95</v>
      </c>
      <c r="Y256" s="159">
        <v>508565.63583499182</v>
      </c>
      <c r="Z256" s="159">
        <v>0</v>
      </c>
      <c r="AA256" s="155">
        <v>0</v>
      </c>
      <c r="AB256" s="159">
        <v>120795.51604890842</v>
      </c>
      <c r="AC256" s="159">
        <v>132179.4</v>
      </c>
      <c r="AD256" s="174">
        <f>SUM(Muut[[#This Row],[Työttömyysaste]:[Työttömät ja palveluissa olevat ]])</f>
        <v>1192562.4548567447</v>
      </c>
      <c r="AF256" s="62"/>
    </row>
    <row r="257" spans="1:32" s="45" customFormat="1">
      <c r="A257" s="151">
        <v>783</v>
      </c>
      <c r="B257" s="151" t="s">
        <v>257</v>
      </c>
      <c r="C257" s="395">
        <v>6377</v>
      </c>
      <c r="D257" s="134">
        <v>161.25</v>
      </c>
      <c r="E257" s="41">
        <v>2875</v>
      </c>
      <c r="F257" s="332">
        <f t="shared" si="7"/>
        <v>5.6086956521739131E-2</v>
      </c>
      <c r="G257" s="377">
        <f>Muut[[#This Row],[Keskim. työttömyysaste 2023, %]]/$F$12</f>
        <v>0.57079080132356375</v>
      </c>
      <c r="H257" s="166">
        <v>0</v>
      </c>
      <c r="I257" s="383">
        <v>18</v>
      </c>
      <c r="J257" s="389">
        <v>305</v>
      </c>
      <c r="K257" s="269">
        <v>406.85</v>
      </c>
      <c r="L257" s="170">
        <f t="shared" si="8"/>
        <v>15.674081356765392</v>
      </c>
      <c r="M257" s="377">
        <v>1.1757269245543036</v>
      </c>
      <c r="N257" s="166">
        <v>0</v>
      </c>
      <c r="O257" s="397">
        <v>0</v>
      </c>
      <c r="P257" s="269">
        <v>1696</v>
      </c>
      <c r="Q257" s="15">
        <v>266</v>
      </c>
      <c r="R257" s="158">
        <v>0.15683962264150944</v>
      </c>
      <c r="S257" s="401">
        <v>1.1221646891683985</v>
      </c>
      <c r="T257" s="153">
        <v>253</v>
      </c>
      <c r="U257" s="197">
        <v>251300.97018038694</v>
      </c>
      <c r="V257" s="159">
        <v>0</v>
      </c>
      <c r="W257" s="159">
        <v>0</v>
      </c>
      <c r="X257" s="159">
        <v>556926.94999999995</v>
      </c>
      <c r="Y257" s="159">
        <v>310326.10264636885</v>
      </c>
      <c r="Z257" s="159">
        <v>0</v>
      </c>
      <c r="AA257" s="155">
        <v>0</v>
      </c>
      <c r="AB257" s="159">
        <v>202802.29327491371</v>
      </c>
      <c r="AC257" s="159">
        <v>185785.49000000002</v>
      </c>
      <c r="AD257" s="174">
        <f>SUM(Muut[[#This Row],[Työttömyysaste]:[Työttömät ja palveluissa olevat ]])</f>
        <v>1507141.8061016693</v>
      </c>
      <c r="AF257" s="62"/>
    </row>
    <row r="258" spans="1:32" s="45" customFormat="1">
      <c r="A258" s="90">
        <v>785</v>
      </c>
      <c r="B258" s="151" t="s">
        <v>258</v>
      </c>
      <c r="C258" s="395">
        <v>2589</v>
      </c>
      <c r="D258" s="134">
        <v>139.58333333333334</v>
      </c>
      <c r="E258" s="41">
        <v>999</v>
      </c>
      <c r="F258" s="332">
        <f t="shared" si="7"/>
        <v>0.13972305638972307</v>
      </c>
      <c r="G258" s="377">
        <f>Muut[[#This Row],[Keskim. työttömyysaste 2023, %]]/$F$12</f>
        <v>1.4219462111329868</v>
      </c>
      <c r="H258" s="166">
        <v>0</v>
      </c>
      <c r="I258" s="383">
        <v>0</v>
      </c>
      <c r="J258" s="389">
        <v>66</v>
      </c>
      <c r="K258" s="269">
        <v>1302.31</v>
      </c>
      <c r="L258" s="170">
        <f t="shared" si="8"/>
        <v>1.9880059279280664</v>
      </c>
      <c r="M258" s="377">
        <v>9.2698111257697065</v>
      </c>
      <c r="N258" s="166">
        <v>3</v>
      </c>
      <c r="O258" s="397">
        <v>75</v>
      </c>
      <c r="P258" s="269">
        <v>537</v>
      </c>
      <c r="Q258" s="15">
        <v>65</v>
      </c>
      <c r="R258" s="158">
        <v>0.12104283054003724</v>
      </c>
      <c r="S258" s="401">
        <v>0.86604384798535605</v>
      </c>
      <c r="T258" s="153">
        <v>205</v>
      </c>
      <c r="U258" s="197">
        <v>254165.14985263289</v>
      </c>
      <c r="V258" s="159">
        <v>0</v>
      </c>
      <c r="W258" s="159">
        <v>0</v>
      </c>
      <c r="X258" s="159">
        <v>120515.34</v>
      </c>
      <c r="Y258" s="159">
        <v>993341.00218112953</v>
      </c>
      <c r="Z258" s="159">
        <v>0</v>
      </c>
      <c r="AA258" s="155">
        <v>22128</v>
      </c>
      <c r="AB258" s="159">
        <v>63543.594385782024</v>
      </c>
      <c r="AC258" s="159">
        <v>150537.65</v>
      </c>
      <c r="AD258" s="174">
        <f>SUM(Muut[[#This Row],[Työttömyysaste]:[Työttömät ja palveluissa olevat ]])</f>
        <v>1604230.7364195443</v>
      </c>
      <c r="AF258" s="62"/>
    </row>
    <row r="259" spans="1:32" s="45" customFormat="1">
      <c r="A259" s="90">
        <v>790</v>
      </c>
      <c r="B259" s="151" t="s">
        <v>259</v>
      </c>
      <c r="C259" s="395">
        <v>23515</v>
      </c>
      <c r="D259" s="134">
        <v>728.33333333333337</v>
      </c>
      <c r="E259" s="41">
        <v>10024</v>
      </c>
      <c r="F259" s="332">
        <f t="shared" si="7"/>
        <v>7.2658951848895981E-2</v>
      </c>
      <c r="G259" s="377">
        <f>Muut[[#This Row],[Keskim. työttömyysaste 2023, %]]/$F$12</f>
        <v>0.73944217909357846</v>
      </c>
      <c r="H259" s="166">
        <v>0</v>
      </c>
      <c r="I259" s="383">
        <v>43</v>
      </c>
      <c r="J259" s="389">
        <v>744</v>
      </c>
      <c r="K259" s="269">
        <v>1429.12</v>
      </c>
      <c r="L259" s="170">
        <f t="shared" si="8"/>
        <v>16.454181594267801</v>
      </c>
      <c r="M259" s="377">
        <v>1.1199851760007133</v>
      </c>
      <c r="N259" s="166">
        <v>0</v>
      </c>
      <c r="O259" s="397">
        <v>0</v>
      </c>
      <c r="P259" s="269">
        <v>6474</v>
      </c>
      <c r="Q259" s="15">
        <v>892</v>
      </c>
      <c r="R259" s="158">
        <v>0.1377818968180414</v>
      </c>
      <c r="S259" s="401">
        <v>0.9858094326664707</v>
      </c>
      <c r="T259" s="153">
        <v>1147</v>
      </c>
      <c r="U259" s="197">
        <v>1200466.3353692549</v>
      </c>
      <c r="V259" s="159">
        <v>0</v>
      </c>
      <c r="W259" s="159">
        <v>0</v>
      </c>
      <c r="X259" s="159">
        <v>1358536.56</v>
      </c>
      <c r="Y259" s="159">
        <v>1090065.7240112538</v>
      </c>
      <c r="Z259" s="159">
        <v>0</v>
      </c>
      <c r="AA259" s="155">
        <v>0</v>
      </c>
      <c r="AB259" s="159">
        <v>656958.29165136931</v>
      </c>
      <c r="AC259" s="159">
        <v>842276.51</v>
      </c>
      <c r="AD259" s="174">
        <f>SUM(Muut[[#This Row],[Työttömyysaste]:[Työttömät ja palveluissa olevat ]])</f>
        <v>5148303.4210318774</v>
      </c>
      <c r="AF259" s="62"/>
    </row>
    <row r="260" spans="1:32" s="45" customFormat="1">
      <c r="A260" s="90">
        <v>791</v>
      </c>
      <c r="B260" s="151" t="s">
        <v>260</v>
      </c>
      <c r="C260" s="395">
        <v>4931</v>
      </c>
      <c r="D260" s="134">
        <v>206.66666666666666</v>
      </c>
      <c r="E260" s="41">
        <v>2105</v>
      </c>
      <c r="F260" s="332">
        <f t="shared" si="7"/>
        <v>9.8178939034045912E-2</v>
      </c>
      <c r="G260" s="377">
        <f>Muut[[#This Row],[Keskim. työttömyysaste 2023, %]]/$F$12</f>
        <v>0.99915628801537115</v>
      </c>
      <c r="H260" s="166">
        <v>0</v>
      </c>
      <c r="I260" s="383">
        <v>5</v>
      </c>
      <c r="J260" s="389">
        <v>86</v>
      </c>
      <c r="K260" s="269">
        <v>2173.3000000000002</v>
      </c>
      <c r="L260" s="170">
        <f t="shared" si="8"/>
        <v>2.26889982975199</v>
      </c>
      <c r="M260" s="377">
        <v>8.1221917455994976</v>
      </c>
      <c r="N260" s="166">
        <v>0</v>
      </c>
      <c r="O260" s="397">
        <v>0</v>
      </c>
      <c r="P260" s="269">
        <v>1249</v>
      </c>
      <c r="Q260" s="15">
        <v>173</v>
      </c>
      <c r="R260" s="158">
        <v>0.13851080864691753</v>
      </c>
      <c r="S260" s="401">
        <v>0.99102469078878574</v>
      </c>
      <c r="T260" s="153">
        <v>271</v>
      </c>
      <c r="U260" s="197">
        <v>340149.00986431009</v>
      </c>
      <c r="V260" s="159">
        <v>0</v>
      </c>
      <c r="W260" s="159">
        <v>0</v>
      </c>
      <c r="X260" s="159">
        <v>157035.14000000001</v>
      </c>
      <c r="Y260" s="159">
        <v>1657691.3331236409</v>
      </c>
      <c r="Z260" s="159">
        <v>0</v>
      </c>
      <c r="AA260" s="155">
        <v>0</v>
      </c>
      <c r="AB260" s="159">
        <v>138490.28954292109</v>
      </c>
      <c r="AC260" s="159">
        <v>199003.43000000002</v>
      </c>
      <c r="AD260" s="174">
        <f>SUM(Muut[[#This Row],[Työttömyysaste]:[Työttömät ja palveluissa olevat ]])</f>
        <v>2492369.2025308721</v>
      </c>
      <c r="AF260" s="62"/>
    </row>
    <row r="261" spans="1:32" s="45" customFormat="1">
      <c r="A261" s="90">
        <v>831</v>
      </c>
      <c r="B261" s="151" t="s">
        <v>261</v>
      </c>
      <c r="C261" s="395">
        <v>4625</v>
      </c>
      <c r="D261" s="134">
        <v>175.08333333333334</v>
      </c>
      <c r="E261" s="41">
        <v>2078</v>
      </c>
      <c r="F261" s="332">
        <f t="shared" si="7"/>
        <v>8.4255694578119988E-2</v>
      </c>
      <c r="G261" s="377">
        <f>Muut[[#This Row],[Keskim. työttömyysaste 2023, %]]/$F$12</f>
        <v>0.85746095717777271</v>
      </c>
      <c r="H261" s="166">
        <v>0</v>
      </c>
      <c r="I261" s="383">
        <v>8</v>
      </c>
      <c r="J261" s="389">
        <v>308</v>
      </c>
      <c r="K261" s="269">
        <v>344.79</v>
      </c>
      <c r="L261" s="170">
        <f t="shared" si="8"/>
        <v>13.413962121871283</v>
      </c>
      <c r="M261" s="377">
        <v>1.3738252204213699</v>
      </c>
      <c r="N261" s="166">
        <v>3</v>
      </c>
      <c r="O261" s="397">
        <v>2089</v>
      </c>
      <c r="P261" s="269">
        <v>1356</v>
      </c>
      <c r="Q261" s="15">
        <v>98</v>
      </c>
      <c r="R261" s="158">
        <v>7.2271386430678472E-2</v>
      </c>
      <c r="S261" s="401">
        <v>0.51709125872563366</v>
      </c>
      <c r="T261" s="153">
        <v>257</v>
      </c>
      <c r="U261" s="197">
        <v>273795.85823643464</v>
      </c>
      <c r="V261" s="159">
        <v>0</v>
      </c>
      <c r="W261" s="159">
        <v>0</v>
      </c>
      <c r="X261" s="159">
        <v>562404.92000000004</v>
      </c>
      <c r="Y261" s="159">
        <v>262989.64466373733</v>
      </c>
      <c r="Z261" s="159">
        <v>0</v>
      </c>
      <c r="AA261" s="155">
        <v>616338.56000000006</v>
      </c>
      <c r="AB261" s="159">
        <v>67776.444009315615</v>
      </c>
      <c r="AC261" s="159">
        <v>188722.81</v>
      </c>
      <c r="AD261" s="174">
        <f>SUM(Muut[[#This Row],[Työttömyysaste]:[Työttömät ja palveluissa olevat ]])</f>
        <v>1972028.2369094878</v>
      </c>
      <c r="AF261" s="62"/>
    </row>
    <row r="262" spans="1:32" s="45" customFormat="1">
      <c r="A262" s="90">
        <v>832</v>
      </c>
      <c r="B262" s="151" t="s">
        <v>262</v>
      </c>
      <c r="C262" s="395">
        <v>3731</v>
      </c>
      <c r="D262" s="134">
        <v>193.66666666666666</v>
      </c>
      <c r="E262" s="41">
        <v>1586</v>
      </c>
      <c r="F262" s="332">
        <f t="shared" si="7"/>
        <v>0.12211013030685161</v>
      </c>
      <c r="G262" s="377">
        <f>Muut[[#This Row],[Keskim. työttömyysaste 2023, %]]/$F$12</f>
        <v>1.2427013952978063</v>
      </c>
      <c r="H262" s="166">
        <v>0</v>
      </c>
      <c r="I262" s="383">
        <v>3</v>
      </c>
      <c r="J262" s="389">
        <v>91</v>
      </c>
      <c r="K262" s="269">
        <v>2438.21</v>
      </c>
      <c r="L262" s="170">
        <f t="shared" si="8"/>
        <v>1.5302209407721239</v>
      </c>
      <c r="M262" s="377">
        <v>12.042992601777517</v>
      </c>
      <c r="N262" s="166">
        <v>0</v>
      </c>
      <c r="O262" s="397">
        <v>0</v>
      </c>
      <c r="P262" s="269">
        <v>857</v>
      </c>
      <c r="Q262" s="15">
        <v>112</v>
      </c>
      <c r="R262" s="158">
        <v>0.13068844807467911</v>
      </c>
      <c r="S262" s="401">
        <v>0.93505683858237598</v>
      </c>
      <c r="T262" s="153">
        <v>269</v>
      </c>
      <c r="U262" s="197">
        <v>320105.2652603063</v>
      </c>
      <c r="V262" s="159">
        <v>0</v>
      </c>
      <c r="W262" s="159">
        <v>0</v>
      </c>
      <c r="X262" s="159">
        <v>166165.09</v>
      </c>
      <c r="Y262" s="159">
        <v>1859752.2593914291</v>
      </c>
      <c r="Z262" s="159">
        <v>0</v>
      </c>
      <c r="AA262" s="155">
        <v>0</v>
      </c>
      <c r="AB262" s="159">
        <v>98869.674815038932</v>
      </c>
      <c r="AC262" s="159">
        <v>197534.77000000002</v>
      </c>
      <c r="AD262" s="174">
        <f>SUM(Muut[[#This Row],[Työttömyysaste]:[Työttömät ja palveluissa olevat ]])</f>
        <v>2642427.0594667746</v>
      </c>
      <c r="AF262" s="62"/>
    </row>
    <row r="263" spans="1:32" s="45" customFormat="1">
      <c r="A263" s="90">
        <v>833</v>
      </c>
      <c r="B263" s="151" t="s">
        <v>263</v>
      </c>
      <c r="C263" s="395">
        <v>1705</v>
      </c>
      <c r="D263" s="134">
        <v>61.583333333333336</v>
      </c>
      <c r="E263" s="41">
        <v>694</v>
      </c>
      <c r="F263" s="332">
        <f t="shared" si="7"/>
        <v>8.8736791546589824E-2</v>
      </c>
      <c r="G263" s="377">
        <f>Muut[[#This Row],[Keskim. työttömyysaste 2023, %]]/$F$12</f>
        <v>0.90306458925308608</v>
      </c>
      <c r="H263" s="166">
        <v>0</v>
      </c>
      <c r="I263" s="383">
        <v>18</v>
      </c>
      <c r="J263" s="389">
        <v>115</v>
      </c>
      <c r="K263" s="269">
        <v>140.62</v>
      </c>
      <c r="L263" s="170">
        <f t="shared" si="8"/>
        <v>12.124875551130707</v>
      </c>
      <c r="M263" s="377">
        <v>1.5198868962481988</v>
      </c>
      <c r="N263" s="166">
        <v>3</v>
      </c>
      <c r="O263" s="397">
        <v>197</v>
      </c>
      <c r="P263" s="269">
        <v>454</v>
      </c>
      <c r="Q263" s="15">
        <v>85</v>
      </c>
      <c r="R263" s="158">
        <v>0.18722466960352424</v>
      </c>
      <c r="S263" s="401">
        <v>1.339565280965489</v>
      </c>
      <c r="T263" s="153">
        <v>79</v>
      </c>
      <c r="U263" s="197">
        <v>106302.6226076664</v>
      </c>
      <c r="V263" s="159">
        <v>0</v>
      </c>
      <c r="W263" s="159">
        <v>0</v>
      </c>
      <c r="X263" s="159">
        <v>209988.85</v>
      </c>
      <c r="Y263" s="159">
        <v>107258.34227389058</v>
      </c>
      <c r="Z263" s="159">
        <v>0</v>
      </c>
      <c r="AA263" s="155">
        <v>58122.880000000005</v>
      </c>
      <c r="AB263" s="159">
        <v>64727.392506668133</v>
      </c>
      <c r="AC263" s="159">
        <v>58012.07</v>
      </c>
      <c r="AD263" s="174">
        <f>SUM(Muut[[#This Row],[Työttömyysaste]:[Työttömät ja palveluissa olevat ]])</f>
        <v>604412.15738822508</v>
      </c>
      <c r="AF263" s="62"/>
    </row>
    <row r="264" spans="1:32" s="45" customFormat="1">
      <c r="A264" s="90">
        <v>834</v>
      </c>
      <c r="B264" s="151" t="s">
        <v>264</v>
      </c>
      <c r="C264" s="395">
        <v>5844</v>
      </c>
      <c r="D264" s="134">
        <v>175.66666666666666</v>
      </c>
      <c r="E264" s="41">
        <v>2725</v>
      </c>
      <c r="F264" s="332">
        <f t="shared" si="7"/>
        <v>6.4464831804281336E-2</v>
      </c>
      <c r="G264" s="377">
        <f>Muut[[#This Row],[Keskim. työttömyysaste 2023, %]]/$F$12</f>
        <v>0.65605151865376243</v>
      </c>
      <c r="H264" s="166">
        <v>0</v>
      </c>
      <c r="I264" s="383">
        <v>11</v>
      </c>
      <c r="J264" s="389">
        <v>170</v>
      </c>
      <c r="K264" s="269">
        <v>640.54999999999995</v>
      </c>
      <c r="L264" s="170">
        <f t="shared" si="8"/>
        <v>9.1234095699008666</v>
      </c>
      <c r="M264" s="377">
        <v>2.019907067375466</v>
      </c>
      <c r="N264" s="166">
        <v>0</v>
      </c>
      <c r="O264" s="397">
        <v>0</v>
      </c>
      <c r="P264" s="269">
        <v>1622</v>
      </c>
      <c r="Q264" s="15">
        <v>212</v>
      </c>
      <c r="R264" s="158">
        <v>0.13070283600493218</v>
      </c>
      <c r="S264" s="401">
        <v>0.93515978213074913</v>
      </c>
      <c r="T264" s="153">
        <v>248</v>
      </c>
      <c r="U264" s="197">
        <v>264696.94877886912</v>
      </c>
      <c r="V264" s="159">
        <v>0</v>
      </c>
      <c r="W264" s="159">
        <v>0</v>
      </c>
      <c r="X264" s="159">
        <v>310418.3</v>
      </c>
      <c r="Y264" s="159">
        <v>488581.50436311064</v>
      </c>
      <c r="Z264" s="159">
        <v>0</v>
      </c>
      <c r="AA264" s="155">
        <v>0</v>
      </c>
      <c r="AB264" s="159">
        <v>154880.19055032125</v>
      </c>
      <c r="AC264" s="159">
        <v>182113.84</v>
      </c>
      <c r="AD264" s="174">
        <f>SUM(Muut[[#This Row],[Työttömyysaste]:[Työttömät ja palveluissa olevat ]])</f>
        <v>1400690.783692301</v>
      </c>
      <c r="AF264" s="62"/>
    </row>
    <row r="265" spans="1:32" s="45" customFormat="1">
      <c r="A265" s="90">
        <v>837</v>
      </c>
      <c r="B265" s="151" t="s">
        <v>265</v>
      </c>
      <c r="C265" s="395">
        <v>255050</v>
      </c>
      <c r="D265" s="134">
        <v>13448.583333333334</v>
      </c>
      <c r="E265" s="41">
        <v>123983</v>
      </c>
      <c r="F265" s="332">
        <f t="shared" si="7"/>
        <v>0.10847118825430369</v>
      </c>
      <c r="G265" s="377">
        <f>Muut[[#This Row],[Keskim. työttömyysaste 2023, %]]/$F$12</f>
        <v>1.1038993788189475</v>
      </c>
      <c r="H265" s="166">
        <v>0</v>
      </c>
      <c r="I265" s="383">
        <v>1377</v>
      </c>
      <c r="J265" s="389">
        <v>26649</v>
      </c>
      <c r="K265" s="269">
        <v>525.02</v>
      </c>
      <c r="L265" s="170">
        <f t="shared" si="8"/>
        <v>485.7910174850482</v>
      </c>
      <c r="M265" s="377">
        <v>3.7934911938487859E-2</v>
      </c>
      <c r="N265" s="166">
        <v>0</v>
      </c>
      <c r="O265" s="397">
        <v>0</v>
      </c>
      <c r="P265" s="269">
        <v>84742</v>
      </c>
      <c r="Q265" s="15">
        <v>9793</v>
      </c>
      <c r="R265" s="158">
        <v>0.11556253097637535</v>
      </c>
      <c r="S265" s="401">
        <v>0.82683310166481028</v>
      </c>
      <c r="T265" s="153">
        <v>20880</v>
      </c>
      <c r="U265" s="197">
        <v>19438180.004639018</v>
      </c>
      <c r="V265" s="159">
        <v>0</v>
      </c>
      <c r="W265" s="159">
        <v>0</v>
      </c>
      <c r="X265" s="159">
        <v>48660807.509999998</v>
      </c>
      <c r="Y265" s="159">
        <v>400460.63760942989</v>
      </c>
      <c r="Z265" s="159">
        <v>0</v>
      </c>
      <c r="AA265" s="155">
        <v>0</v>
      </c>
      <c r="AB265" s="159">
        <v>5976446.3983061435</v>
      </c>
      <c r="AC265" s="159">
        <v>15332810.4</v>
      </c>
      <c r="AD265" s="174">
        <f>SUM(Muut[[#This Row],[Työttömyysaste]:[Työttömät ja palveluissa olevat ]])</f>
        <v>89808704.950554609</v>
      </c>
      <c r="AF265" s="62"/>
    </row>
    <row r="266" spans="1:32" s="45" customFormat="1">
      <c r="A266" s="90">
        <v>844</v>
      </c>
      <c r="B266" s="151" t="s">
        <v>266</v>
      </c>
      <c r="C266" s="395">
        <v>1412</v>
      </c>
      <c r="D266" s="134">
        <v>58</v>
      </c>
      <c r="E266" s="41">
        <v>586</v>
      </c>
      <c r="F266" s="332">
        <f t="shared" si="7"/>
        <v>9.8976109215017066E-2</v>
      </c>
      <c r="G266" s="377">
        <f>Muut[[#This Row],[Keskim. työttömyysaste 2023, %]]/$F$12</f>
        <v>1.0072690014625951</v>
      </c>
      <c r="H266" s="166">
        <v>0</v>
      </c>
      <c r="I266" s="383">
        <v>2</v>
      </c>
      <c r="J266" s="389">
        <v>34</v>
      </c>
      <c r="K266" s="269">
        <v>347.73</v>
      </c>
      <c r="L266" s="170">
        <f t="shared" si="8"/>
        <v>4.0606217467575414</v>
      </c>
      <c r="M266" s="377">
        <v>4.5383295017614156</v>
      </c>
      <c r="N266" s="166">
        <v>3</v>
      </c>
      <c r="O266" s="397">
        <v>162</v>
      </c>
      <c r="P266" s="269">
        <v>335</v>
      </c>
      <c r="Q266" s="15">
        <v>47</v>
      </c>
      <c r="R266" s="158">
        <v>0.14029850746268657</v>
      </c>
      <c r="S266" s="401">
        <v>1.0038154158118211</v>
      </c>
      <c r="T266" s="153">
        <v>75</v>
      </c>
      <c r="U266" s="197">
        <v>98193.094827700334</v>
      </c>
      <c r="V266" s="159">
        <v>0</v>
      </c>
      <c r="W266" s="159">
        <v>0</v>
      </c>
      <c r="X266" s="159">
        <v>62083.66</v>
      </c>
      <c r="Y266" s="159">
        <v>265232.13880600181</v>
      </c>
      <c r="Z266" s="159">
        <v>0</v>
      </c>
      <c r="AA266" s="155">
        <v>47796.480000000003</v>
      </c>
      <c r="AB266" s="159">
        <v>40168.757984359094</v>
      </c>
      <c r="AC266" s="159">
        <v>55074.75</v>
      </c>
      <c r="AD266" s="174">
        <f>SUM(Muut[[#This Row],[Työttömyysaste]:[Työttömät ja palveluissa olevat ]])</f>
        <v>568548.88161806122</v>
      </c>
      <c r="AF266" s="62"/>
    </row>
    <row r="267" spans="1:32" s="45" customFormat="1">
      <c r="A267" s="90">
        <v>845</v>
      </c>
      <c r="B267" s="151" t="s">
        <v>267</v>
      </c>
      <c r="C267" s="395">
        <v>2831</v>
      </c>
      <c r="D267" s="134">
        <v>116.41666666666667</v>
      </c>
      <c r="E267" s="41">
        <v>1232</v>
      </c>
      <c r="F267" s="332">
        <f t="shared" si="7"/>
        <v>9.4494047619047616E-2</v>
      </c>
      <c r="G267" s="377">
        <f>Muut[[#This Row],[Keskim. työttömyysaste 2023, %]]/$F$12</f>
        <v>0.96165555247907997</v>
      </c>
      <c r="H267" s="166">
        <v>0</v>
      </c>
      <c r="I267" s="383">
        <v>4</v>
      </c>
      <c r="J267" s="389">
        <v>72</v>
      </c>
      <c r="K267" s="269">
        <v>1559.91</v>
      </c>
      <c r="L267" s="170">
        <f t="shared" si="8"/>
        <v>1.8148482925296971</v>
      </c>
      <c r="M267" s="377">
        <v>10.154258923271499</v>
      </c>
      <c r="N267" s="166">
        <v>0</v>
      </c>
      <c r="O267" s="397">
        <v>0</v>
      </c>
      <c r="P267" s="269">
        <v>683</v>
      </c>
      <c r="Q267" s="15">
        <v>104</v>
      </c>
      <c r="R267" s="158">
        <v>0.15226939970717424</v>
      </c>
      <c r="S267" s="401">
        <v>1.0894654087686939</v>
      </c>
      <c r="T267" s="153">
        <v>176</v>
      </c>
      <c r="U267" s="197">
        <v>187957.73184047377</v>
      </c>
      <c r="V267" s="159">
        <v>0</v>
      </c>
      <c r="W267" s="159">
        <v>0</v>
      </c>
      <c r="X267" s="159">
        <v>131471.28</v>
      </c>
      <c r="Y267" s="159">
        <v>1189826.203217641</v>
      </c>
      <c r="Z267" s="159">
        <v>0</v>
      </c>
      <c r="AA267" s="155">
        <v>0</v>
      </c>
      <c r="AB267" s="159">
        <v>87408.398056833044</v>
      </c>
      <c r="AC267" s="159">
        <v>129242.08</v>
      </c>
      <c r="AD267" s="174">
        <f>SUM(Muut[[#This Row],[Työttömyysaste]:[Työttömät ja palveluissa olevat ]])</f>
        <v>1725905.693114948</v>
      </c>
      <c r="AF267" s="62"/>
    </row>
    <row r="268" spans="1:32" s="45" customFormat="1">
      <c r="A268" s="90">
        <v>846</v>
      </c>
      <c r="B268" s="151" t="s">
        <v>268</v>
      </c>
      <c r="C268" s="395">
        <v>4758</v>
      </c>
      <c r="D268" s="134">
        <v>162.16666666666666</v>
      </c>
      <c r="E268" s="41">
        <v>1960</v>
      </c>
      <c r="F268" s="332">
        <f t="shared" ref="F268:F304" si="9">D268/E268</f>
        <v>8.2738095238095236E-2</v>
      </c>
      <c r="G268" s="377">
        <f>Muut[[#This Row],[Keskim. työttömyysaste 2023, %]]/$F$12</f>
        <v>0.8420165152415251</v>
      </c>
      <c r="H268" s="166">
        <v>0</v>
      </c>
      <c r="I268" s="383">
        <v>41</v>
      </c>
      <c r="J268" s="389">
        <v>114</v>
      </c>
      <c r="K268" s="269">
        <v>554.78</v>
      </c>
      <c r="L268" s="170">
        <f t="shared" si="8"/>
        <v>8.5763726161721774</v>
      </c>
      <c r="M268" s="377">
        <v>2.1487451972473575</v>
      </c>
      <c r="N268" s="166">
        <v>0</v>
      </c>
      <c r="O268" s="397">
        <v>0</v>
      </c>
      <c r="P268" s="269">
        <v>1140</v>
      </c>
      <c r="Q268" s="15">
        <v>173</v>
      </c>
      <c r="R268" s="158">
        <v>0.15175438596491228</v>
      </c>
      <c r="S268" s="401">
        <v>1.0857805603466608</v>
      </c>
      <c r="T268" s="153">
        <v>254</v>
      </c>
      <c r="U268" s="197">
        <v>276595.95857000403</v>
      </c>
      <c r="V268" s="159">
        <v>0</v>
      </c>
      <c r="W268" s="159">
        <v>0</v>
      </c>
      <c r="X268" s="159">
        <v>208162.86000000002</v>
      </c>
      <c r="Y268" s="159">
        <v>423160.17015153618</v>
      </c>
      <c r="Z268" s="159">
        <v>0</v>
      </c>
      <c r="AA268" s="155">
        <v>0</v>
      </c>
      <c r="AB268" s="159">
        <v>146408.51829970753</v>
      </c>
      <c r="AC268" s="159">
        <v>186519.82</v>
      </c>
      <c r="AD268" s="174">
        <f>SUM(Muut[[#This Row],[Työttömyysaste]:[Työttömät ja palveluissa olevat ]])</f>
        <v>1240847.3270212477</v>
      </c>
      <c r="AF268" s="62"/>
    </row>
    <row r="269" spans="1:32" s="45" customFormat="1">
      <c r="A269" s="90">
        <v>848</v>
      </c>
      <c r="B269" s="151" t="s">
        <v>269</v>
      </c>
      <c r="C269" s="395">
        <v>4066</v>
      </c>
      <c r="D269" s="134">
        <v>250.83333333333334</v>
      </c>
      <c r="E269" s="41">
        <v>1738</v>
      </c>
      <c r="F269" s="332">
        <f t="shared" si="9"/>
        <v>0.14432297660145763</v>
      </c>
      <c r="G269" s="377">
        <f>Muut[[#This Row],[Keskim. työttömyysaste 2023, %]]/$F$12</f>
        <v>1.4687590943148858</v>
      </c>
      <c r="H269" s="166">
        <v>0</v>
      </c>
      <c r="I269" s="383">
        <v>9</v>
      </c>
      <c r="J269" s="389">
        <v>240</v>
      </c>
      <c r="K269" s="269">
        <v>837.84</v>
      </c>
      <c r="L269" s="170">
        <f t="shared" ref="L269:L304" si="10">C269/K269</f>
        <v>4.8529552181800817</v>
      </c>
      <c r="M269" s="377">
        <v>3.7973644182347543</v>
      </c>
      <c r="N269" s="166">
        <v>0</v>
      </c>
      <c r="O269" s="397">
        <v>0</v>
      </c>
      <c r="P269" s="269">
        <v>1029</v>
      </c>
      <c r="Q269" s="15">
        <v>153</v>
      </c>
      <c r="R269" s="158">
        <v>0.14868804664723032</v>
      </c>
      <c r="S269" s="401">
        <v>1.0638413484985398</v>
      </c>
      <c r="T269" s="153">
        <v>363</v>
      </c>
      <c r="U269" s="197">
        <v>412305.11792551796</v>
      </c>
      <c r="V269" s="159">
        <v>0</v>
      </c>
      <c r="W269" s="159">
        <v>0</v>
      </c>
      <c r="X269" s="159">
        <v>438237.6</v>
      </c>
      <c r="Y269" s="159">
        <v>639065.06535881455</v>
      </c>
      <c r="Z269" s="159">
        <v>0</v>
      </c>
      <c r="AA269" s="155">
        <v>0</v>
      </c>
      <c r="AB269" s="159">
        <v>122586.90667768009</v>
      </c>
      <c r="AC269" s="159">
        <v>266561.79000000004</v>
      </c>
      <c r="AD269" s="174">
        <f>SUM(Muut[[#This Row],[Työttömyysaste]:[Työttömät ja palveluissa olevat ]])</f>
        <v>1878756.4799620127</v>
      </c>
      <c r="AF269" s="62"/>
    </row>
    <row r="270" spans="1:32" s="45" customFormat="1">
      <c r="A270" s="90">
        <v>849</v>
      </c>
      <c r="B270" s="151" t="s">
        <v>270</v>
      </c>
      <c r="C270" s="395">
        <v>2849</v>
      </c>
      <c r="D270" s="134">
        <v>76.166666666666671</v>
      </c>
      <c r="E270" s="41">
        <v>1151</v>
      </c>
      <c r="F270" s="332">
        <f t="shared" si="9"/>
        <v>6.6174341152620914E-2</v>
      </c>
      <c r="G270" s="377">
        <f>Muut[[#This Row],[Keskim. työttömyysaste 2023, %]]/$F$12</f>
        <v>0.67344900768368809</v>
      </c>
      <c r="H270" s="166">
        <v>0</v>
      </c>
      <c r="I270" s="383">
        <v>4</v>
      </c>
      <c r="J270" s="389">
        <v>64</v>
      </c>
      <c r="K270" s="269">
        <v>609.14</v>
      </c>
      <c r="L270" s="170">
        <f t="shared" si="10"/>
        <v>4.6770857274189845</v>
      </c>
      <c r="M270" s="377">
        <v>3.9401543060818174</v>
      </c>
      <c r="N270" s="166">
        <v>0</v>
      </c>
      <c r="O270" s="397">
        <v>0</v>
      </c>
      <c r="P270" s="269">
        <v>699</v>
      </c>
      <c r="Q270" s="15">
        <v>92</v>
      </c>
      <c r="R270" s="158">
        <v>0.13161659513590845</v>
      </c>
      <c r="S270" s="401">
        <v>0.94169759581530843</v>
      </c>
      <c r="T270" s="153">
        <v>122</v>
      </c>
      <c r="U270" s="197">
        <v>132464.02562838275</v>
      </c>
      <c r="V270" s="159">
        <v>0</v>
      </c>
      <c r="W270" s="159">
        <v>0</v>
      </c>
      <c r="X270" s="159">
        <v>116863.36</v>
      </c>
      <c r="Y270" s="159">
        <v>464623.42919014156</v>
      </c>
      <c r="Z270" s="159">
        <v>0</v>
      </c>
      <c r="AA270" s="155">
        <v>0</v>
      </c>
      <c r="AB270" s="159">
        <v>76033.285406541239</v>
      </c>
      <c r="AC270" s="159">
        <v>89588.260000000009</v>
      </c>
      <c r="AD270" s="174">
        <f>SUM(Muut[[#This Row],[Työttömyysaste]:[Työttömät ja palveluissa olevat ]])</f>
        <v>879572.36022506549</v>
      </c>
      <c r="AF270" s="62"/>
    </row>
    <row r="271" spans="1:32" s="45" customFormat="1">
      <c r="A271" s="90">
        <v>850</v>
      </c>
      <c r="B271" s="151" t="s">
        <v>271</v>
      </c>
      <c r="C271" s="395">
        <v>2368</v>
      </c>
      <c r="D271" s="134">
        <v>79.333333333333329</v>
      </c>
      <c r="E271" s="41">
        <v>1000</v>
      </c>
      <c r="F271" s="332">
        <f t="shared" si="9"/>
        <v>7.9333333333333325E-2</v>
      </c>
      <c r="G271" s="377">
        <f>Muut[[#This Row],[Keskim. työttömyysaste 2023, %]]/$F$12</f>
        <v>0.80736662698842065</v>
      </c>
      <c r="H271" s="166">
        <v>0</v>
      </c>
      <c r="I271" s="383">
        <v>2</v>
      </c>
      <c r="J271" s="389">
        <v>39</v>
      </c>
      <c r="K271" s="269">
        <v>361.46</v>
      </c>
      <c r="L271" s="170">
        <f t="shared" si="10"/>
        <v>6.5512089857798932</v>
      </c>
      <c r="M271" s="377">
        <v>2.8129829942541353</v>
      </c>
      <c r="N271" s="166">
        <v>0</v>
      </c>
      <c r="O271" s="397">
        <v>0</v>
      </c>
      <c r="P271" s="269">
        <v>683</v>
      </c>
      <c r="Q271" s="15">
        <v>68</v>
      </c>
      <c r="R271" s="158">
        <v>9.9560761346998539E-2</v>
      </c>
      <c r="S271" s="401">
        <v>0.71234276727183832</v>
      </c>
      <c r="T271" s="153">
        <v>114</v>
      </c>
      <c r="U271" s="197">
        <v>131993.7216838004</v>
      </c>
      <c r="V271" s="159">
        <v>0</v>
      </c>
      <c r="W271" s="159">
        <v>0</v>
      </c>
      <c r="X271" s="159">
        <v>71213.61</v>
      </c>
      <c r="Y271" s="159">
        <v>275704.73900099908</v>
      </c>
      <c r="Z271" s="159">
        <v>0</v>
      </c>
      <c r="AA271" s="155">
        <v>0</v>
      </c>
      <c r="AB271" s="159">
        <v>47804.696249977875</v>
      </c>
      <c r="AC271" s="159">
        <v>83713.62000000001</v>
      </c>
      <c r="AD271" s="174">
        <f>SUM(Muut[[#This Row],[Työttömyysaste]:[Työttömät ja palveluissa olevat ]])</f>
        <v>610430.38693477737</v>
      </c>
      <c r="AF271" s="62"/>
    </row>
    <row r="272" spans="1:32" s="45" customFormat="1">
      <c r="A272" s="90">
        <v>851</v>
      </c>
      <c r="B272" s="151" t="s">
        <v>272</v>
      </c>
      <c r="C272" s="395">
        <v>21018</v>
      </c>
      <c r="D272" s="134">
        <v>778.75</v>
      </c>
      <c r="E272" s="41">
        <v>9569</v>
      </c>
      <c r="F272" s="332">
        <f t="shared" si="9"/>
        <v>8.1382589612289682E-2</v>
      </c>
      <c r="G272" s="377">
        <f>Muut[[#This Row],[Keskim. työttömyysaste 2023, %]]/$F$12</f>
        <v>0.82822168324609924</v>
      </c>
      <c r="H272" s="166">
        <v>0</v>
      </c>
      <c r="I272" s="383">
        <v>110</v>
      </c>
      <c r="J272" s="389">
        <v>706</v>
      </c>
      <c r="K272" s="269">
        <v>1188.75</v>
      </c>
      <c r="L272" s="170">
        <f t="shared" si="10"/>
        <v>17.680757097791798</v>
      </c>
      <c r="M272" s="377">
        <v>1.0422879160024943</v>
      </c>
      <c r="N272" s="166">
        <v>0</v>
      </c>
      <c r="O272" s="397">
        <v>0</v>
      </c>
      <c r="P272" s="269">
        <v>6176</v>
      </c>
      <c r="Q272" s="15">
        <v>691</v>
      </c>
      <c r="R272" s="158">
        <v>0.11188471502590673</v>
      </c>
      <c r="S272" s="401">
        <v>0.80051886344256207</v>
      </c>
      <c r="T272" s="153">
        <v>1266</v>
      </c>
      <c r="U272" s="197">
        <v>1201818.1728877285</v>
      </c>
      <c r="V272" s="159">
        <v>0</v>
      </c>
      <c r="W272" s="159">
        <v>0</v>
      </c>
      <c r="X272" s="159">
        <v>1289148.94</v>
      </c>
      <c r="Y272" s="159">
        <v>906722.75905338826</v>
      </c>
      <c r="Z272" s="159">
        <v>0</v>
      </c>
      <c r="AA272" s="155">
        <v>0</v>
      </c>
      <c r="AB272" s="159">
        <v>476829.15707182576</v>
      </c>
      <c r="AC272" s="159">
        <v>929661.78</v>
      </c>
      <c r="AD272" s="174">
        <f>SUM(Muut[[#This Row],[Työttömyysaste]:[Työttömät ja palveluissa olevat ]])</f>
        <v>4804180.809012942</v>
      </c>
      <c r="AF272" s="62"/>
    </row>
    <row r="273" spans="1:32" s="45" customFormat="1">
      <c r="A273" s="90">
        <v>853</v>
      </c>
      <c r="B273" s="151" t="s">
        <v>273</v>
      </c>
      <c r="C273" s="395">
        <v>201863</v>
      </c>
      <c r="D273" s="134">
        <v>11632.583333333334</v>
      </c>
      <c r="E273" s="41">
        <v>97378</v>
      </c>
      <c r="F273" s="332">
        <f t="shared" si="9"/>
        <v>0.11945802268821842</v>
      </c>
      <c r="G273" s="377">
        <f>Muut[[#This Row],[Keskim. työttömyysaste 2023, %]]/$F$12</f>
        <v>1.2157111871154598</v>
      </c>
      <c r="H273" s="166">
        <v>1</v>
      </c>
      <c r="I273" s="383">
        <v>10981</v>
      </c>
      <c r="J273" s="389">
        <v>30862</v>
      </c>
      <c r="K273" s="269">
        <v>245.63</v>
      </c>
      <c r="L273" s="170">
        <f t="shared" si="10"/>
        <v>821.81736758539273</v>
      </c>
      <c r="M273" s="377">
        <v>2.2424008296330965E-2</v>
      </c>
      <c r="N273" s="166">
        <v>0</v>
      </c>
      <c r="O273" s="397">
        <v>0</v>
      </c>
      <c r="P273" s="269">
        <v>64435</v>
      </c>
      <c r="Q273" s="15">
        <v>10177</v>
      </c>
      <c r="R273" s="158">
        <v>0.15794211220609916</v>
      </c>
      <c r="S273" s="401">
        <v>1.1300528416564151</v>
      </c>
      <c r="T273" s="153">
        <v>16907</v>
      </c>
      <c r="U273" s="197">
        <v>16942906.692458067</v>
      </c>
      <c r="V273" s="159">
        <v>4140775.3464000006</v>
      </c>
      <c r="W273" s="159">
        <v>2992621.1832000003</v>
      </c>
      <c r="X273" s="159">
        <v>56353703.380000003</v>
      </c>
      <c r="Y273" s="159">
        <v>187355.04631443424</v>
      </c>
      <c r="Z273" s="159">
        <v>0</v>
      </c>
      <c r="AA273" s="155">
        <v>0</v>
      </c>
      <c r="AB273" s="159">
        <v>6464803.3810116872</v>
      </c>
      <c r="AC273" s="159">
        <v>12415317.310000001</v>
      </c>
      <c r="AD273" s="174">
        <f>SUM(Muut[[#This Row],[Työttömyysaste]:[Työttömät ja palveluissa olevat ]])</f>
        <v>99497482.339384198</v>
      </c>
      <c r="AF273" s="62"/>
    </row>
    <row r="274" spans="1:32" s="45" customFormat="1">
      <c r="A274" s="90">
        <v>854</v>
      </c>
      <c r="B274" s="151" t="s">
        <v>274</v>
      </c>
      <c r="C274" s="395">
        <v>3253</v>
      </c>
      <c r="D274" s="134">
        <v>127.33333333333333</v>
      </c>
      <c r="E274" s="41">
        <v>1234</v>
      </c>
      <c r="F274" s="332">
        <f t="shared" si="9"/>
        <v>0.10318746623446785</v>
      </c>
      <c r="G274" s="377">
        <f>Muut[[#This Row],[Keskim. työttömyysaste 2023, %]]/$F$12</f>
        <v>1.0501275196790403</v>
      </c>
      <c r="H274" s="166">
        <v>0</v>
      </c>
      <c r="I274" s="383">
        <v>24</v>
      </c>
      <c r="J274" s="389">
        <v>70</v>
      </c>
      <c r="K274" s="269">
        <v>1738.16</v>
      </c>
      <c r="L274" s="170">
        <f t="shared" si="10"/>
        <v>1.8715193077737378</v>
      </c>
      <c r="M274" s="377">
        <v>9.846780309589878</v>
      </c>
      <c r="N274" s="166">
        <v>0</v>
      </c>
      <c r="O274" s="397">
        <v>0</v>
      </c>
      <c r="P274" s="269">
        <v>650</v>
      </c>
      <c r="Q274" s="15">
        <v>110</v>
      </c>
      <c r="R274" s="158">
        <v>0.16923076923076924</v>
      </c>
      <c r="S274" s="401">
        <v>1.2108215408401179</v>
      </c>
      <c r="T274" s="153">
        <v>193</v>
      </c>
      <c r="U274" s="197">
        <v>235845.11527745906</v>
      </c>
      <c r="V274" s="159">
        <v>0</v>
      </c>
      <c r="W274" s="159">
        <v>0</v>
      </c>
      <c r="X274" s="159">
        <v>127819.3</v>
      </c>
      <c r="Y274" s="159">
        <v>1325786.9450062981</v>
      </c>
      <c r="Z274" s="159">
        <v>0</v>
      </c>
      <c r="AA274" s="155">
        <v>0</v>
      </c>
      <c r="AB274" s="159">
        <v>111625.66206648129</v>
      </c>
      <c r="AC274" s="159">
        <v>141725.69</v>
      </c>
      <c r="AD274" s="174">
        <f>SUM(Muut[[#This Row],[Työttömyysaste]:[Työttömät ja palveluissa olevat ]])</f>
        <v>1942802.7123502383</v>
      </c>
      <c r="AF274" s="62"/>
    </row>
    <row r="275" spans="1:32" s="45" customFormat="1">
      <c r="A275" s="90">
        <v>857</v>
      </c>
      <c r="B275" s="151" t="s">
        <v>275</v>
      </c>
      <c r="C275" s="395">
        <v>2313</v>
      </c>
      <c r="D275" s="134">
        <v>99</v>
      </c>
      <c r="E275" s="41">
        <v>885</v>
      </c>
      <c r="F275" s="332">
        <f t="shared" si="9"/>
        <v>0.11186440677966102</v>
      </c>
      <c r="G275" s="377">
        <f>Muut[[#This Row],[Keskim. työttömyysaste 2023, %]]/$F$12</f>
        <v>1.1384317913666664</v>
      </c>
      <c r="H275" s="166">
        <v>0</v>
      </c>
      <c r="I275" s="383">
        <v>3</v>
      </c>
      <c r="J275" s="389">
        <v>55</v>
      </c>
      <c r="K275" s="269">
        <v>543.21</v>
      </c>
      <c r="L275" s="170">
        <f t="shared" si="10"/>
        <v>4.258021759540509</v>
      </c>
      <c r="M275" s="377">
        <v>4.3279345455464195</v>
      </c>
      <c r="N275" s="166">
        <v>0</v>
      </c>
      <c r="O275" s="397">
        <v>0</v>
      </c>
      <c r="P275" s="269">
        <v>531</v>
      </c>
      <c r="Q275" s="15">
        <v>97</v>
      </c>
      <c r="R275" s="158">
        <v>0.18267419962335216</v>
      </c>
      <c r="S275" s="401">
        <v>1.3070073300799423</v>
      </c>
      <c r="T275" s="153">
        <v>133</v>
      </c>
      <c r="U275" s="197">
        <v>181795.62631608316</v>
      </c>
      <c r="V275" s="159">
        <v>0</v>
      </c>
      <c r="W275" s="159">
        <v>0</v>
      </c>
      <c r="X275" s="159">
        <v>100429.45</v>
      </c>
      <c r="Y275" s="159">
        <v>414335.1166733047</v>
      </c>
      <c r="Z275" s="159">
        <v>0</v>
      </c>
      <c r="AA275" s="155">
        <v>0</v>
      </c>
      <c r="AB275" s="159">
        <v>85674.879429818844</v>
      </c>
      <c r="AC275" s="159">
        <v>97665.89</v>
      </c>
      <c r="AD275" s="174">
        <f>SUM(Muut[[#This Row],[Työttömyysaste]:[Työttömät ja palveluissa olevat ]])</f>
        <v>879900.96241920663</v>
      </c>
      <c r="AF275" s="62"/>
    </row>
    <row r="276" spans="1:32" s="45" customFormat="1">
      <c r="A276" s="90">
        <v>858</v>
      </c>
      <c r="B276" s="151" t="s">
        <v>276</v>
      </c>
      <c r="C276" s="395">
        <v>41338</v>
      </c>
      <c r="D276" s="134">
        <v>1438.8333333333333</v>
      </c>
      <c r="E276" s="41">
        <v>20470</v>
      </c>
      <c r="F276" s="332">
        <f t="shared" si="9"/>
        <v>7.0289855072463769E-2</v>
      </c>
      <c r="G276" s="377">
        <f>Muut[[#This Row],[Keskim. työttömyysaste 2023, %]]/$F$12</f>
        <v>0.71533214119361355</v>
      </c>
      <c r="H276" s="166">
        <v>0</v>
      </c>
      <c r="I276" s="383">
        <v>596</v>
      </c>
      <c r="J276" s="389">
        <v>3372</v>
      </c>
      <c r="K276" s="269">
        <v>219.53</v>
      </c>
      <c r="L276" s="170">
        <f t="shared" si="10"/>
        <v>188.30228214822574</v>
      </c>
      <c r="M276" s="377">
        <v>9.7866256630375945E-2</v>
      </c>
      <c r="N276" s="166">
        <v>0</v>
      </c>
      <c r="O276" s="397">
        <v>0</v>
      </c>
      <c r="P276" s="269">
        <v>14431</v>
      </c>
      <c r="Q276" s="15">
        <v>2056</v>
      </c>
      <c r="R276" s="158">
        <v>0.14247106922597186</v>
      </c>
      <c r="S276" s="401">
        <v>1.0193597792496794</v>
      </c>
      <c r="T276" s="153">
        <v>1871</v>
      </c>
      <c r="U276" s="197">
        <v>2041540.4196357573</v>
      </c>
      <c r="V276" s="159">
        <v>0</v>
      </c>
      <c r="W276" s="159">
        <v>0</v>
      </c>
      <c r="X276" s="159">
        <v>6157238.2800000003</v>
      </c>
      <c r="Y276" s="159">
        <v>167447.19015351444</v>
      </c>
      <c r="Z276" s="159">
        <v>0</v>
      </c>
      <c r="AA276" s="155">
        <v>0</v>
      </c>
      <c r="AB276" s="159">
        <v>1194199.2676780226</v>
      </c>
      <c r="AC276" s="159">
        <v>1373931.4300000002</v>
      </c>
      <c r="AD276" s="174">
        <f>SUM(Muut[[#This Row],[Työttömyysaste]:[Työttömät ja palveluissa olevat ]])</f>
        <v>10934356.587467294</v>
      </c>
      <c r="AF276" s="62"/>
    </row>
    <row r="277" spans="1:32" s="45" customFormat="1">
      <c r="A277" s="90">
        <v>859</v>
      </c>
      <c r="B277" s="151" t="s">
        <v>277</v>
      </c>
      <c r="C277" s="395">
        <v>6525</v>
      </c>
      <c r="D277" s="134">
        <v>206.25</v>
      </c>
      <c r="E277" s="41">
        <v>2820</v>
      </c>
      <c r="F277" s="332">
        <f t="shared" si="9"/>
        <v>7.3138297872340427E-2</v>
      </c>
      <c r="G277" s="377">
        <f>Muut[[#This Row],[Keskim. työttömyysaste 2023, %]]/$F$12</f>
        <v>0.74432043096889755</v>
      </c>
      <c r="H277" s="166">
        <v>0</v>
      </c>
      <c r="I277" s="383">
        <v>14</v>
      </c>
      <c r="J277" s="389">
        <v>65</v>
      </c>
      <c r="K277" s="269">
        <v>491.83</v>
      </c>
      <c r="L277" s="170">
        <f t="shared" si="10"/>
        <v>13.266779171665007</v>
      </c>
      <c r="M277" s="377">
        <v>1.3890665722516067</v>
      </c>
      <c r="N277" s="166">
        <v>0</v>
      </c>
      <c r="O277" s="397">
        <v>0</v>
      </c>
      <c r="P277" s="269">
        <v>1930</v>
      </c>
      <c r="Q277" s="15">
        <v>141</v>
      </c>
      <c r="R277" s="158">
        <v>7.3056994818652854E-2</v>
      </c>
      <c r="S277" s="401">
        <v>0.52271217248232138</v>
      </c>
      <c r="T277" s="153">
        <v>292</v>
      </c>
      <c r="U277" s="197">
        <v>335305.93366545485</v>
      </c>
      <c r="V277" s="159">
        <v>0</v>
      </c>
      <c r="W277" s="159">
        <v>0</v>
      </c>
      <c r="X277" s="159">
        <v>118689.35</v>
      </c>
      <c r="Y277" s="159">
        <v>375144.86190134834</v>
      </c>
      <c r="Z277" s="159">
        <v>0</v>
      </c>
      <c r="AA277" s="155">
        <v>0</v>
      </c>
      <c r="AB277" s="159">
        <v>96659.150867172139</v>
      </c>
      <c r="AC277" s="159">
        <v>214424.36000000002</v>
      </c>
      <c r="AD277" s="174">
        <f>SUM(Muut[[#This Row],[Työttömyysaste]:[Työttömät ja palveluissa olevat ]])</f>
        <v>1140223.6564339753</v>
      </c>
      <c r="AF277" s="62"/>
    </row>
    <row r="278" spans="1:32" s="45" customFormat="1">
      <c r="A278" s="90">
        <v>886</v>
      </c>
      <c r="B278" s="151" t="s">
        <v>278</v>
      </c>
      <c r="C278" s="395">
        <v>12533</v>
      </c>
      <c r="D278" s="134">
        <v>410.91666666666669</v>
      </c>
      <c r="E278" s="41">
        <v>5685</v>
      </c>
      <c r="F278" s="332">
        <f t="shared" si="9"/>
        <v>7.2280856053943132E-2</v>
      </c>
      <c r="G278" s="377">
        <f>Muut[[#This Row],[Keskim. työttömyysaste 2023, %]]/$F$12</f>
        <v>0.73559433968202903</v>
      </c>
      <c r="H278" s="166">
        <v>0</v>
      </c>
      <c r="I278" s="383">
        <v>32</v>
      </c>
      <c r="J278" s="389">
        <v>354</v>
      </c>
      <c r="K278" s="269">
        <v>400.84</v>
      </c>
      <c r="L278" s="170">
        <f t="shared" si="10"/>
        <v>31.2668396367628</v>
      </c>
      <c r="M278" s="377">
        <v>0.58939245804478435</v>
      </c>
      <c r="N278" s="166">
        <v>0</v>
      </c>
      <c r="O278" s="397">
        <v>0</v>
      </c>
      <c r="P278" s="269">
        <v>3774</v>
      </c>
      <c r="Q278" s="15">
        <v>333</v>
      </c>
      <c r="R278" s="158">
        <v>8.8235294117647065E-2</v>
      </c>
      <c r="S278" s="401">
        <v>0.63131069642733428</v>
      </c>
      <c r="T278" s="153">
        <v>578</v>
      </c>
      <c r="U278" s="197">
        <v>636493.83444157557</v>
      </c>
      <c r="V278" s="159">
        <v>0</v>
      </c>
      <c r="W278" s="159">
        <v>0</v>
      </c>
      <c r="X278" s="159">
        <v>646400.46</v>
      </c>
      <c r="Y278" s="159">
        <v>305741.95645758993</v>
      </c>
      <c r="Z278" s="159">
        <v>0</v>
      </c>
      <c r="AA278" s="155">
        <v>0</v>
      </c>
      <c r="AB278" s="159">
        <v>224232.22859889595</v>
      </c>
      <c r="AC278" s="159">
        <v>424442.74000000005</v>
      </c>
      <c r="AD278" s="174">
        <f>SUM(Muut[[#This Row],[Työttömyysaste]:[Työttömät ja palveluissa olevat ]])</f>
        <v>2237311.2194980616</v>
      </c>
      <c r="AF278" s="62"/>
    </row>
    <row r="279" spans="1:32" s="45" customFormat="1">
      <c r="A279" s="90">
        <v>887</v>
      </c>
      <c r="B279" s="151" t="s">
        <v>279</v>
      </c>
      <c r="C279" s="395">
        <v>4568</v>
      </c>
      <c r="D279" s="134">
        <v>188.75</v>
      </c>
      <c r="E279" s="41">
        <v>1920</v>
      </c>
      <c r="F279" s="332">
        <f t="shared" si="9"/>
        <v>9.8307291666666671E-2</v>
      </c>
      <c r="G279" s="377">
        <f>Muut[[#This Row],[Keskim. työttömyysaste 2023, %]]/$F$12</f>
        <v>1.0004625186716414</v>
      </c>
      <c r="H279" s="166">
        <v>0</v>
      </c>
      <c r="I279" s="383">
        <v>12</v>
      </c>
      <c r="J279" s="389">
        <v>144</v>
      </c>
      <c r="K279" s="269">
        <v>475.52</v>
      </c>
      <c r="L279" s="170">
        <f t="shared" si="10"/>
        <v>9.6063257065948857</v>
      </c>
      <c r="M279" s="377">
        <v>1.9183650473304608</v>
      </c>
      <c r="N279" s="166">
        <v>0</v>
      </c>
      <c r="O279" s="397">
        <v>0</v>
      </c>
      <c r="P279" s="269">
        <v>1254</v>
      </c>
      <c r="Q279" s="15">
        <v>203</v>
      </c>
      <c r="R279" s="158">
        <v>0.16188197767145135</v>
      </c>
      <c r="S279" s="401">
        <v>1.1582420060450453</v>
      </c>
      <c r="T279" s="153">
        <v>337</v>
      </c>
      <c r="U279" s="197">
        <v>315520.58669656375</v>
      </c>
      <c r="V279" s="159">
        <v>0</v>
      </c>
      <c r="W279" s="159">
        <v>0</v>
      </c>
      <c r="X279" s="159">
        <v>262942.56</v>
      </c>
      <c r="Y279" s="159">
        <v>362704.35868354747</v>
      </c>
      <c r="Z279" s="159">
        <v>0</v>
      </c>
      <c r="AA279" s="155">
        <v>0</v>
      </c>
      <c r="AB279" s="159">
        <v>149942.67436561416</v>
      </c>
      <c r="AC279" s="159">
        <v>247469.21000000002</v>
      </c>
      <c r="AD279" s="174">
        <f>SUM(Muut[[#This Row],[Työttömyysaste]:[Työttömät ja palveluissa olevat ]])</f>
        <v>1338579.3897457253</v>
      </c>
      <c r="AF279" s="62"/>
    </row>
    <row r="280" spans="1:32" s="45" customFormat="1">
      <c r="A280" s="90">
        <v>889</v>
      </c>
      <c r="B280" s="151" t="s">
        <v>280</v>
      </c>
      <c r="C280" s="395">
        <v>2491</v>
      </c>
      <c r="D280" s="134">
        <v>101.16666666666667</v>
      </c>
      <c r="E280" s="41">
        <v>986</v>
      </c>
      <c r="F280" s="332">
        <f t="shared" si="9"/>
        <v>0.10260311020960108</v>
      </c>
      <c r="G280" s="377">
        <f>Muut[[#This Row],[Keskim. työttömyysaste 2023, %]]/$F$12</f>
        <v>1.0441805925434473</v>
      </c>
      <c r="H280" s="166">
        <v>0</v>
      </c>
      <c r="I280" s="383">
        <v>0</v>
      </c>
      <c r="J280" s="389">
        <v>77</v>
      </c>
      <c r="K280" s="269">
        <v>1669.46</v>
      </c>
      <c r="L280" s="170">
        <f t="shared" si="10"/>
        <v>1.4920992416709595</v>
      </c>
      <c r="M280" s="377">
        <v>12.35067946832158</v>
      </c>
      <c r="N280" s="166">
        <v>0</v>
      </c>
      <c r="O280" s="397">
        <v>0</v>
      </c>
      <c r="P280" s="269">
        <v>585</v>
      </c>
      <c r="Q280" s="15">
        <v>77</v>
      </c>
      <c r="R280" s="158">
        <v>0.13162393162393163</v>
      </c>
      <c r="S280" s="401">
        <v>0.9417500873200918</v>
      </c>
      <c r="T280" s="153">
        <v>158</v>
      </c>
      <c r="U280" s="197">
        <v>179576.75822001626</v>
      </c>
      <c r="V280" s="159">
        <v>0</v>
      </c>
      <c r="W280" s="159">
        <v>0</v>
      </c>
      <c r="X280" s="159">
        <v>140601.23000000001</v>
      </c>
      <c r="Y280" s="159">
        <v>1273385.8063758311</v>
      </c>
      <c r="Z280" s="159">
        <v>0</v>
      </c>
      <c r="AA280" s="155">
        <v>0</v>
      </c>
      <c r="AB280" s="159">
        <v>66482.790909356641</v>
      </c>
      <c r="AC280" s="159">
        <v>116024.14</v>
      </c>
      <c r="AD280" s="174">
        <f>SUM(Muut[[#This Row],[Työttömyysaste]:[Työttömät ja palveluissa olevat ]])</f>
        <v>1776070.7255052039</v>
      </c>
      <c r="AF280" s="62"/>
    </row>
    <row r="281" spans="1:32" s="45" customFormat="1">
      <c r="A281" s="90">
        <v>890</v>
      </c>
      <c r="B281" s="151" t="s">
        <v>281</v>
      </c>
      <c r="C281" s="395">
        <v>1139</v>
      </c>
      <c r="D281" s="134">
        <v>45.416666666666664</v>
      </c>
      <c r="E281" s="41">
        <v>534</v>
      </c>
      <c r="F281" s="332">
        <f t="shared" si="9"/>
        <v>8.5049937578027465E-2</v>
      </c>
      <c r="G281" s="377">
        <f>Muut[[#This Row],[Keskim. työttömyysaste 2023, %]]/$F$12</f>
        <v>0.8655438810245516</v>
      </c>
      <c r="H281" s="166">
        <v>0</v>
      </c>
      <c r="I281" s="383">
        <v>2</v>
      </c>
      <c r="J281" s="389">
        <v>50</v>
      </c>
      <c r="K281" s="269">
        <v>5147.16</v>
      </c>
      <c r="L281" s="170">
        <f t="shared" si="10"/>
        <v>0.22128707869971015</v>
      </c>
      <c r="M281" s="377">
        <v>83.278425369839994</v>
      </c>
      <c r="N281" s="166">
        <v>0</v>
      </c>
      <c r="O281" s="397">
        <v>0</v>
      </c>
      <c r="P281" s="269">
        <v>333</v>
      </c>
      <c r="Q281" s="15">
        <v>62</v>
      </c>
      <c r="R281" s="158">
        <v>0.18618618618618618</v>
      </c>
      <c r="S281" s="401">
        <v>1.3321350831519725</v>
      </c>
      <c r="T281" s="153">
        <v>56</v>
      </c>
      <c r="U281" s="197">
        <v>68063.393332820036</v>
      </c>
      <c r="V281" s="159">
        <v>0</v>
      </c>
      <c r="W281" s="159">
        <v>0</v>
      </c>
      <c r="X281" s="159">
        <v>91299.5</v>
      </c>
      <c r="Y281" s="159">
        <v>942864.20000000007</v>
      </c>
      <c r="Z281" s="159">
        <v>0</v>
      </c>
      <c r="AA281" s="155">
        <v>0</v>
      </c>
      <c r="AB281" s="159">
        <v>43000.334704184133</v>
      </c>
      <c r="AC281" s="159">
        <v>41122.480000000003</v>
      </c>
      <c r="AD281" s="174">
        <f>SUM(Muut[[#This Row],[Työttömyysaste]:[Työttömät ja palveluissa olevat ]])</f>
        <v>1186349.9080370043</v>
      </c>
      <c r="AF281" s="62"/>
    </row>
    <row r="282" spans="1:32" s="45" customFormat="1">
      <c r="A282" s="90">
        <v>892</v>
      </c>
      <c r="B282" s="151" t="s">
        <v>282</v>
      </c>
      <c r="C282" s="395">
        <v>3615</v>
      </c>
      <c r="D282" s="134">
        <v>162.16666666666666</v>
      </c>
      <c r="E282" s="41">
        <v>1567</v>
      </c>
      <c r="F282" s="332">
        <f t="shared" si="9"/>
        <v>0.10348861944267176</v>
      </c>
      <c r="G282" s="377">
        <f>Muut[[#This Row],[Keskim. työttömyysaste 2023, %]]/$F$12</f>
        <v>1.053192322829221</v>
      </c>
      <c r="H282" s="166">
        <v>0</v>
      </c>
      <c r="I282" s="383">
        <v>3</v>
      </c>
      <c r="J282" s="389">
        <v>58</v>
      </c>
      <c r="K282" s="269">
        <v>347.98</v>
      </c>
      <c r="L282" s="170">
        <f t="shared" si="10"/>
        <v>10.388528076326224</v>
      </c>
      <c r="M282" s="377">
        <v>1.7739220930440718</v>
      </c>
      <c r="N282" s="166">
        <v>0</v>
      </c>
      <c r="O282" s="397">
        <v>0</v>
      </c>
      <c r="P282" s="269">
        <v>1145</v>
      </c>
      <c r="Q282" s="15">
        <v>100</v>
      </c>
      <c r="R282" s="158">
        <v>8.7336244541484712E-2</v>
      </c>
      <c r="S282" s="401">
        <v>0.62487812746810378</v>
      </c>
      <c r="T282" s="153">
        <v>224</v>
      </c>
      <c r="U282" s="197">
        <v>262855.3186547879</v>
      </c>
      <c r="V282" s="159">
        <v>0</v>
      </c>
      <c r="W282" s="159">
        <v>0</v>
      </c>
      <c r="X282" s="159">
        <v>105907.42</v>
      </c>
      <c r="Y282" s="159">
        <v>265422.82708340528</v>
      </c>
      <c r="Z282" s="159">
        <v>0</v>
      </c>
      <c r="AA282" s="155">
        <v>0</v>
      </c>
      <c r="AB282" s="159">
        <v>64018.201768792511</v>
      </c>
      <c r="AC282" s="159">
        <v>164489.92000000001</v>
      </c>
      <c r="AD282" s="174">
        <f>SUM(Muut[[#This Row],[Työttömyysaste]:[Työttömät ja palveluissa olevat ]])</f>
        <v>862693.68750698573</v>
      </c>
      <c r="AF282" s="62"/>
    </row>
    <row r="283" spans="1:32" s="45" customFormat="1">
      <c r="A283" s="90">
        <v>893</v>
      </c>
      <c r="B283" s="151" t="s">
        <v>283</v>
      </c>
      <c r="C283" s="395">
        <v>7500</v>
      </c>
      <c r="D283" s="134">
        <v>148.25</v>
      </c>
      <c r="E283" s="41">
        <v>3416</v>
      </c>
      <c r="F283" s="332">
        <f t="shared" si="9"/>
        <v>4.3398711943793911E-2</v>
      </c>
      <c r="G283" s="377">
        <f>Muut[[#This Row],[Keskim. työttömyysaste 2023, %]]/$F$12</f>
        <v>0.44166392871054172</v>
      </c>
      <c r="H283" s="166">
        <v>3</v>
      </c>
      <c r="I283" s="383">
        <v>6278</v>
      </c>
      <c r="J283" s="389">
        <v>733</v>
      </c>
      <c r="K283" s="269">
        <v>732.86</v>
      </c>
      <c r="L283" s="170">
        <f t="shared" si="10"/>
        <v>10.233878230494227</v>
      </c>
      <c r="M283" s="377">
        <v>1.8007288198809994</v>
      </c>
      <c r="N283" s="166">
        <v>0</v>
      </c>
      <c r="O283" s="397">
        <v>0</v>
      </c>
      <c r="P283" s="269">
        <v>2312</v>
      </c>
      <c r="Q283" s="15">
        <v>363</v>
      </c>
      <c r="R283" s="158">
        <v>0.1570069204152249</v>
      </c>
      <c r="S283" s="401">
        <v>1.1233616804074624</v>
      </c>
      <c r="T283" s="153">
        <v>273</v>
      </c>
      <c r="U283" s="197">
        <v>228693.58228631856</v>
      </c>
      <c r="V283" s="159">
        <v>153846.00000000003</v>
      </c>
      <c r="W283" s="159">
        <v>1710925.7616000003</v>
      </c>
      <c r="X283" s="159">
        <v>1338450.67</v>
      </c>
      <c r="Y283" s="159">
        <v>558991.24391155923</v>
      </c>
      <c r="Z283" s="159">
        <v>0</v>
      </c>
      <c r="AA283" s="155">
        <v>0</v>
      </c>
      <c r="AB283" s="159">
        <v>238770.52517060615</v>
      </c>
      <c r="AC283" s="159">
        <v>200472.09000000003</v>
      </c>
      <c r="AD283" s="174">
        <f>SUM(Muut[[#This Row],[Työttömyysaste]:[Työttömät ja palveluissa olevat ]])</f>
        <v>4430149.8729684837</v>
      </c>
      <c r="AF283" s="62"/>
    </row>
    <row r="284" spans="1:32" s="45" customFormat="1">
      <c r="A284" s="90">
        <v>895</v>
      </c>
      <c r="B284" s="151" t="s">
        <v>284</v>
      </c>
      <c r="C284" s="395">
        <v>14938</v>
      </c>
      <c r="D284" s="134">
        <v>681.08333333333337</v>
      </c>
      <c r="E284" s="41">
        <v>7157</v>
      </c>
      <c r="F284" s="332">
        <f t="shared" si="9"/>
        <v>9.5163243444646273E-2</v>
      </c>
      <c r="G284" s="377">
        <f>Muut[[#This Row],[Keskim. työttömyysaste 2023, %]]/$F$12</f>
        <v>0.96846588495607555</v>
      </c>
      <c r="H284" s="166">
        <v>0</v>
      </c>
      <c r="I284" s="383">
        <v>56</v>
      </c>
      <c r="J284" s="389">
        <v>1209</v>
      </c>
      <c r="K284" s="269">
        <v>503.62</v>
      </c>
      <c r="L284" s="170">
        <f t="shared" si="10"/>
        <v>29.661252531670705</v>
      </c>
      <c r="M284" s="377">
        <v>0.62129673887260206</v>
      </c>
      <c r="N284" s="166">
        <v>3</v>
      </c>
      <c r="O284" s="397">
        <v>639</v>
      </c>
      <c r="P284" s="269">
        <v>4306</v>
      </c>
      <c r="Q284" s="15">
        <v>760</v>
      </c>
      <c r="R284" s="158">
        <v>0.17649790989317232</v>
      </c>
      <c r="S284" s="401">
        <v>1.2628168753431117</v>
      </c>
      <c r="T284" s="153">
        <v>1068</v>
      </c>
      <c r="U284" s="197">
        <v>998797.77160927537</v>
      </c>
      <c r="V284" s="159">
        <v>0</v>
      </c>
      <c r="W284" s="159">
        <v>0</v>
      </c>
      <c r="X284" s="159">
        <v>2207621.91</v>
      </c>
      <c r="Y284" s="159">
        <v>384137.72106369492</v>
      </c>
      <c r="Z284" s="159">
        <v>0</v>
      </c>
      <c r="AA284" s="155">
        <v>188530.56000000003</v>
      </c>
      <c r="AB284" s="159">
        <v>534604.58343302889</v>
      </c>
      <c r="AC284" s="159">
        <v>784264.44000000006</v>
      </c>
      <c r="AD284" s="174">
        <f>SUM(Muut[[#This Row],[Työttömyysaste]:[Työttömät ja palveluissa olevat ]])</f>
        <v>5097956.9861059999</v>
      </c>
      <c r="AF284" s="62"/>
    </row>
    <row r="285" spans="1:32" s="45" customFormat="1">
      <c r="A285" s="90">
        <v>905</v>
      </c>
      <c r="B285" s="151" t="s">
        <v>285</v>
      </c>
      <c r="C285" s="395">
        <v>68956</v>
      </c>
      <c r="D285" s="134">
        <v>2402</v>
      </c>
      <c r="E285" s="41">
        <v>32771</v>
      </c>
      <c r="F285" s="332">
        <f t="shared" si="9"/>
        <v>7.3296512160141589E-2</v>
      </c>
      <c r="G285" s="377">
        <f>Muut[[#This Row],[Keskim. työttömyysaste 2023, %]]/$F$12</f>
        <v>0.74593056041280603</v>
      </c>
      <c r="H285" s="166">
        <v>1</v>
      </c>
      <c r="I285" s="383">
        <v>16017</v>
      </c>
      <c r="J285" s="389">
        <v>8312</v>
      </c>
      <c r="K285" s="269">
        <v>364.84</v>
      </c>
      <c r="L285" s="170">
        <f t="shared" si="10"/>
        <v>189.00339875013705</v>
      </c>
      <c r="M285" s="377">
        <v>9.7503217353070784E-2</v>
      </c>
      <c r="N285" s="166">
        <v>0</v>
      </c>
      <c r="O285" s="397">
        <v>0</v>
      </c>
      <c r="P285" s="269">
        <v>21293</v>
      </c>
      <c r="Q285" s="15">
        <v>2644</v>
      </c>
      <c r="R285" s="158">
        <v>0.1241722631850843</v>
      </c>
      <c r="S285" s="401">
        <v>0.88843448341444986</v>
      </c>
      <c r="T285" s="153">
        <v>3943</v>
      </c>
      <c r="U285" s="197">
        <v>3551168.2084529102</v>
      </c>
      <c r="V285" s="159">
        <v>1414480.6368000002</v>
      </c>
      <c r="W285" s="159">
        <v>4365068.1624000007</v>
      </c>
      <c r="X285" s="159">
        <v>15177628.880000001</v>
      </c>
      <c r="Y285" s="159">
        <v>278282.84451149363</v>
      </c>
      <c r="Z285" s="159">
        <v>0</v>
      </c>
      <c r="AA285" s="155">
        <v>0</v>
      </c>
      <c r="AB285" s="159">
        <v>1736190.2526741817</v>
      </c>
      <c r="AC285" s="159">
        <v>2895463.19</v>
      </c>
      <c r="AD285" s="174">
        <f>SUM(Muut[[#This Row],[Työttömyysaste]:[Työttömät ja palveluissa olevat ]])</f>
        <v>29418282.174838588</v>
      </c>
      <c r="AF285" s="62"/>
    </row>
    <row r="286" spans="1:32" s="45" customFormat="1">
      <c r="A286" s="90">
        <v>908</v>
      </c>
      <c r="B286" s="151" t="s">
        <v>286</v>
      </c>
      <c r="C286" s="395">
        <v>20694</v>
      </c>
      <c r="D286" s="134">
        <v>979.08333333333337</v>
      </c>
      <c r="E286" s="41">
        <v>9009</v>
      </c>
      <c r="F286" s="332">
        <f t="shared" si="9"/>
        <v>0.10867835867835868</v>
      </c>
      <c r="G286" s="377">
        <f>Muut[[#This Row],[Keskim. työttömyysaste 2023, %]]/$F$12</f>
        <v>1.1060077294888766</v>
      </c>
      <c r="H286" s="166">
        <v>0</v>
      </c>
      <c r="I286" s="383">
        <v>36</v>
      </c>
      <c r="J286" s="389">
        <v>1055</v>
      </c>
      <c r="K286" s="269">
        <v>272.05</v>
      </c>
      <c r="L286" s="170">
        <f t="shared" si="10"/>
        <v>76.066899467009733</v>
      </c>
      <c r="M286" s="377">
        <v>0.2422662103744106</v>
      </c>
      <c r="N286" s="166">
        <v>0</v>
      </c>
      <c r="O286" s="397">
        <v>0</v>
      </c>
      <c r="P286" s="269">
        <v>6348</v>
      </c>
      <c r="Q286" s="15">
        <v>645</v>
      </c>
      <c r="R286" s="158">
        <v>0.10160680529300567</v>
      </c>
      <c r="S286" s="401">
        <v>0.72698191412788493</v>
      </c>
      <c r="T286" s="153">
        <v>1373</v>
      </c>
      <c r="U286" s="197">
        <v>1580168.461787116</v>
      </c>
      <c r="V286" s="159">
        <v>0</v>
      </c>
      <c r="W286" s="159">
        <v>0</v>
      </c>
      <c r="X286" s="159">
        <v>1926419.45</v>
      </c>
      <c r="Y286" s="159">
        <v>207506.98347043048</v>
      </c>
      <c r="Z286" s="159">
        <v>0</v>
      </c>
      <c r="AA286" s="155">
        <v>0</v>
      </c>
      <c r="AB286" s="159">
        <v>426351.60013547586</v>
      </c>
      <c r="AC286" s="159">
        <v>1008235.0900000001</v>
      </c>
      <c r="AD286" s="174">
        <f>SUM(Muut[[#This Row],[Työttömyysaste]:[Työttömät ja palveluissa olevat ]])</f>
        <v>5148681.5853930227</v>
      </c>
      <c r="AF286" s="62"/>
    </row>
    <row r="287" spans="1:32" s="45" customFormat="1">
      <c r="A287" s="90">
        <v>915</v>
      </c>
      <c r="B287" s="151" t="s">
        <v>287</v>
      </c>
      <c r="C287" s="395">
        <v>19727</v>
      </c>
      <c r="D287" s="134">
        <v>1050.4166666666667</v>
      </c>
      <c r="E287" s="41">
        <v>8264</v>
      </c>
      <c r="F287" s="332">
        <f t="shared" si="9"/>
        <v>0.12710753468860925</v>
      </c>
      <c r="G287" s="377">
        <f>Muut[[#This Row],[Keskim. työttömyysaste 2023, %]]/$F$12</f>
        <v>1.2935594312565899</v>
      </c>
      <c r="H287" s="166">
        <v>0</v>
      </c>
      <c r="I287" s="383">
        <v>37</v>
      </c>
      <c r="J287" s="389">
        <v>957</v>
      </c>
      <c r="K287" s="269">
        <v>385.62</v>
      </c>
      <c r="L287" s="170">
        <f t="shared" si="10"/>
        <v>51.156579015611221</v>
      </c>
      <c r="M287" s="377">
        <v>0.36023596228316979</v>
      </c>
      <c r="N287" s="166">
        <v>0</v>
      </c>
      <c r="O287" s="397">
        <v>0</v>
      </c>
      <c r="P287" s="269">
        <v>5222</v>
      </c>
      <c r="Q287" s="15">
        <v>710</v>
      </c>
      <c r="R287" s="158">
        <v>0.13596323247797779</v>
      </c>
      <c r="S287" s="401">
        <v>0.97279715382074872</v>
      </c>
      <c r="T287" s="153">
        <v>1607</v>
      </c>
      <c r="U287" s="197">
        <v>1761765.9580035298</v>
      </c>
      <c r="V287" s="159">
        <v>0</v>
      </c>
      <c r="W287" s="159">
        <v>0</v>
      </c>
      <c r="X287" s="159">
        <v>1747472.43</v>
      </c>
      <c r="Y287" s="159">
        <v>294132.85412926815</v>
      </c>
      <c r="Z287" s="159">
        <v>0</v>
      </c>
      <c r="AA287" s="155">
        <v>0</v>
      </c>
      <c r="AB287" s="159">
        <v>543855.07030997693</v>
      </c>
      <c r="AC287" s="159">
        <v>1180068.31</v>
      </c>
      <c r="AD287" s="174">
        <f>SUM(Muut[[#This Row],[Työttömyysaste]:[Työttömät ja palveluissa olevat ]])</f>
        <v>5527294.6224427745</v>
      </c>
      <c r="AF287" s="62"/>
    </row>
    <row r="288" spans="1:32" s="45" customFormat="1">
      <c r="A288" s="90">
        <v>918</v>
      </c>
      <c r="B288" s="151" t="s">
        <v>288</v>
      </c>
      <c r="C288" s="395">
        <v>2245</v>
      </c>
      <c r="D288" s="134">
        <v>82.5</v>
      </c>
      <c r="E288" s="41">
        <v>1023</v>
      </c>
      <c r="F288" s="332">
        <f t="shared" si="9"/>
        <v>8.0645161290322578E-2</v>
      </c>
      <c r="G288" s="377">
        <f>Muut[[#This Row],[Keskim. työttömyysaste 2023, %]]/$F$12</f>
        <v>0.82071695614165829</v>
      </c>
      <c r="H288" s="166">
        <v>0</v>
      </c>
      <c r="I288" s="383">
        <v>11</v>
      </c>
      <c r="J288" s="389">
        <v>123</v>
      </c>
      <c r="K288" s="269">
        <v>188.88</v>
      </c>
      <c r="L288" s="170">
        <f t="shared" si="10"/>
        <v>11.885853451927149</v>
      </c>
      <c r="M288" s="377">
        <v>1.5504515130813572</v>
      </c>
      <c r="N288" s="166">
        <v>0</v>
      </c>
      <c r="O288" s="397">
        <v>0</v>
      </c>
      <c r="P288" s="269">
        <v>678</v>
      </c>
      <c r="Q288" s="15">
        <v>114</v>
      </c>
      <c r="R288" s="158">
        <v>0.16814159292035399</v>
      </c>
      <c r="S288" s="401">
        <v>1.2030286427494334</v>
      </c>
      <c r="T288" s="153">
        <v>115</v>
      </c>
      <c r="U288" s="197">
        <v>127206.86047378513</v>
      </c>
      <c r="V288" s="159">
        <v>0</v>
      </c>
      <c r="W288" s="159">
        <v>0</v>
      </c>
      <c r="X288" s="159">
        <v>224596.77</v>
      </c>
      <c r="Y288" s="159">
        <v>144068.80734385192</v>
      </c>
      <c r="Z288" s="159">
        <v>0</v>
      </c>
      <c r="AA288" s="155">
        <v>0</v>
      </c>
      <c r="AB288" s="159">
        <v>76540.652246240032</v>
      </c>
      <c r="AC288" s="159">
        <v>84447.950000000012</v>
      </c>
      <c r="AD288" s="174">
        <f>SUM(Muut[[#This Row],[Työttömyysaste]:[Työttömät ja palveluissa olevat ]])</f>
        <v>656861.04006387712</v>
      </c>
      <c r="AF288" s="62"/>
    </row>
    <row r="289" spans="1:32" s="45" customFormat="1">
      <c r="A289" s="90">
        <v>921</v>
      </c>
      <c r="B289" s="151" t="s">
        <v>289</v>
      </c>
      <c r="C289" s="395">
        <v>1895</v>
      </c>
      <c r="D289" s="134">
        <v>74.416666666666671</v>
      </c>
      <c r="E289" s="41">
        <v>707</v>
      </c>
      <c r="F289" s="332">
        <f t="shared" si="9"/>
        <v>0.10525695426685526</v>
      </c>
      <c r="G289" s="377">
        <f>Muut[[#This Row],[Keskim. työttömyysaste 2023, %]]/$F$12</f>
        <v>1.0711884722710763</v>
      </c>
      <c r="H289" s="166">
        <v>0</v>
      </c>
      <c r="I289" s="383">
        <v>1</v>
      </c>
      <c r="J289" s="389">
        <v>49</v>
      </c>
      <c r="K289" s="269">
        <v>422.63</v>
      </c>
      <c r="L289" s="170">
        <f t="shared" si="10"/>
        <v>4.4838274613728322</v>
      </c>
      <c r="M289" s="377">
        <v>4.1099796162007998</v>
      </c>
      <c r="N289" s="166">
        <v>0</v>
      </c>
      <c r="O289" s="397">
        <v>0</v>
      </c>
      <c r="P289" s="269">
        <v>385</v>
      </c>
      <c r="Q289" s="15">
        <v>60</v>
      </c>
      <c r="R289" s="158">
        <v>0.15584415584415584</v>
      </c>
      <c r="S289" s="401">
        <v>1.1150422690145123</v>
      </c>
      <c r="T289" s="153">
        <v>104</v>
      </c>
      <c r="U289" s="197">
        <v>140144.44477800277</v>
      </c>
      <c r="V289" s="159">
        <v>0</v>
      </c>
      <c r="W289" s="159">
        <v>0</v>
      </c>
      <c r="X289" s="159">
        <v>89473.51</v>
      </c>
      <c r="Y289" s="159">
        <v>322362.34671607433</v>
      </c>
      <c r="Z289" s="159">
        <v>0</v>
      </c>
      <c r="AA289" s="155">
        <v>0</v>
      </c>
      <c r="AB289" s="159">
        <v>59882.564527836075</v>
      </c>
      <c r="AC289" s="159">
        <v>76370.320000000007</v>
      </c>
      <c r="AD289" s="174">
        <f>SUM(Muut[[#This Row],[Työttömyysaste]:[Työttömät ja palveluissa olevat ]])</f>
        <v>688233.18602191308</v>
      </c>
      <c r="AF289" s="62"/>
    </row>
    <row r="290" spans="1:32" s="45" customFormat="1">
      <c r="A290" s="90">
        <v>922</v>
      </c>
      <c r="B290" s="151" t="s">
        <v>290</v>
      </c>
      <c r="C290" s="395">
        <v>4469</v>
      </c>
      <c r="D290" s="134">
        <v>128</v>
      </c>
      <c r="E290" s="41">
        <v>2160</v>
      </c>
      <c r="F290" s="332">
        <f t="shared" si="9"/>
        <v>5.9259259259259262E-2</v>
      </c>
      <c r="G290" s="377">
        <f>Muut[[#This Row],[Keskim. työttömyysaste 2023, %]]/$F$12</f>
        <v>0.60307497814261113</v>
      </c>
      <c r="H290" s="166">
        <v>0</v>
      </c>
      <c r="I290" s="383">
        <v>23</v>
      </c>
      <c r="J290" s="389">
        <v>85</v>
      </c>
      <c r="K290" s="269">
        <v>301.06</v>
      </c>
      <c r="L290" s="170">
        <f t="shared" si="10"/>
        <v>14.84421709958148</v>
      </c>
      <c r="M290" s="377">
        <v>1.2414558036424364</v>
      </c>
      <c r="N290" s="166">
        <v>0</v>
      </c>
      <c r="O290" s="397">
        <v>0</v>
      </c>
      <c r="P290" s="269">
        <v>1522</v>
      </c>
      <c r="Q290" s="15">
        <v>113</v>
      </c>
      <c r="R290" s="158">
        <v>7.4244415243101186E-2</v>
      </c>
      <c r="S290" s="401">
        <v>0.53120799292024057</v>
      </c>
      <c r="T290" s="153">
        <v>196</v>
      </c>
      <c r="U290" s="197">
        <v>186072.60901812653</v>
      </c>
      <c r="V290" s="159">
        <v>0</v>
      </c>
      <c r="W290" s="159">
        <v>0</v>
      </c>
      <c r="X290" s="159">
        <v>155209.15</v>
      </c>
      <c r="Y290" s="159">
        <v>229634.45118032643</v>
      </c>
      <c r="Z290" s="159">
        <v>0</v>
      </c>
      <c r="AA290" s="155">
        <v>0</v>
      </c>
      <c r="AB290" s="159">
        <v>67278.267867018134</v>
      </c>
      <c r="AC290" s="159">
        <v>143928.68000000002</v>
      </c>
      <c r="AD290" s="174">
        <f>SUM(Muut[[#This Row],[Työttömyysaste]:[Työttömät ja palveluissa olevat ]])</f>
        <v>782123.1580654711</v>
      </c>
      <c r="AF290" s="62"/>
    </row>
    <row r="291" spans="1:32" s="45" customFormat="1">
      <c r="A291" s="90">
        <v>924</v>
      </c>
      <c r="B291" s="151" t="s">
        <v>291</v>
      </c>
      <c r="C291" s="395">
        <v>2936</v>
      </c>
      <c r="D291" s="134">
        <v>81.666666666666671</v>
      </c>
      <c r="E291" s="41">
        <v>1237</v>
      </c>
      <c r="F291" s="332">
        <f t="shared" si="9"/>
        <v>6.6019940716787934E-2</v>
      </c>
      <c r="G291" s="377">
        <f>Muut[[#This Row],[Keskim. työttömyysaste 2023, %]]/$F$12</f>
        <v>0.67187769139271303</v>
      </c>
      <c r="H291" s="166">
        <v>0</v>
      </c>
      <c r="I291" s="383">
        <v>50</v>
      </c>
      <c r="J291" s="389">
        <v>87</v>
      </c>
      <c r="K291" s="269">
        <v>502.12</v>
      </c>
      <c r="L291" s="170">
        <f t="shared" si="10"/>
        <v>5.8472078387636417</v>
      </c>
      <c r="M291" s="377">
        <v>3.1516648590176173</v>
      </c>
      <c r="N291" s="166">
        <v>0</v>
      </c>
      <c r="O291" s="397">
        <v>0</v>
      </c>
      <c r="P291" s="269">
        <v>766</v>
      </c>
      <c r="Q291" s="15">
        <v>79</v>
      </c>
      <c r="R291" s="158">
        <v>0.10313315926892951</v>
      </c>
      <c r="S291" s="401">
        <v>0.73790275483194945</v>
      </c>
      <c r="T291" s="153">
        <v>133</v>
      </c>
      <c r="U291" s="197">
        <v>136190.57554917858</v>
      </c>
      <c r="V291" s="159">
        <v>0</v>
      </c>
      <c r="W291" s="159">
        <v>0</v>
      </c>
      <c r="X291" s="159">
        <v>158861.13</v>
      </c>
      <c r="Y291" s="159">
        <v>382993.59139927424</v>
      </c>
      <c r="Z291" s="159">
        <v>0</v>
      </c>
      <c r="AA291" s="155">
        <v>0</v>
      </c>
      <c r="AB291" s="159">
        <v>61398.113715208339</v>
      </c>
      <c r="AC291" s="159">
        <v>97665.89</v>
      </c>
      <c r="AD291" s="174">
        <f>SUM(Muut[[#This Row],[Työttömyysaste]:[Työttömät ja palveluissa olevat ]])</f>
        <v>837109.30066366121</v>
      </c>
      <c r="AF291" s="62"/>
    </row>
    <row r="292" spans="1:32" s="45" customFormat="1">
      <c r="A292" s="90">
        <v>925</v>
      </c>
      <c r="B292" s="151" t="s">
        <v>292</v>
      </c>
      <c r="C292" s="395">
        <v>3387</v>
      </c>
      <c r="D292" s="134">
        <v>120.58333333333333</v>
      </c>
      <c r="E292" s="41">
        <v>1617</v>
      </c>
      <c r="F292" s="332">
        <f t="shared" si="9"/>
        <v>7.457225314368171E-2</v>
      </c>
      <c r="G292" s="377">
        <f>Muut[[#This Row],[Keskim. työttömyysaste 2023, %]]/$F$12</f>
        <v>0.75891363639757503</v>
      </c>
      <c r="H292" s="166">
        <v>0</v>
      </c>
      <c r="I292" s="383">
        <v>5</v>
      </c>
      <c r="J292" s="389">
        <v>151</v>
      </c>
      <c r="K292" s="269">
        <v>925.28</v>
      </c>
      <c r="L292" s="170">
        <f t="shared" si="10"/>
        <v>3.6605135742694106</v>
      </c>
      <c r="M292" s="377">
        <v>5.0343863217285811</v>
      </c>
      <c r="N292" s="166">
        <v>0</v>
      </c>
      <c r="O292" s="397">
        <v>0</v>
      </c>
      <c r="P292" s="269">
        <v>955</v>
      </c>
      <c r="Q292" s="15">
        <v>148</v>
      </c>
      <c r="R292" s="158">
        <v>0.1549738219895288</v>
      </c>
      <c r="S292" s="401">
        <v>1.1088151568664384</v>
      </c>
      <c r="T292" s="153">
        <v>163</v>
      </c>
      <c r="U292" s="197">
        <v>177463.21118648167</v>
      </c>
      <c r="V292" s="159">
        <v>0</v>
      </c>
      <c r="W292" s="159">
        <v>0</v>
      </c>
      <c r="X292" s="159">
        <v>275724.49</v>
      </c>
      <c r="Y292" s="159">
        <v>705760.19726344384</v>
      </c>
      <c r="Z292" s="159">
        <v>0</v>
      </c>
      <c r="AA292" s="155">
        <v>0</v>
      </c>
      <c r="AB292" s="159">
        <v>106432.48357492981</v>
      </c>
      <c r="AC292" s="159">
        <v>119695.79000000001</v>
      </c>
      <c r="AD292" s="174">
        <f>SUM(Muut[[#This Row],[Työttömyysaste]:[Työttömät ja palveluissa olevat ]])</f>
        <v>1385076.1720248554</v>
      </c>
      <c r="AF292" s="62"/>
    </row>
    <row r="293" spans="1:32" s="45" customFormat="1">
      <c r="A293" s="90">
        <v>927</v>
      </c>
      <c r="B293" s="151" t="s">
        <v>293</v>
      </c>
      <c r="C293" s="395">
        <v>28811</v>
      </c>
      <c r="D293" s="134">
        <v>1077.75</v>
      </c>
      <c r="E293" s="41">
        <v>14545</v>
      </c>
      <c r="F293" s="332">
        <f t="shared" si="9"/>
        <v>7.4097628050876593E-2</v>
      </c>
      <c r="G293" s="377">
        <f>Muut[[#This Row],[Keskim. työttömyysaste 2023, %]]/$F$12</f>
        <v>0.75408342891527924</v>
      </c>
      <c r="H293" s="166">
        <v>0</v>
      </c>
      <c r="I293" s="383">
        <v>487</v>
      </c>
      <c r="J293" s="389">
        <v>2001</v>
      </c>
      <c r="K293" s="269">
        <v>522.02</v>
      </c>
      <c r="L293" s="170">
        <f t="shared" si="10"/>
        <v>55.19137197808513</v>
      </c>
      <c r="M293" s="377">
        <v>0.3339007313701336</v>
      </c>
      <c r="N293" s="166">
        <v>0</v>
      </c>
      <c r="O293" s="397">
        <v>0</v>
      </c>
      <c r="P293" s="269">
        <v>9767</v>
      </c>
      <c r="Q293" s="15">
        <v>1433</v>
      </c>
      <c r="R293" s="158">
        <v>0.14671854202928228</v>
      </c>
      <c r="S293" s="401">
        <v>1.0497498294028389</v>
      </c>
      <c r="T293" s="153">
        <v>1487</v>
      </c>
      <c r="U293" s="197">
        <v>1499955.9751698091</v>
      </c>
      <c r="V293" s="159">
        <v>0</v>
      </c>
      <c r="W293" s="159">
        <v>0</v>
      </c>
      <c r="X293" s="159">
        <v>3653805.99</v>
      </c>
      <c r="Y293" s="159">
        <v>398172.3782805886</v>
      </c>
      <c r="Z293" s="159">
        <v>0</v>
      </c>
      <c r="AA293" s="155">
        <v>0</v>
      </c>
      <c r="AB293" s="159">
        <v>857124.66177177988</v>
      </c>
      <c r="AC293" s="159">
        <v>1091948.71</v>
      </c>
      <c r="AD293" s="174">
        <f>SUM(Muut[[#This Row],[Työttömyysaste]:[Työttömät ja palveluissa olevat ]])</f>
        <v>7501007.715222178</v>
      </c>
      <c r="AF293" s="62"/>
    </row>
    <row r="294" spans="1:32" s="45" customFormat="1">
      <c r="A294" s="90">
        <v>931</v>
      </c>
      <c r="B294" s="151" t="s">
        <v>294</v>
      </c>
      <c r="C294" s="395">
        <v>5877</v>
      </c>
      <c r="D294" s="134">
        <v>256.83333333333331</v>
      </c>
      <c r="E294" s="41">
        <v>2410</v>
      </c>
      <c r="F294" s="332">
        <f t="shared" si="9"/>
        <v>0.10656984785615491</v>
      </c>
      <c r="G294" s="377">
        <f>Muut[[#This Row],[Keskim. työttömyysaste 2023, %]]/$F$12</f>
        <v>1.0845496462473903</v>
      </c>
      <c r="H294" s="166">
        <v>0</v>
      </c>
      <c r="I294" s="383">
        <v>10</v>
      </c>
      <c r="J294" s="389">
        <v>152</v>
      </c>
      <c r="K294" s="269">
        <v>1248.51</v>
      </c>
      <c r="L294" s="170">
        <f t="shared" si="10"/>
        <v>4.7072109955066441</v>
      </c>
      <c r="M294" s="377">
        <v>3.9149380570352443</v>
      </c>
      <c r="N294" s="166">
        <v>0</v>
      </c>
      <c r="O294" s="397">
        <v>0</v>
      </c>
      <c r="P294" s="269">
        <v>1315</v>
      </c>
      <c r="Q294" s="15">
        <v>204</v>
      </c>
      <c r="R294" s="158">
        <v>0.15513307984790875</v>
      </c>
      <c r="S294" s="401">
        <v>1.1099546236806059</v>
      </c>
      <c r="T294" s="153">
        <v>360</v>
      </c>
      <c r="U294" s="197">
        <v>440053.93662955792</v>
      </c>
      <c r="V294" s="159">
        <v>0</v>
      </c>
      <c r="W294" s="159">
        <v>0</v>
      </c>
      <c r="X294" s="159">
        <v>277550.48</v>
      </c>
      <c r="Y294" s="159">
        <v>952304.88488390797</v>
      </c>
      <c r="Z294" s="159">
        <v>0</v>
      </c>
      <c r="AA294" s="155">
        <v>0</v>
      </c>
      <c r="AB294" s="159">
        <v>184867.5821843319</v>
      </c>
      <c r="AC294" s="159">
        <v>264358.8</v>
      </c>
      <c r="AD294" s="174">
        <f>SUM(Muut[[#This Row],[Työttömyysaste]:[Työttömät ja palveluissa olevat ]])</f>
        <v>2119135.6836977978</v>
      </c>
      <c r="AF294" s="62"/>
    </row>
    <row r="295" spans="1:32" s="45" customFormat="1">
      <c r="A295" s="90">
        <v>934</v>
      </c>
      <c r="B295" s="151" t="s">
        <v>295</v>
      </c>
      <c r="C295" s="395">
        <v>2656</v>
      </c>
      <c r="D295" s="134">
        <v>77</v>
      </c>
      <c r="E295" s="41">
        <v>1172</v>
      </c>
      <c r="F295" s="332">
        <f t="shared" si="9"/>
        <v>6.5699658703071678E-2</v>
      </c>
      <c r="G295" s="377">
        <f>Muut[[#This Row],[Keskim. työttömyysaste 2023, %]]/$F$12</f>
        <v>0.66861821648810194</v>
      </c>
      <c r="H295" s="166">
        <v>0</v>
      </c>
      <c r="I295" s="383">
        <v>5</v>
      </c>
      <c r="J295" s="389">
        <v>70</v>
      </c>
      <c r="K295" s="269">
        <v>287.23</v>
      </c>
      <c r="L295" s="170">
        <f t="shared" si="10"/>
        <v>9.2469449570030982</v>
      </c>
      <c r="M295" s="377">
        <v>1.9929219384881374</v>
      </c>
      <c r="N295" s="166">
        <v>0</v>
      </c>
      <c r="O295" s="397">
        <v>0</v>
      </c>
      <c r="P295" s="269">
        <v>691</v>
      </c>
      <c r="Q295" s="15">
        <v>77</v>
      </c>
      <c r="R295" s="158">
        <v>0.11143270622286541</v>
      </c>
      <c r="S295" s="401">
        <v>0.79728480619718334</v>
      </c>
      <c r="T295" s="153">
        <v>112</v>
      </c>
      <c r="U295" s="197">
        <v>122604.68282579524</v>
      </c>
      <c r="V295" s="159">
        <v>0</v>
      </c>
      <c r="W295" s="159">
        <v>0</v>
      </c>
      <c r="X295" s="159">
        <v>127819.3</v>
      </c>
      <c r="Y295" s="159">
        <v>219085.57567436778</v>
      </c>
      <c r="Z295" s="159">
        <v>0</v>
      </c>
      <c r="AA295" s="155">
        <v>0</v>
      </c>
      <c r="AB295" s="159">
        <v>60012.45653866043</v>
      </c>
      <c r="AC295" s="159">
        <v>82244.960000000006</v>
      </c>
      <c r="AD295" s="174">
        <f>SUM(Muut[[#This Row],[Työttömyysaste]:[Työttömät ja palveluissa olevat ]])</f>
        <v>611766.97503882344</v>
      </c>
      <c r="AF295" s="62"/>
    </row>
    <row r="296" spans="1:32" s="45" customFormat="1">
      <c r="A296" s="90">
        <v>935</v>
      </c>
      <c r="B296" s="151" t="s">
        <v>296</v>
      </c>
      <c r="C296" s="395">
        <v>2927</v>
      </c>
      <c r="D296" s="134">
        <v>156.08333333333334</v>
      </c>
      <c r="E296" s="41">
        <v>1291</v>
      </c>
      <c r="F296" s="332">
        <f t="shared" si="9"/>
        <v>0.12090111025045186</v>
      </c>
      <c r="G296" s="377">
        <f>Muut[[#This Row],[Keskim. työttömyysaste 2023, %]]/$F$12</f>
        <v>1.2303973308663338</v>
      </c>
      <c r="H296" s="166">
        <v>0</v>
      </c>
      <c r="I296" s="383">
        <v>11</v>
      </c>
      <c r="J296" s="389">
        <v>202</v>
      </c>
      <c r="K296" s="269">
        <v>372.56</v>
      </c>
      <c r="L296" s="170">
        <f t="shared" si="10"/>
        <v>7.8564526519218383</v>
      </c>
      <c r="M296" s="377">
        <v>2.3456438020148664</v>
      </c>
      <c r="N296" s="166">
        <v>0</v>
      </c>
      <c r="O296" s="397">
        <v>0</v>
      </c>
      <c r="P296" s="269">
        <v>791</v>
      </c>
      <c r="Q296" s="15">
        <v>122</v>
      </c>
      <c r="R296" s="158">
        <v>0.15423514538558786</v>
      </c>
      <c r="S296" s="401">
        <v>1.1035300331987283</v>
      </c>
      <c r="T296" s="153">
        <v>223</v>
      </c>
      <c r="U296" s="197">
        <v>248638.79105325529</v>
      </c>
      <c r="V296" s="159">
        <v>0</v>
      </c>
      <c r="W296" s="159">
        <v>0</v>
      </c>
      <c r="X296" s="159">
        <v>368849.98</v>
      </c>
      <c r="Y296" s="159">
        <v>284171.2985177121</v>
      </c>
      <c r="Z296" s="159">
        <v>0</v>
      </c>
      <c r="AA296" s="155">
        <v>0</v>
      </c>
      <c r="AB296" s="159">
        <v>91539.118419273684</v>
      </c>
      <c r="AC296" s="159">
        <v>163755.59</v>
      </c>
      <c r="AD296" s="174">
        <f>SUM(Muut[[#This Row],[Työttömyysaste]:[Työttömät ja palveluissa olevat ]])</f>
        <v>1156954.7779902411</v>
      </c>
      <c r="AF296" s="62"/>
    </row>
    <row r="297" spans="1:32" s="45" customFormat="1">
      <c r="A297" s="90">
        <v>936</v>
      </c>
      <c r="B297" s="151" t="s">
        <v>297</v>
      </c>
      <c r="C297" s="395">
        <v>6275</v>
      </c>
      <c r="D297" s="134">
        <v>208.33333333333334</v>
      </c>
      <c r="E297" s="41">
        <v>2554</v>
      </c>
      <c r="F297" s="332">
        <f t="shared" si="9"/>
        <v>8.1571391281649697E-2</v>
      </c>
      <c r="G297" s="377">
        <f>Muut[[#This Row],[Keskim. työttömyysaste 2023, %]]/$F$12</f>
        <v>0.83014309711535528</v>
      </c>
      <c r="H297" s="166">
        <v>0</v>
      </c>
      <c r="I297" s="383">
        <v>9</v>
      </c>
      <c r="J297" s="389">
        <v>214</v>
      </c>
      <c r="K297" s="269">
        <v>1162.52</v>
      </c>
      <c r="L297" s="170">
        <f t="shared" si="10"/>
        <v>5.3977565977359534</v>
      </c>
      <c r="M297" s="377">
        <v>3.4140923428324621</v>
      </c>
      <c r="N297" s="166">
        <v>0</v>
      </c>
      <c r="O297" s="397">
        <v>0</v>
      </c>
      <c r="P297" s="269">
        <v>1489</v>
      </c>
      <c r="Q297" s="15">
        <v>217</v>
      </c>
      <c r="R297" s="158">
        <v>0.14573539288112827</v>
      </c>
      <c r="S297" s="401">
        <v>1.042715540237491</v>
      </c>
      <c r="T297" s="153">
        <v>315</v>
      </c>
      <c r="U297" s="197">
        <v>359639.57339089701</v>
      </c>
      <c r="V297" s="159">
        <v>0</v>
      </c>
      <c r="W297" s="159">
        <v>0</v>
      </c>
      <c r="X297" s="159">
        <v>390761.86</v>
      </c>
      <c r="Y297" s="159">
        <v>886715.74498821842</v>
      </c>
      <c r="Z297" s="159">
        <v>0</v>
      </c>
      <c r="AA297" s="155">
        <v>0</v>
      </c>
      <c r="AB297" s="159">
        <v>185429.75402482387</v>
      </c>
      <c r="AC297" s="159">
        <v>231313.95</v>
      </c>
      <c r="AD297" s="174">
        <f>SUM(Muut[[#This Row],[Työttömyysaste]:[Työttömät ja palveluissa olevat ]])</f>
        <v>2053860.8824039393</v>
      </c>
      <c r="AF297" s="62"/>
    </row>
    <row r="298" spans="1:32" s="45" customFormat="1">
      <c r="A298" s="90">
        <v>946</v>
      </c>
      <c r="B298" s="151" t="s">
        <v>298</v>
      </c>
      <c r="C298" s="395">
        <v>6291</v>
      </c>
      <c r="D298" s="134">
        <v>139.58333333333334</v>
      </c>
      <c r="E298" s="41">
        <v>2835</v>
      </c>
      <c r="F298" s="332">
        <f t="shared" si="9"/>
        <v>4.9235743680188127E-2</v>
      </c>
      <c r="G298" s="377">
        <f>Muut[[#This Row],[Keskim. työttömyysaste 2023, %]]/$F$12</f>
        <v>0.50106676011352869</v>
      </c>
      <c r="H298" s="166">
        <v>3</v>
      </c>
      <c r="I298" s="383">
        <v>5091</v>
      </c>
      <c r="J298" s="389">
        <v>431</v>
      </c>
      <c r="K298" s="269">
        <v>782.14</v>
      </c>
      <c r="L298" s="170">
        <f t="shared" si="10"/>
        <v>8.0433170532129807</v>
      </c>
      <c r="M298" s="377">
        <v>2.2911492045986552</v>
      </c>
      <c r="N298" s="166">
        <v>3</v>
      </c>
      <c r="O298" s="397">
        <v>482</v>
      </c>
      <c r="P298" s="269">
        <v>1814</v>
      </c>
      <c r="Q298" s="15">
        <v>219</v>
      </c>
      <c r="R298" s="158">
        <v>0.1207276736493936</v>
      </c>
      <c r="S298" s="401">
        <v>0.86378894626937353</v>
      </c>
      <c r="T298" s="153">
        <v>214</v>
      </c>
      <c r="U298" s="197">
        <v>217628.64660283539</v>
      </c>
      <c r="V298" s="159">
        <v>129046.02480000001</v>
      </c>
      <c r="W298" s="159">
        <v>1387435.9752000002</v>
      </c>
      <c r="X298" s="159">
        <v>787001.69000000006</v>
      </c>
      <c r="Y298" s="159">
        <v>596579.71715332649</v>
      </c>
      <c r="Z298" s="159">
        <v>0</v>
      </c>
      <c r="AA298" s="155">
        <v>142209.28</v>
      </c>
      <c r="AB298" s="159">
        <v>154002.28803619102</v>
      </c>
      <c r="AC298" s="159">
        <v>157146.62</v>
      </c>
      <c r="AD298" s="174">
        <f>SUM(Muut[[#This Row],[Työttömyysaste]:[Työttömät ja palveluissa olevat ]])</f>
        <v>3571050.2417923529</v>
      </c>
      <c r="AF298" s="62"/>
    </row>
    <row r="299" spans="1:32" s="45" customFormat="1">
      <c r="A299" s="90">
        <v>976</v>
      </c>
      <c r="B299" s="151" t="s">
        <v>299</v>
      </c>
      <c r="C299" s="395">
        <v>3765</v>
      </c>
      <c r="D299" s="134">
        <v>170.5</v>
      </c>
      <c r="E299" s="41">
        <v>1476</v>
      </c>
      <c r="F299" s="332">
        <f t="shared" si="9"/>
        <v>0.11551490514905149</v>
      </c>
      <c r="G299" s="377">
        <f>Muut[[#This Row],[Keskim. työttömyysaste 2023, %]]/$F$12</f>
        <v>1.1755825126522317</v>
      </c>
      <c r="H299" s="166">
        <v>0</v>
      </c>
      <c r="I299" s="383">
        <v>27</v>
      </c>
      <c r="J299" s="389">
        <v>140</v>
      </c>
      <c r="K299" s="269">
        <v>2030.46</v>
      </c>
      <c r="L299" s="170">
        <f t="shared" si="10"/>
        <v>1.8542596258975799</v>
      </c>
      <c r="M299" s="377">
        <v>9.938435379502577</v>
      </c>
      <c r="N299" s="166">
        <v>0</v>
      </c>
      <c r="O299" s="397">
        <v>0</v>
      </c>
      <c r="P299" s="269">
        <v>806</v>
      </c>
      <c r="Q299" s="15">
        <v>138</v>
      </c>
      <c r="R299" s="158">
        <v>0.17121588089330025</v>
      </c>
      <c r="S299" s="401">
        <v>1.2250247260699141</v>
      </c>
      <c r="T299" s="153">
        <v>270</v>
      </c>
      <c r="U299" s="197">
        <v>305575.74577576551</v>
      </c>
      <c r="V299" s="159">
        <v>0</v>
      </c>
      <c r="W299" s="159">
        <v>0</v>
      </c>
      <c r="X299" s="159">
        <v>255638.6</v>
      </c>
      <c r="Y299" s="159">
        <v>1548739.678946408</v>
      </c>
      <c r="Z299" s="159">
        <v>0</v>
      </c>
      <c r="AA299" s="155">
        <v>0</v>
      </c>
      <c r="AB299" s="159">
        <v>130710.26077413245</v>
      </c>
      <c r="AC299" s="159">
        <v>198269.1</v>
      </c>
      <c r="AD299" s="174">
        <f>SUM(Muut[[#This Row],[Työttömyysaste]:[Työttömät ja palveluissa olevat ]])</f>
        <v>2438933.3854963058</v>
      </c>
      <c r="AF299" s="62"/>
    </row>
    <row r="300" spans="1:32" s="45" customFormat="1">
      <c r="A300" s="90">
        <v>977</v>
      </c>
      <c r="B300" s="151" t="s">
        <v>300</v>
      </c>
      <c r="C300" s="395">
        <v>15369</v>
      </c>
      <c r="D300" s="134">
        <v>583.33333333333337</v>
      </c>
      <c r="E300" s="41">
        <v>6976</v>
      </c>
      <c r="F300" s="332">
        <f t="shared" si="9"/>
        <v>8.3620030581039756E-2</v>
      </c>
      <c r="G300" s="377">
        <f>Muut[[#This Row],[Keskim. työttömyysaste 2023, %]]/$F$12</f>
        <v>0.85099187443969737</v>
      </c>
      <c r="H300" s="166">
        <v>0</v>
      </c>
      <c r="I300" s="383">
        <v>40</v>
      </c>
      <c r="J300" s="389">
        <v>329</v>
      </c>
      <c r="K300" s="269">
        <v>569.84</v>
      </c>
      <c r="L300" s="170">
        <f t="shared" si="10"/>
        <v>26.97072862557911</v>
      </c>
      <c r="M300" s="377">
        <v>0.68327555123320394</v>
      </c>
      <c r="N300" s="166">
        <v>0</v>
      </c>
      <c r="O300" s="397">
        <v>0</v>
      </c>
      <c r="P300" s="269">
        <v>4644</v>
      </c>
      <c r="Q300" s="15">
        <v>407</v>
      </c>
      <c r="R300" s="158">
        <v>8.7639965546942297E-2</v>
      </c>
      <c r="S300" s="401">
        <v>0.62705120708882078</v>
      </c>
      <c r="T300" s="153">
        <v>786</v>
      </c>
      <c r="U300" s="197">
        <v>902966.84992492665</v>
      </c>
      <c r="V300" s="159">
        <v>0</v>
      </c>
      <c r="W300" s="159">
        <v>0</v>
      </c>
      <c r="X300" s="159">
        <v>600750.71</v>
      </c>
      <c r="Y300" s="159">
        <v>434647.23198231973</v>
      </c>
      <c r="Z300" s="159">
        <v>0</v>
      </c>
      <c r="AA300" s="155">
        <v>0</v>
      </c>
      <c r="AB300" s="159">
        <v>273116.83104954078</v>
      </c>
      <c r="AC300" s="159">
        <v>577183.38</v>
      </c>
      <c r="AD300" s="174">
        <f>SUM(Muut[[#This Row],[Työttömyysaste]:[Työttömät ja palveluissa olevat ]])</f>
        <v>2788665.0029567871</v>
      </c>
      <c r="AF300" s="62"/>
    </row>
    <row r="301" spans="1:32" s="45" customFormat="1">
      <c r="A301" s="90">
        <v>980</v>
      </c>
      <c r="B301" s="151" t="s">
        <v>301</v>
      </c>
      <c r="C301" s="395">
        <v>33677</v>
      </c>
      <c r="D301" s="134">
        <v>979.91666666666663</v>
      </c>
      <c r="E301" s="41">
        <v>16356</v>
      </c>
      <c r="F301" s="332">
        <f t="shared" si="9"/>
        <v>5.9911755115350122E-2</v>
      </c>
      <c r="G301" s="377">
        <f>Muut[[#This Row],[Keskim. työttömyysaste 2023, %]]/$F$12</f>
        <v>0.60971535686264478</v>
      </c>
      <c r="H301" s="166">
        <v>0</v>
      </c>
      <c r="I301" s="383">
        <v>125</v>
      </c>
      <c r="J301" s="389">
        <v>1037</v>
      </c>
      <c r="K301" s="269">
        <v>1115.75</v>
      </c>
      <c r="L301" s="170">
        <f t="shared" si="10"/>
        <v>30.183284786018373</v>
      </c>
      <c r="M301" s="377">
        <v>0.61055115768381241</v>
      </c>
      <c r="N301" s="166">
        <v>0</v>
      </c>
      <c r="O301" s="397">
        <v>0</v>
      </c>
      <c r="P301" s="269">
        <v>11303</v>
      </c>
      <c r="Q301" s="15">
        <v>930</v>
      </c>
      <c r="R301" s="158">
        <v>8.2279040962576308E-2</v>
      </c>
      <c r="S301" s="401">
        <v>0.58869457138318171</v>
      </c>
      <c r="T301" s="153">
        <v>1544</v>
      </c>
      <c r="U301" s="197">
        <v>1417624.8364042898</v>
      </c>
      <c r="V301" s="159">
        <v>0</v>
      </c>
      <c r="W301" s="159">
        <v>0</v>
      </c>
      <c r="X301" s="159">
        <v>1893551.6300000001</v>
      </c>
      <c r="Y301" s="159">
        <v>851041.78205158166</v>
      </c>
      <c r="Z301" s="159">
        <v>0</v>
      </c>
      <c r="AA301" s="155">
        <v>0</v>
      </c>
      <c r="AB301" s="159">
        <v>561853.7370605598</v>
      </c>
      <c r="AC301" s="159">
        <v>1133805.52</v>
      </c>
      <c r="AD301" s="174">
        <f>SUM(Muut[[#This Row],[Työttömyysaste]:[Työttömät ja palveluissa olevat ]])</f>
        <v>5857877.5055164322</v>
      </c>
      <c r="AF301" s="62"/>
    </row>
    <row r="302" spans="1:32" s="45" customFormat="1">
      <c r="A302" s="90">
        <v>981</v>
      </c>
      <c r="B302" s="151" t="s">
        <v>302</v>
      </c>
      <c r="C302" s="395">
        <v>2207</v>
      </c>
      <c r="D302" s="134">
        <v>79.25</v>
      </c>
      <c r="E302" s="41">
        <v>1059</v>
      </c>
      <c r="F302" s="332">
        <f t="shared" si="9"/>
        <v>7.4834749763928232E-2</v>
      </c>
      <c r="G302" s="377">
        <f>Muut[[#This Row],[Keskim. työttömyysaste 2023, %]]/$F$12</f>
        <v>0.76158503569443592</v>
      </c>
      <c r="H302" s="166">
        <v>0</v>
      </c>
      <c r="I302" s="383">
        <v>11</v>
      </c>
      <c r="J302" s="389">
        <v>50</v>
      </c>
      <c r="K302" s="269">
        <v>182.76</v>
      </c>
      <c r="L302" s="170">
        <f t="shared" si="10"/>
        <v>12.075946596629461</v>
      </c>
      <c r="M302" s="377">
        <v>1.5260451279196048</v>
      </c>
      <c r="N302" s="166">
        <v>0</v>
      </c>
      <c r="O302" s="397">
        <v>0</v>
      </c>
      <c r="P302" s="269">
        <v>629</v>
      </c>
      <c r="Q302" s="15">
        <v>83</v>
      </c>
      <c r="R302" s="158">
        <v>0.13195548489666137</v>
      </c>
      <c r="S302" s="401">
        <v>0.94412230276520259</v>
      </c>
      <c r="T302" s="153">
        <v>117</v>
      </c>
      <c r="U302" s="197">
        <v>116043.68671760692</v>
      </c>
      <c r="V302" s="159">
        <v>0</v>
      </c>
      <c r="W302" s="159">
        <v>0</v>
      </c>
      <c r="X302" s="159">
        <v>91299.5</v>
      </c>
      <c r="Y302" s="159">
        <v>139400.75831301551</v>
      </c>
      <c r="Z302" s="159">
        <v>0</v>
      </c>
      <c r="AA302" s="155">
        <v>0</v>
      </c>
      <c r="AB302" s="159">
        <v>59051.432315227416</v>
      </c>
      <c r="AC302" s="159">
        <v>85916.61</v>
      </c>
      <c r="AD302" s="174">
        <f>SUM(Muut[[#This Row],[Työttömyysaste]:[Työttömät ja palveluissa olevat ]])</f>
        <v>491711.9873458498</v>
      </c>
      <c r="AF302" s="62"/>
    </row>
    <row r="303" spans="1:32" s="45" customFormat="1">
      <c r="A303" s="90">
        <v>989</v>
      </c>
      <c r="B303" s="151" t="s">
        <v>303</v>
      </c>
      <c r="C303" s="395">
        <v>5316</v>
      </c>
      <c r="D303" s="134">
        <v>207.75</v>
      </c>
      <c r="E303" s="41">
        <v>2202</v>
      </c>
      <c r="F303" s="332">
        <f t="shared" si="9"/>
        <v>9.4346049046321531E-2</v>
      </c>
      <c r="G303" s="377">
        <f>Muut[[#This Row],[Keskim. työttömyysaste 2023, %]]/$F$12</f>
        <v>0.96014938724637877</v>
      </c>
      <c r="H303" s="166">
        <v>0</v>
      </c>
      <c r="I303" s="383">
        <v>6</v>
      </c>
      <c r="J303" s="389">
        <v>147</v>
      </c>
      <c r="K303" s="269">
        <v>805.79</v>
      </c>
      <c r="L303" s="170">
        <f t="shared" si="10"/>
        <v>6.5972523858573577</v>
      </c>
      <c r="M303" s="377">
        <v>2.7933506846439706</v>
      </c>
      <c r="N303" s="166">
        <v>0</v>
      </c>
      <c r="O303" s="397">
        <v>0</v>
      </c>
      <c r="P303" s="269">
        <v>1360</v>
      </c>
      <c r="Q303" s="15">
        <v>168</v>
      </c>
      <c r="R303" s="158">
        <v>0.12352941176470589</v>
      </c>
      <c r="S303" s="401">
        <v>0.88383497499826802</v>
      </c>
      <c r="T303" s="153">
        <v>309</v>
      </c>
      <c r="U303" s="197">
        <v>352390.80200522486</v>
      </c>
      <c r="V303" s="159">
        <v>0</v>
      </c>
      <c r="W303" s="159">
        <v>0</v>
      </c>
      <c r="X303" s="159">
        <v>268420.53000000003</v>
      </c>
      <c r="Y303" s="159">
        <v>614618.82819569251</v>
      </c>
      <c r="Z303" s="159">
        <v>0</v>
      </c>
      <c r="AA303" s="155">
        <v>0</v>
      </c>
      <c r="AB303" s="159">
        <v>133154.54704575308</v>
      </c>
      <c r="AC303" s="159">
        <v>226907.97</v>
      </c>
      <c r="AD303" s="174">
        <f>SUM(Muut[[#This Row],[Työttömyysaste]:[Työttömät ja palveluissa olevat ]])</f>
        <v>1595492.6772466705</v>
      </c>
      <c r="AF303" s="62"/>
    </row>
    <row r="304" spans="1:32">
      <c r="A304" s="90">
        <v>992</v>
      </c>
      <c r="B304" s="151" t="s">
        <v>304</v>
      </c>
      <c r="C304" s="396">
        <v>17971</v>
      </c>
      <c r="D304" s="378">
        <v>1066.3333333333333</v>
      </c>
      <c r="E304" s="379">
        <v>7792</v>
      </c>
      <c r="F304" s="332">
        <f t="shared" si="9"/>
        <v>0.13684976043805611</v>
      </c>
      <c r="G304" s="377">
        <f>Muut[[#This Row],[Keskim. työttömyysaste 2023, %]]/$F$12</f>
        <v>1.3927049935594131</v>
      </c>
      <c r="H304" s="386">
        <v>0</v>
      </c>
      <c r="I304" s="387">
        <v>19</v>
      </c>
      <c r="J304" s="391">
        <v>495</v>
      </c>
      <c r="K304" s="394">
        <v>884.6</v>
      </c>
      <c r="L304" s="170">
        <f t="shared" si="10"/>
        <v>20.315396789509382</v>
      </c>
      <c r="M304" s="377">
        <v>0.90711688576616611</v>
      </c>
      <c r="N304" s="386">
        <v>0</v>
      </c>
      <c r="O304" s="398">
        <v>0</v>
      </c>
      <c r="P304" s="394">
        <v>4873</v>
      </c>
      <c r="Q304" s="402">
        <v>552</v>
      </c>
      <c r="R304" s="403">
        <v>0.1132772419454135</v>
      </c>
      <c r="S304" s="404">
        <v>0.81048219102183516</v>
      </c>
      <c r="T304" s="448">
        <v>1580</v>
      </c>
      <c r="U304" s="197">
        <v>1727953.9313662495</v>
      </c>
      <c r="V304" s="159">
        <v>0</v>
      </c>
      <c r="W304" s="159">
        <v>0</v>
      </c>
      <c r="X304" s="159">
        <v>903865.05</v>
      </c>
      <c r="Y304" s="159">
        <v>674731.40076435509</v>
      </c>
      <c r="Z304" s="159">
        <v>0</v>
      </c>
      <c r="AA304" s="155">
        <v>0</v>
      </c>
      <c r="AB304" s="159">
        <v>412777.07239054533</v>
      </c>
      <c r="AC304" s="159">
        <v>1160241.4000000001</v>
      </c>
      <c r="AD304" s="174">
        <f>SUM(Muut[[#This Row],[Työttömyysaste]:[Työttömät ja palveluissa olevat ]])</f>
        <v>4879568.8545211498</v>
      </c>
      <c r="AE304"/>
      <c r="AF304" s="120"/>
    </row>
  </sheetData>
  <pageMargins left="0.31496062992125984" right="0.31496062992125984" top="0.55118110236220474" bottom="0.55118110236220474" header="0.31496062992125984" footer="0.31496062992125984"/>
  <pageSetup paperSize="9" scale="75" orientation="landscape" r:id="rId1"/>
  <ignoredErrors>
    <ignoredError sqref="C12 G13:G190 C13:C168 M13:M168 S12:S13 S14:S168 G191:G304 C191:C304 M191:M304 S191:S304 C169:C190 M169:M190 S170:S190" calculatedColumn="1"/>
  </ignoredErrors>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9"/>
  <sheetViews>
    <sheetView zoomScale="90" zoomScaleNormal="90" workbookViewId="0">
      <pane xSplit="2" ySplit="7" topLeftCell="C8" activePane="bottomRight" state="frozen"/>
      <selection activeCell="G29" sqref="G29"/>
      <selection pane="topRight" activeCell="G29" sqref="G29"/>
      <selection pane="bottomLeft" activeCell="G29" sqref="G29"/>
      <selection pane="bottomRight"/>
    </sheetView>
  </sheetViews>
  <sheetFormatPr defaultRowHeight="15"/>
  <cols>
    <col min="1" max="1" width="10.625" style="23" customWidth="1"/>
    <col min="2" max="2" width="17.625" style="193" bestFit="1" customWidth="1"/>
    <col min="3" max="3" width="14.125" style="137" customWidth="1"/>
    <col min="4" max="4" width="15.125" style="153" customWidth="1"/>
    <col min="5" max="5" width="17.125" style="194" customWidth="1"/>
    <col min="6" max="6" width="17.375" style="153" bestFit="1" customWidth="1"/>
    <col min="7" max="7" width="19.125" style="194" bestFit="1" customWidth="1"/>
    <col min="8" max="8" width="15.375" style="14" bestFit="1" customWidth="1"/>
    <col min="9" max="9" width="16.375" style="14" bestFit="1" customWidth="1"/>
    <col min="10" max="10" width="24.625" style="194" customWidth="1"/>
    <col min="11" max="11" width="31.375" style="194" bestFit="1" customWidth="1"/>
    <col min="12" max="12" width="19.125" style="194" customWidth="1"/>
    <col min="13" max="13" width="15.125" style="194" bestFit="1" customWidth="1"/>
    <col min="14" max="14" width="21.375" style="194" customWidth="1"/>
    <col min="15" max="15" width="19.375" customWidth="1"/>
    <col min="16" max="16" width="13.375" style="137" customWidth="1"/>
    <col min="17" max="17" width="20.375" style="130" bestFit="1" customWidth="1"/>
    <col min="18" max="18" width="26.125" style="130" bestFit="1" customWidth="1"/>
    <col min="19" max="20" width="26.125" style="130" customWidth="1"/>
    <col min="21" max="21" width="12.125" style="223" bestFit="1" customWidth="1"/>
    <col min="22" max="22" width="9.875" style="11" customWidth="1"/>
    <col min="23" max="23" width="8.625" style="11"/>
    <col min="24" max="24" width="9" style="11" bestFit="1" customWidth="1"/>
    <col min="25" max="25" width="8.625" style="11"/>
  </cols>
  <sheetData>
    <row r="1" spans="1:30" ht="23.25">
      <c r="A1" s="314" t="s">
        <v>775</v>
      </c>
      <c r="D1" s="154"/>
      <c r="K1" s="225"/>
      <c r="L1" s="225"/>
      <c r="M1" s="225"/>
      <c r="P1" s="236" t="s">
        <v>362</v>
      </c>
      <c r="Q1" s="190"/>
      <c r="R1" s="190"/>
      <c r="S1" s="190"/>
      <c r="T1" s="190"/>
      <c r="U1" s="151"/>
    </row>
    <row r="2" spans="1:30">
      <c r="A2" s="23" t="s">
        <v>356</v>
      </c>
      <c r="B2" s="321"/>
      <c r="C2" s="130"/>
      <c r="D2" s="335"/>
      <c r="E2" s="335"/>
      <c r="F2" s="335"/>
      <c r="G2" s="335"/>
      <c r="H2" s="335"/>
      <c r="I2" s="335"/>
      <c r="J2" s="335"/>
      <c r="K2" s="335"/>
      <c r="L2" s="335"/>
      <c r="M2" s="335"/>
      <c r="N2" s="335"/>
      <c r="P2" s="224" t="s">
        <v>363</v>
      </c>
      <c r="Q2" s="224" t="s">
        <v>682</v>
      </c>
      <c r="R2" s="224" t="s">
        <v>656</v>
      </c>
      <c r="S2" s="344" t="s">
        <v>713</v>
      </c>
      <c r="T2" s="344" t="s">
        <v>714</v>
      </c>
      <c r="U2" s="159"/>
      <c r="AD2" s="106"/>
    </row>
    <row r="3" spans="1:30">
      <c r="C3" s="335"/>
      <c r="D3" s="335"/>
      <c r="E3" s="335"/>
      <c r="F3" s="335"/>
      <c r="G3" s="335"/>
      <c r="H3" s="335"/>
      <c r="I3" s="335"/>
      <c r="J3" s="335"/>
      <c r="K3" s="335"/>
      <c r="L3" s="335"/>
      <c r="M3" s="335"/>
      <c r="N3" s="335"/>
      <c r="O3" s="335"/>
      <c r="P3" s="188">
        <v>64.53</v>
      </c>
      <c r="Q3" s="188">
        <v>943.5</v>
      </c>
      <c r="R3" s="188">
        <v>13.51</v>
      </c>
      <c r="S3" s="343">
        <v>19.91</v>
      </c>
      <c r="T3" s="343">
        <v>10.56</v>
      </c>
      <c r="U3" s="151"/>
      <c r="V3" s="347"/>
      <c r="Z3" s="103"/>
      <c r="AA3" s="106"/>
      <c r="AD3" s="106"/>
    </row>
    <row r="4" spans="1:30">
      <c r="A4" s="227"/>
      <c r="B4" s="228"/>
      <c r="C4" s="229"/>
      <c r="D4" s="230"/>
      <c r="E4" s="230"/>
      <c r="F4" s="230"/>
      <c r="G4" s="230"/>
      <c r="H4" s="231"/>
      <c r="I4" s="231"/>
      <c r="J4" s="230"/>
      <c r="K4" s="232"/>
      <c r="L4" s="232"/>
      <c r="M4" s="232"/>
      <c r="N4" s="230"/>
      <c r="O4" s="342"/>
      <c r="P4" s="329"/>
      <c r="Q4" s="329"/>
      <c r="R4" s="329"/>
      <c r="S4" s="329"/>
      <c r="T4" s="329"/>
      <c r="U4" s="329"/>
      <c r="Z4" s="11"/>
    </row>
    <row r="5" spans="1:30">
      <c r="A5" s="227"/>
      <c r="B5" s="228"/>
      <c r="C5" s="184" t="s">
        <v>358</v>
      </c>
      <c r="D5" s="230"/>
      <c r="E5" s="230"/>
      <c r="F5" s="230"/>
      <c r="G5" s="230"/>
      <c r="H5" s="324"/>
      <c r="I5" s="324"/>
      <c r="J5" s="186"/>
      <c r="K5" s="325"/>
      <c r="L5" s="325"/>
      <c r="M5" s="325"/>
      <c r="N5" s="230"/>
      <c r="O5" s="342"/>
      <c r="P5" s="234" t="s">
        <v>685</v>
      </c>
      <c r="Q5" s="235"/>
      <c r="R5" s="235"/>
      <c r="S5" s="235"/>
      <c r="T5" s="235"/>
      <c r="U5" s="233"/>
      <c r="Z5" s="11"/>
    </row>
    <row r="6" spans="1:30" s="212" customFormat="1" ht="42.75">
      <c r="A6" s="220" t="s">
        <v>658</v>
      </c>
      <c r="B6" s="221" t="s">
        <v>3</v>
      </c>
      <c r="C6" s="405" t="s">
        <v>750</v>
      </c>
      <c r="D6" s="410" t="s">
        <v>712</v>
      </c>
      <c r="E6" s="414" t="s">
        <v>683</v>
      </c>
      <c r="F6" s="374" t="s">
        <v>769</v>
      </c>
      <c r="G6" s="415" t="s">
        <v>681</v>
      </c>
      <c r="H6" s="414" t="s">
        <v>770</v>
      </c>
      <c r="I6" s="424" t="s">
        <v>771</v>
      </c>
      <c r="J6" s="425" t="s">
        <v>772</v>
      </c>
      <c r="K6" s="415" t="s">
        <v>773</v>
      </c>
      <c r="L6" s="430" t="s">
        <v>721</v>
      </c>
      <c r="M6" s="425" t="s">
        <v>729</v>
      </c>
      <c r="N6" s="415" t="s">
        <v>717</v>
      </c>
      <c r="O6" s="437" t="s">
        <v>774</v>
      </c>
      <c r="P6" s="226" t="s">
        <v>363</v>
      </c>
      <c r="Q6" s="216" t="s">
        <v>682</v>
      </c>
      <c r="R6" s="216" t="s">
        <v>684</v>
      </c>
      <c r="S6" s="216" t="s">
        <v>715</v>
      </c>
      <c r="T6" s="216" t="s">
        <v>714</v>
      </c>
      <c r="U6" s="217" t="s">
        <v>364</v>
      </c>
      <c r="V6" s="222"/>
      <c r="W6" s="222"/>
      <c r="X6" s="222"/>
      <c r="Y6" s="222"/>
    </row>
    <row r="7" spans="1:30" s="31" customFormat="1">
      <c r="B7" s="193" t="s">
        <v>360</v>
      </c>
      <c r="C7" s="406">
        <f>SUM(C8:C299)</f>
        <v>5573310</v>
      </c>
      <c r="D7" s="411"/>
      <c r="E7" s="416"/>
      <c r="F7" s="164">
        <f>SUM(F8:F299)</f>
        <v>2051</v>
      </c>
      <c r="G7" s="417">
        <v>3.6800393303082008E-4</v>
      </c>
      <c r="H7" s="169">
        <f>SUM(H8:H299)</f>
        <v>2408093</v>
      </c>
      <c r="I7" s="164">
        <f>SUM(I8:I299)</f>
        <v>2409109</v>
      </c>
      <c r="J7" s="346">
        <v>0.9995782673179171</v>
      </c>
      <c r="K7" s="426">
        <v>1</v>
      </c>
      <c r="L7" s="431"/>
      <c r="M7" s="14">
        <f>SUM(M8:M299)</f>
        <v>3764133.7682668162</v>
      </c>
      <c r="N7" s="432">
        <f>M7/C7</f>
        <v>0.67538568072955141</v>
      </c>
      <c r="O7" s="438">
        <v>0.12156988932900219</v>
      </c>
      <c r="P7" s="196">
        <f t="shared" ref="P7:U7" si="0">SUM(P8:P299)</f>
        <v>66527191.431814507</v>
      </c>
      <c r="Q7" s="29">
        <f t="shared" si="0"/>
        <v>1202962.5</v>
      </c>
      <c r="R7" s="29">
        <f t="shared" si="0"/>
        <v>75068155.543234274</v>
      </c>
      <c r="S7" s="29">
        <f t="shared" si="0"/>
        <v>110964602.10000001</v>
      </c>
      <c r="T7" s="29">
        <f t="shared" si="0"/>
        <v>42334867.25127846</v>
      </c>
      <c r="U7" s="178">
        <f t="shared" si="0"/>
        <v>296097778.82632726</v>
      </c>
      <c r="V7" s="30"/>
      <c r="W7" s="30"/>
      <c r="X7" s="107"/>
      <c r="Y7" s="107"/>
    </row>
    <row r="8" spans="1:30">
      <c r="A8" s="23">
        <v>5</v>
      </c>
      <c r="B8" s="193" t="s">
        <v>12</v>
      </c>
      <c r="C8" s="407">
        <v>9113</v>
      </c>
      <c r="D8" s="412">
        <v>0.6011333333333333</v>
      </c>
      <c r="E8" s="418">
        <v>0</v>
      </c>
      <c r="F8" s="155">
        <v>0</v>
      </c>
      <c r="G8" s="419">
        <v>0</v>
      </c>
      <c r="H8" s="256">
        <v>3344</v>
      </c>
      <c r="I8" s="14">
        <v>3360</v>
      </c>
      <c r="J8" s="330">
        <v>0.99523809523809526</v>
      </c>
      <c r="K8" s="427">
        <v>0.99565799675550426</v>
      </c>
      <c r="L8" s="433">
        <v>0.59300147400000003</v>
      </c>
      <c r="M8" s="14">
        <f>Lisäosat[[#This Row],[HYTE-kerroin (sis. Kulttuurihyte)]]*Lisäosat[[#This Row],[Asukasmäärä 31.12.2023]]</f>
        <v>5404.0224325620002</v>
      </c>
      <c r="N8" s="427">
        <f>Lisäosat[[#This Row],[HYTE-kerroin (sis. Kulttuurihyte)]]/$N$7</f>
        <v>0.87801902071634097</v>
      </c>
      <c r="O8" s="439">
        <v>0</v>
      </c>
      <c r="P8" s="136">
        <v>353503.60414199997</v>
      </c>
      <c r="Q8" s="35">
        <v>0</v>
      </c>
      <c r="R8" s="35">
        <v>122582.05719308861</v>
      </c>
      <c r="S8" s="35">
        <v>159307.62185553939</v>
      </c>
      <c r="T8" s="35">
        <v>0</v>
      </c>
      <c r="U8" s="309">
        <f>SUM(P8:T8)</f>
        <v>635393.28319062793</v>
      </c>
      <c r="X8" s="10"/>
      <c r="Y8" s="10"/>
      <c r="Z8" s="108"/>
    </row>
    <row r="9" spans="1:30">
      <c r="A9" s="23">
        <v>9</v>
      </c>
      <c r="B9" s="193" t="s">
        <v>13</v>
      </c>
      <c r="C9" s="407">
        <v>2437</v>
      </c>
      <c r="D9" s="412">
        <v>2.8199999999999999E-2</v>
      </c>
      <c r="E9" s="418">
        <v>0</v>
      </c>
      <c r="F9" s="155">
        <v>0</v>
      </c>
      <c r="G9" s="419">
        <v>0</v>
      </c>
      <c r="H9" s="256">
        <v>693</v>
      </c>
      <c r="I9" s="14">
        <v>952</v>
      </c>
      <c r="J9" s="330">
        <v>0.7279411764705882</v>
      </c>
      <c r="K9" s="427">
        <v>0.72824830258045781</v>
      </c>
      <c r="L9" s="433">
        <v>0.65381176200000002</v>
      </c>
      <c r="M9" s="14">
        <f>Lisäosat[[#This Row],[HYTE-kerroin (sis. Kulttuurihyte)]]*Lisäosat[[#This Row],[Asukasmäärä 31.12.2023]]</f>
        <v>1593.339263994</v>
      </c>
      <c r="N9" s="427">
        <f>Lisäosat[[#This Row],[HYTE-kerroin (sis. Kulttuurihyte)]]/$N$7</f>
        <v>0.96805689053660826</v>
      </c>
      <c r="O9" s="439">
        <v>0</v>
      </c>
      <c r="P9" s="136">
        <v>4434.7210020000002</v>
      </c>
      <c r="Q9" s="35">
        <v>0</v>
      </c>
      <c r="R9" s="35">
        <v>23976.752441879657</v>
      </c>
      <c r="S9" s="35">
        <v>46970.768926952886</v>
      </c>
      <c r="T9" s="35">
        <v>0</v>
      </c>
      <c r="U9" s="309">
        <f>SUM(P9:T9)</f>
        <v>75382.242370832537</v>
      </c>
      <c r="X9" s="10"/>
      <c r="Y9" s="10"/>
      <c r="Z9" s="108"/>
    </row>
    <row r="10" spans="1:30">
      <c r="A10" s="23">
        <v>10</v>
      </c>
      <c r="B10" s="193" t="s">
        <v>14</v>
      </c>
      <c r="C10" s="407">
        <v>10933</v>
      </c>
      <c r="D10" s="412">
        <v>0.54486666666666661</v>
      </c>
      <c r="E10" s="418">
        <v>0</v>
      </c>
      <c r="F10" s="155">
        <v>1</v>
      </c>
      <c r="G10" s="419">
        <v>9.1466203237903593E-5</v>
      </c>
      <c r="H10" s="256">
        <v>4042</v>
      </c>
      <c r="I10" s="14">
        <v>4207</v>
      </c>
      <c r="J10" s="330">
        <v>0.96077965295935341</v>
      </c>
      <c r="K10" s="427">
        <v>0.96118501609416873</v>
      </c>
      <c r="L10" s="433">
        <v>0.58261744100000001</v>
      </c>
      <c r="M10" s="14">
        <f>Lisäosat[[#This Row],[HYTE-kerroin (sis. Kulttuurihyte)]]*Lisäosat[[#This Row],[Asukasmäärä 31.12.2023]]</f>
        <v>6369.756482453</v>
      </c>
      <c r="N10" s="427">
        <f>Lisäosat[[#This Row],[HYTE-kerroin (sis. Kulttuurihyte)]]/$N$7</f>
        <v>0.86264405305522152</v>
      </c>
      <c r="O10" s="439">
        <v>0</v>
      </c>
      <c r="P10" s="136">
        <v>384406.96951799997</v>
      </c>
      <c r="Q10" s="35">
        <v>0</v>
      </c>
      <c r="R10" s="35">
        <v>141971.66940073646</v>
      </c>
      <c r="S10" s="35">
        <v>187776.93277217</v>
      </c>
      <c r="T10" s="35">
        <v>0</v>
      </c>
      <c r="U10" s="309">
        <f t="shared" ref="U10:U72" si="1">SUM(P10:T10)</f>
        <v>714155.57169090654</v>
      </c>
      <c r="X10" s="10"/>
      <c r="Y10" s="10"/>
      <c r="Z10" s="108"/>
    </row>
    <row r="11" spans="1:30">
      <c r="A11" s="23">
        <v>16</v>
      </c>
      <c r="B11" s="193" t="s">
        <v>15</v>
      </c>
      <c r="C11" s="407">
        <v>7968</v>
      </c>
      <c r="D11" s="412">
        <v>0</v>
      </c>
      <c r="E11" s="418">
        <v>0</v>
      </c>
      <c r="F11" s="155">
        <v>2</v>
      </c>
      <c r="G11" s="419">
        <v>2.5100401606425701E-4</v>
      </c>
      <c r="H11" s="256">
        <v>2318</v>
      </c>
      <c r="I11" s="14">
        <v>2947</v>
      </c>
      <c r="J11" s="330">
        <v>0.78656260604004069</v>
      </c>
      <c r="K11" s="427">
        <v>0.78689446515334605</v>
      </c>
      <c r="L11" s="433">
        <v>0.65211556400000004</v>
      </c>
      <c r="M11" s="14">
        <f>Lisäosat[[#This Row],[HYTE-kerroin (sis. Kulttuurihyte)]]*Lisäosat[[#This Row],[Asukasmäärä 31.12.2023]]</f>
        <v>5196.0568139520001</v>
      </c>
      <c r="N11" s="427">
        <f>Lisäosat[[#This Row],[HYTE-kerroin (sis. Kulttuurihyte)]]/$N$7</f>
        <v>0.96554543960065153</v>
      </c>
      <c r="O11" s="439">
        <v>0</v>
      </c>
      <c r="P11" s="136">
        <v>0</v>
      </c>
      <c r="Q11" s="35">
        <v>0</v>
      </c>
      <c r="R11" s="35">
        <v>84707.363578598553</v>
      </c>
      <c r="S11" s="35">
        <v>153176.90930911343</v>
      </c>
      <c r="T11" s="35">
        <v>0</v>
      </c>
      <c r="U11" s="309">
        <f t="shared" si="1"/>
        <v>237884.272887712</v>
      </c>
      <c r="X11" s="10"/>
      <c r="Y11" s="10"/>
      <c r="Z11" s="108"/>
    </row>
    <row r="12" spans="1:30">
      <c r="A12" s="23">
        <v>18</v>
      </c>
      <c r="B12" s="193" t="s">
        <v>16</v>
      </c>
      <c r="C12" s="407">
        <v>4700</v>
      </c>
      <c r="D12" s="412">
        <v>0</v>
      </c>
      <c r="E12" s="418">
        <v>0</v>
      </c>
      <c r="F12" s="155">
        <v>0</v>
      </c>
      <c r="G12" s="419">
        <v>0</v>
      </c>
      <c r="H12" s="256">
        <v>1359</v>
      </c>
      <c r="I12" s="14">
        <v>2222</v>
      </c>
      <c r="J12" s="330">
        <v>0.61161116111611158</v>
      </c>
      <c r="K12" s="427">
        <v>0.61186920635759268</v>
      </c>
      <c r="L12" s="433">
        <v>0.499337792</v>
      </c>
      <c r="M12" s="14">
        <f>Lisäosat[[#This Row],[HYTE-kerroin (sis. Kulttuurihyte)]]*Lisäosat[[#This Row],[Asukasmäärä 31.12.2023]]</f>
        <v>2346.8876224000001</v>
      </c>
      <c r="N12" s="427">
        <f>Lisäosat[[#This Row],[HYTE-kerroin (sis. Kulttuurihyte)]]/$N$7</f>
        <v>0.73933725017772878</v>
      </c>
      <c r="O12" s="439">
        <v>0</v>
      </c>
      <c r="P12" s="136">
        <v>0</v>
      </c>
      <c r="Q12" s="35">
        <v>0</v>
      </c>
      <c r="R12" s="35">
        <v>38851.858996088064</v>
      </c>
      <c r="S12" s="35">
        <v>69184.961859881325</v>
      </c>
      <c r="T12" s="35">
        <v>0</v>
      </c>
      <c r="U12" s="309">
        <f t="shared" si="1"/>
        <v>108036.82085596939</v>
      </c>
      <c r="X12" s="10"/>
      <c r="Y12" s="10"/>
      <c r="Z12" s="108"/>
    </row>
    <row r="13" spans="1:30">
      <c r="A13" s="23">
        <v>19</v>
      </c>
      <c r="B13" s="193" t="s">
        <v>17</v>
      </c>
      <c r="C13" s="407">
        <v>3961</v>
      </c>
      <c r="D13" s="412">
        <v>0</v>
      </c>
      <c r="E13" s="418">
        <v>0</v>
      </c>
      <c r="F13" s="155">
        <v>0</v>
      </c>
      <c r="G13" s="419">
        <v>0</v>
      </c>
      <c r="H13" s="256">
        <v>1192</v>
      </c>
      <c r="I13" s="14">
        <v>1804</v>
      </c>
      <c r="J13" s="330">
        <v>0.6607538802660754</v>
      </c>
      <c r="K13" s="427">
        <v>0.66103265934244426</v>
      </c>
      <c r="L13" s="433">
        <v>0.43183722899999999</v>
      </c>
      <c r="M13" s="14">
        <f>Lisäosat[[#This Row],[HYTE-kerroin (sis. Kulttuurihyte)]]*Lisäosat[[#This Row],[Asukasmäärä 31.12.2023]]</f>
        <v>1710.507264069</v>
      </c>
      <c r="N13" s="427">
        <f>Lisäosat[[#This Row],[HYTE-kerroin (sis. Kulttuurihyte)]]/$N$7</f>
        <v>0.63939352183707765</v>
      </c>
      <c r="O13" s="439">
        <v>1.6975387248093405E-2</v>
      </c>
      <c r="P13" s="136">
        <v>0</v>
      </c>
      <c r="Q13" s="35">
        <v>0</v>
      </c>
      <c r="R13" s="35">
        <v>35373.913412984752</v>
      </c>
      <c r="S13" s="35">
        <v>50424.817403333589</v>
      </c>
      <c r="T13" s="35">
        <v>710.04921387521063</v>
      </c>
      <c r="U13" s="309">
        <f t="shared" si="1"/>
        <v>86508.780030193549</v>
      </c>
      <c r="X13" s="10"/>
      <c r="Y13" s="10"/>
      <c r="Z13" s="108"/>
    </row>
    <row r="14" spans="1:30">
      <c r="A14" s="23">
        <v>20</v>
      </c>
      <c r="B14" s="193" t="s">
        <v>18</v>
      </c>
      <c r="C14" s="407">
        <v>16405</v>
      </c>
      <c r="D14" s="412">
        <v>0</v>
      </c>
      <c r="E14" s="418">
        <v>0</v>
      </c>
      <c r="F14" s="155">
        <v>0</v>
      </c>
      <c r="G14" s="419">
        <v>0</v>
      </c>
      <c r="H14" s="256">
        <v>4622</v>
      </c>
      <c r="I14" s="14">
        <v>6970</v>
      </c>
      <c r="J14" s="330">
        <v>0.66312769010043038</v>
      </c>
      <c r="K14" s="427">
        <v>0.66340747071236772</v>
      </c>
      <c r="L14" s="433">
        <v>0.55247507399999995</v>
      </c>
      <c r="M14" s="14">
        <f>Lisäosat[[#This Row],[HYTE-kerroin (sis. Kulttuurihyte)]]*Lisäosat[[#This Row],[Asukasmäärä 31.12.2023]]</f>
        <v>9063.3535889699997</v>
      </c>
      <c r="N14" s="427">
        <f>Lisäosat[[#This Row],[HYTE-kerroin (sis. Kulttuurihyte)]]/$N$7</f>
        <v>0.81801419509400397</v>
      </c>
      <c r="O14" s="439">
        <v>2.9102966149966807E-2</v>
      </c>
      <c r="P14" s="136">
        <v>0</v>
      </c>
      <c r="Q14" s="35">
        <v>0</v>
      </c>
      <c r="R14" s="35">
        <v>147032.02601556166</v>
      </c>
      <c r="S14" s="35">
        <v>267182.70035199617</v>
      </c>
      <c r="T14" s="35">
        <v>5041.7047263285704</v>
      </c>
      <c r="U14" s="309">
        <f t="shared" si="1"/>
        <v>419256.43109388638</v>
      </c>
      <c r="X14" s="10"/>
      <c r="Y14" s="10"/>
      <c r="Z14" s="108"/>
    </row>
    <row r="15" spans="1:30">
      <c r="A15" s="23">
        <v>46</v>
      </c>
      <c r="B15" s="193" t="s">
        <v>19</v>
      </c>
      <c r="C15" s="407">
        <v>1320</v>
      </c>
      <c r="D15" s="412">
        <v>1.2921</v>
      </c>
      <c r="E15" s="418">
        <v>0</v>
      </c>
      <c r="F15" s="155">
        <v>0</v>
      </c>
      <c r="G15" s="419">
        <v>0</v>
      </c>
      <c r="H15" s="256">
        <v>394</v>
      </c>
      <c r="I15" s="14">
        <v>456</v>
      </c>
      <c r="J15" s="330">
        <v>0.86403508771929827</v>
      </c>
      <c r="K15" s="427">
        <v>0.86439963329503922</v>
      </c>
      <c r="L15" s="433">
        <v>0.58087552799999997</v>
      </c>
      <c r="M15" s="14">
        <f>Lisäosat[[#This Row],[HYTE-kerroin (sis. Kulttuurihyte)]]*Lisäosat[[#This Row],[Asukasmäärä 31.12.2023]]</f>
        <v>766.75569696000002</v>
      </c>
      <c r="N15" s="427">
        <f>Lisäosat[[#This Row],[HYTE-kerroin (sis. Kulttuurihyte)]]/$N$7</f>
        <v>0.86006491486840286</v>
      </c>
      <c r="O15" s="439">
        <v>0</v>
      </c>
      <c r="P15" s="136">
        <v>165090.84174</v>
      </c>
      <c r="Q15" s="35">
        <v>0</v>
      </c>
      <c r="R15" s="35">
        <v>15415.011540477093</v>
      </c>
      <c r="S15" s="35">
        <v>22603.538040639469</v>
      </c>
      <c r="T15" s="35">
        <v>0</v>
      </c>
      <c r="U15" s="309">
        <f t="shared" si="1"/>
        <v>203109.39132111659</v>
      </c>
      <c r="X15" s="10"/>
      <c r="Y15" s="10"/>
      <c r="Z15" s="108"/>
    </row>
    <row r="16" spans="1:30">
      <c r="A16" s="23">
        <v>47</v>
      </c>
      <c r="B16" s="193" t="s">
        <v>20</v>
      </c>
      <c r="C16" s="407">
        <v>1771</v>
      </c>
      <c r="D16" s="412">
        <v>1.9494500000000001</v>
      </c>
      <c r="E16" s="418">
        <v>1</v>
      </c>
      <c r="F16" s="155">
        <v>182</v>
      </c>
      <c r="G16" s="419">
        <v>0.10276679841897234</v>
      </c>
      <c r="H16" s="256">
        <v>664</v>
      </c>
      <c r="I16" s="14">
        <v>767</v>
      </c>
      <c r="J16" s="330">
        <v>0.86571056062581486</v>
      </c>
      <c r="K16" s="427">
        <v>0.86607581310136128</v>
      </c>
      <c r="L16" s="433">
        <v>0.44908404099999999</v>
      </c>
      <c r="M16" s="14">
        <f>Lisäosat[[#This Row],[HYTE-kerroin (sis. Kulttuurihyte)]]*Lisäosat[[#This Row],[Asukasmäärä 31.12.2023]]</f>
        <v>795.32783661099995</v>
      </c>
      <c r="N16" s="427">
        <f>Lisäosat[[#This Row],[HYTE-kerroin (sis. Kulttuurihyte)]]/$N$7</f>
        <v>0.66492976356102118</v>
      </c>
      <c r="O16" s="439">
        <v>0</v>
      </c>
      <c r="P16" s="136">
        <v>668364.81916050008</v>
      </c>
      <c r="Q16" s="35">
        <v>171717</v>
      </c>
      <c r="R16" s="35">
        <v>20721.91178018392</v>
      </c>
      <c r="S16" s="35">
        <v>23445.829070317377</v>
      </c>
      <c r="T16" s="35">
        <v>0</v>
      </c>
      <c r="U16" s="309">
        <f t="shared" si="1"/>
        <v>884249.5600110013</v>
      </c>
      <c r="X16" s="10"/>
      <c r="Y16" s="10"/>
      <c r="Z16" s="108"/>
    </row>
    <row r="17" spans="1:26">
      <c r="A17" s="23">
        <v>49</v>
      </c>
      <c r="B17" s="193" t="s">
        <v>21</v>
      </c>
      <c r="C17" s="407">
        <v>314024</v>
      </c>
      <c r="D17" s="412">
        <v>0</v>
      </c>
      <c r="E17" s="418">
        <v>0</v>
      </c>
      <c r="F17" s="155">
        <v>17</v>
      </c>
      <c r="G17" s="419">
        <v>5.4135989605889994E-5</v>
      </c>
      <c r="H17" s="256">
        <v>135386</v>
      </c>
      <c r="I17" s="14">
        <v>146707</v>
      </c>
      <c r="J17" s="330">
        <v>0.92283258467557783</v>
      </c>
      <c r="K17" s="427">
        <v>0.92322193753945414</v>
      </c>
      <c r="L17" s="433">
        <v>0.72160897999999996</v>
      </c>
      <c r="M17" s="14">
        <f>Lisäosat[[#This Row],[HYTE-kerroin (sis. Kulttuurihyte)]]*Lisäosat[[#This Row],[Asukasmäärä 31.12.2023]]</f>
        <v>226602.53833551999</v>
      </c>
      <c r="N17" s="427">
        <f>Lisäosat[[#This Row],[HYTE-kerroin (sis. Kulttuurihyte)]]/$N$7</f>
        <v>1.0684398567948881</v>
      </c>
      <c r="O17" s="439">
        <v>2.3624561107389455</v>
      </c>
      <c r="P17" s="136">
        <v>0</v>
      </c>
      <c r="Q17" s="35">
        <v>0</v>
      </c>
      <c r="R17" s="35">
        <v>3916736.0555946482</v>
      </c>
      <c r="S17" s="35">
        <v>6680118.7336200438</v>
      </c>
      <c r="T17" s="35">
        <v>7834125.2111093309</v>
      </c>
      <c r="U17" s="309">
        <f t="shared" si="1"/>
        <v>18430980.000324026</v>
      </c>
      <c r="X17" s="10"/>
      <c r="Y17" s="10"/>
      <c r="Z17" s="108"/>
    </row>
    <row r="18" spans="1:26">
      <c r="A18" s="23">
        <v>50</v>
      </c>
      <c r="B18" s="193" t="s">
        <v>22</v>
      </c>
      <c r="C18" s="407">
        <v>11184</v>
      </c>
      <c r="D18" s="412">
        <v>0</v>
      </c>
      <c r="E18" s="418">
        <v>0</v>
      </c>
      <c r="F18" s="155">
        <v>0</v>
      </c>
      <c r="G18" s="419">
        <v>0</v>
      </c>
      <c r="H18" s="256">
        <v>3992</v>
      </c>
      <c r="I18" s="14">
        <v>4674</v>
      </c>
      <c r="J18" s="330">
        <v>0.85408643560119812</v>
      </c>
      <c r="K18" s="427">
        <v>0.85444678373499983</v>
      </c>
      <c r="L18" s="433">
        <v>0.41867604200000003</v>
      </c>
      <c r="M18" s="14">
        <f>Lisäosat[[#This Row],[HYTE-kerroin (sis. Kulttuurihyte)]]*Lisäosat[[#This Row],[Asukasmäärä 31.12.2023]]</f>
        <v>4682.4728537280007</v>
      </c>
      <c r="N18" s="427">
        <f>Lisäosat[[#This Row],[HYTE-kerroin (sis. Kulttuurihyte)]]/$N$7</f>
        <v>0.61990660143659881</v>
      </c>
      <c r="O18" s="439">
        <v>0</v>
      </c>
      <c r="P18" s="136">
        <v>0</v>
      </c>
      <c r="Q18" s="35">
        <v>0</v>
      </c>
      <c r="R18" s="35">
        <v>129103.35452373812</v>
      </c>
      <c r="S18" s="35">
        <v>138036.73542059641</v>
      </c>
      <c r="T18" s="35">
        <v>0</v>
      </c>
      <c r="U18" s="309">
        <f t="shared" si="1"/>
        <v>267140.08994433453</v>
      </c>
      <c r="X18" s="10"/>
      <c r="Y18" s="10"/>
      <c r="Z18" s="108"/>
    </row>
    <row r="19" spans="1:26">
      <c r="A19" s="23">
        <v>51</v>
      </c>
      <c r="B19" s="193" t="s">
        <v>23</v>
      </c>
      <c r="C19" s="407">
        <v>9143</v>
      </c>
      <c r="D19" s="412">
        <v>0</v>
      </c>
      <c r="E19" s="418">
        <v>0</v>
      </c>
      <c r="F19" s="155">
        <v>0</v>
      </c>
      <c r="G19" s="419">
        <v>0</v>
      </c>
      <c r="H19" s="256">
        <v>3763</v>
      </c>
      <c r="I19" s="14">
        <v>3861</v>
      </c>
      <c r="J19" s="330">
        <v>0.97461797461797461</v>
      </c>
      <c r="K19" s="427">
        <v>0.97502917628759944</v>
      </c>
      <c r="L19" s="433">
        <v>0.62249030900000002</v>
      </c>
      <c r="M19" s="14">
        <f>Lisäosat[[#This Row],[HYTE-kerroin (sis. Kulttuurihyte)]]*Lisäosat[[#This Row],[Asukasmäärä 31.12.2023]]</f>
        <v>5691.4288951870003</v>
      </c>
      <c r="N19" s="427">
        <f>Lisäosat[[#This Row],[HYTE-kerroin (sis. Kulttuurihyte)]]/$N$7</f>
        <v>0.92168123601256424</v>
      </c>
      <c r="O19" s="439">
        <v>0</v>
      </c>
      <c r="P19" s="136">
        <v>0</v>
      </c>
      <c r="Q19" s="35">
        <v>0</v>
      </c>
      <c r="R19" s="35">
        <v>120437.48566135453</v>
      </c>
      <c r="S19" s="35">
        <v>167780.20697857984</v>
      </c>
      <c r="T19" s="35">
        <v>0</v>
      </c>
      <c r="U19" s="309">
        <f t="shared" si="1"/>
        <v>288217.69263993436</v>
      </c>
      <c r="X19" s="10"/>
      <c r="Y19" s="10"/>
      <c r="Z19" s="108"/>
    </row>
    <row r="20" spans="1:26">
      <c r="A20" s="23">
        <v>52</v>
      </c>
      <c r="B20" s="193" t="s">
        <v>24</v>
      </c>
      <c r="C20" s="407">
        <v>2292</v>
      </c>
      <c r="D20" s="412">
        <v>0.77395000000000003</v>
      </c>
      <c r="E20" s="418">
        <v>0</v>
      </c>
      <c r="F20" s="155">
        <v>0</v>
      </c>
      <c r="G20" s="419">
        <v>0</v>
      </c>
      <c r="H20" s="256">
        <v>818</v>
      </c>
      <c r="I20" s="14">
        <v>928</v>
      </c>
      <c r="J20" s="330">
        <v>0.88146551724137934</v>
      </c>
      <c r="K20" s="427">
        <v>0.88183741690036976</v>
      </c>
      <c r="L20" s="433">
        <v>0.48482155799999999</v>
      </c>
      <c r="M20" s="14">
        <f>Lisäosat[[#This Row],[HYTE-kerroin (sis. Kulttuurihyte)]]*Lisäosat[[#This Row],[Asukasmäärä 31.12.2023]]</f>
        <v>1111.2110109359999</v>
      </c>
      <c r="N20" s="427">
        <f>Lisäosat[[#This Row],[HYTE-kerroin (sis. Kulttuurihyte)]]/$N$7</f>
        <v>0.71784399911513652</v>
      </c>
      <c r="O20" s="439">
        <v>0</v>
      </c>
      <c r="P20" s="136">
        <v>114469.34110200001</v>
      </c>
      <c r="Q20" s="35">
        <v>0</v>
      </c>
      <c r="R20" s="35">
        <v>27306.025067326598</v>
      </c>
      <c r="S20" s="35">
        <v>32757.89205930039</v>
      </c>
      <c r="T20" s="35">
        <v>0</v>
      </c>
      <c r="U20" s="309">
        <f t="shared" si="1"/>
        <v>174533.25822862698</v>
      </c>
      <c r="X20" s="10"/>
      <c r="Y20" s="10"/>
      <c r="Z20" s="108"/>
    </row>
    <row r="21" spans="1:26">
      <c r="A21" s="23">
        <v>61</v>
      </c>
      <c r="B21" s="193" t="s">
        <v>25</v>
      </c>
      <c r="C21" s="407">
        <v>16469</v>
      </c>
      <c r="D21" s="412">
        <v>0</v>
      </c>
      <c r="E21" s="418">
        <v>0</v>
      </c>
      <c r="F21" s="155">
        <v>0</v>
      </c>
      <c r="G21" s="419">
        <v>0</v>
      </c>
      <c r="H21" s="256">
        <v>7800</v>
      </c>
      <c r="I21" s="14">
        <v>6277</v>
      </c>
      <c r="J21" s="330">
        <v>1.2426318304922734</v>
      </c>
      <c r="K21" s="427">
        <v>1.2431561100528137</v>
      </c>
      <c r="L21" s="433">
        <v>0.56937673499999997</v>
      </c>
      <c r="M21" s="14">
        <f>Lisäosat[[#This Row],[HYTE-kerroin (sis. Kulttuurihyte)]]*Lisäosat[[#This Row],[Asukasmäärä 31.12.2023]]</f>
        <v>9377.0654487149986</v>
      </c>
      <c r="N21" s="427">
        <f>Lisäosat[[#This Row],[HYTE-kerroin (sis. Kulttuurihyte)]]/$N$7</f>
        <v>0.84303939400219352</v>
      </c>
      <c r="O21" s="439">
        <v>0</v>
      </c>
      <c r="P21" s="136">
        <v>0</v>
      </c>
      <c r="Q21" s="35">
        <v>0</v>
      </c>
      <c r="R21" s="35">
        <v>276597.49806197174</v>
      </c>
      <c r="S21" s="35">
        <v>276430.75417625852</v>
      </c>
      <c r="T21" s="35">
        <v>0</v>
      </c>
      <c r="U21" s="309">
        <f t="shared" si="1"/>
        <v>553028.25223823031</v>
      </c>
      <c r="X21" s="10"/>
      <c r="Y21" s="10"/>
      <c r="Z21" s="108"/>
    </row>
    <row r="22" spans="1:26">
      <c r="A22" s="23">
        <v>69</v>
      </c>
      <c r="B22" s="193" t="s">
        <v>26</v>
      </c>
      <c r="C22" s="407">
        <v>6558</v>
      </c>
      <c r="D22" s="412">
        <v>0.78915000000000002</v>
      </c>
      <c r="E22" s="418">
        <v>0</v>
      </c>
      <c r="F22" s="155">
        <v>0</v>
      </c>
      <c r="G22" s="419">
        <v>0</v>
      </c>
      <c r="H22" s="256">
        <v>2698</v>
      </c>
      <c r="I22" s="14">
        <v>2617</v>
      </c>
      <c r="J22" s="330">
        <v>1.0309514711501719</v>
      </c>
      <c r="K22" s="427">
        <v>1.0313864405199964</v>
      </c>
      <c r="L22" s="433">
        <v>0.59420339899999997</v>
      </c>
      <c r="M22" s="14">
        <f>Lisäosat[[#This Row],[HYTE-kerroin (sis. Kulttuurihyte)]]*Lisäosat[[#This Row],[Asukasmäärä 31.12.2023]]</f>
        <v>3896.7858906419997</v>
      </c>
      <c r="N22" s="427">
        <f>Lisäosat[[#This Row],[HYTE-kerroin (sis. Kulttuurihyte)]]/$N$7</f>
        <v>0.87979863351284204</v>
      </c>
      <c r="O22" s="439">
        <v>0</v>
      </c>
      <c r="P22" s="136">
        <v>333958.60502100002</v>
      </c>
      <c r="Q22" s="35">
        <v>0</v>
      </c>
      <c r="R22" s="35">
        <v>91379.374061326147</v>
      </c>
      <c r="S22" s="35">
        <v>114875.11402207242</v>
      </c>
      <c r="T22" s="35">
        <v>0</v>
      </c>
      <c r="U22" s="309">
        <f t="shared" si="1"/>
        <v>540213.09310439858</v>
      </c>
      <c r="X22" s="10"/>
      <c r="Y22" s="10"/>
      <c r="Z22" s="108"/>
    </row>
    <row r="23" spans="1:26">
      <c r="A23" s="23">
        <v>71</v>
      </c>
      <c r="B23" s="193" t="s">
        <v>27</v>
      </c>
      <c r="C23" s="407">
        <v>6473</v>
      </c>
      <c r="D23" s="412">
        <v>0.6731166666666667</v>
      </c>
      <c r="E23" s="418">
        <v>0</v>
      </c>
      <c r="F23" s="155">
        <v>2</v>
      </c>
      <c r="G23" s="419">
        <v>3.0897574540398578E-4</v>
      </c>
      <c r="H23" s="256">
        <v>2642</v>
      </c>
      <c r="I23" s="14">
        <v>2541</v>
      </c>
      <c r="J23" s="330">
        <v>1.0397481306572216</v>
      </c>
      <c r="K23" s="427">
        <v>1.0401868114310737</v>
      </c>
      <c r="L23" s="433">
        <v>0.45357614499999999</v>
      </c>
      <c r="M23" s="14">
        <f>Lisäosat[[#This Row],[HYTE-kerroin (sis. Kulttuurihyte)]]*Lisäosat[[#This Row],[Asukasmäärä 31.12.2023]]</f>
        <v>2935.9983865849999</v>
      </c>
      <c r="N23" s="427">
        <f>Lisäosat[[#This Row],[HYTE-kerroin (sis. Kulttuurihyte)]]/$N$7</f>
        <v>0.67158093211281467</v>
      </c>
      <c r="O23" s="439">
        <v>0</v>
      </c>
      <c r="P23" s="136">
        <v>281162.64235049998</v>
      </c>
      <c r="Q23" s="35">
        <v>0</v>
      </c>
      <c r="R23" s="35">
        <v>90964.575902614029</v>
      </c>
      <c r="S23" s="35">
        <v>86551.624567704028</v>
      </c>
      <c r="T23" s="35">
        <v>0</v>
      </c>
      <c r="U23" s="309">
        <f t="shared" si="1"/>
        <v>458678.84282081807</v>
      </c>
      <c r="X23" s="10"/>
      <c r="Y23" s="10"/>
      <c r="Z23" s="108"/>
    </row>
    <row r="24" spans="1:26">
      <c r="A24" s="23">
        <v>72</v>
      </c>
      <c r="B24" s="193" t="s">
        <v>28</v>
      </c>
      <c r="C24" s="407">
        <v>948</v>
      </c>
      <c r="D24" s="412">
        <v>0.99881666666666669</v>
      </c>
      <c r="E24" s="418">
        <v>0</v>
      </c>
      <c r="F24" s="155">
        <v>0</v>
      </c>
      <c r="G24" s="419">
        <v>0</v>
      </c>
      <c r="H24" s="256">
        <v>245</v>
      </c>
      <c r="I24" s="14">
        <v>347</v>
      </c>
      <c r="J24" s="330">
        <v>0.70605187319884721</v>
      </c>
      <c r="K24" s="427">
        <v>0.70634976397929883</v>
      </c>
      <c r="L24" s="433">
        <v>0.60307889999999997</v>
      </c>
      <c r="M24" s="14">
        <f>Lisäosat[[#This Row],[HYTE-kerroin (sis. Kulttuurihyte)]]*Lisäosat[[#This Row],[Asukasmäärä 31.12.2023]]</f>
        <v>571.71879719999993</v>
      </c>
      <c r="N24" s="427">
        <f>Lisäosat[[#This Row],[HYTE-kerroin (sis. Kulttuurihyte)]]/$N$7</f>
        <v>0.89294001517555766</v>
      </c>
      <c r="O24" s="439">
        <v>0</v>
      </c>
      <c r="P24" s="136">
        <v>61102.050245999999</v>
      </c>
      <c r="Q24" s="35">
        <v>0</v>
      </c>
      <c r="R24" s="35">
        <v>9046.5604751695901</v>
      </c>
      <c r="S24" s="35">
        <v>16853.957045633793</v>
      </c>
      <c r="T24" s="35">
        <v>0</v>
      </c>
      <c r="U24" s="309">
        <f t="shared" si="1"/>
        <v>87002.56776680339</v>
      </c>
      <c r="X24" s="10"/>
      <c r="Y24" s="10"/>
      <c r="Z24" s="108"/>
    </row>
    <row r="25" spans="1:26">
      <c r="A25" s="23">
        <v>74</v>
      </c>
      <c r="B25" s="193" t="s">
        <v>29</v>
      </c>
      <c r="C25" s="407">
        <v>1013</v>
      </c>
      <c r="D25" s="412">
        <v>1.4803000000000002</v>
      </c>
      <c r="E25" s="418">
        <v>0</v>
      </c>
      <c r="F25" s="155">
        <v>0</v>
      </c>
      <c r="G25" s="419">
        <v>0</v>
      </c>
      <c r="H25" s="256">
        <v>337</v>
      </c>
      <c r="I25" s="14">
        <v>386</v>
      </c>
      <c r="J25" s="330">
        <v>0.87305699481865284</v>
      </c>
      <c r="K25" s="427">
        <v>0.87342534683277184</v>
      </c>
      <c r="L25" s="433">
        <v>0.230053746</v>
      </c>
      <c r="M25" s="14">
        <f>Lisäosat[[#This Row],[HYTE-kerroin (sis. Kulttuurihyte)]]*Lisäosat[[#This Row],[Asukasmäärä 31.12.2023]]</f>
        <v>233.04444469800001</v>
      </c>
      <c r="N25" s="427">
        <f>Lisäosat[[#This Row],[HYTE-kerroin (sis. Kulttuurihyte)]]/$N$7</f>
        <v>0.34062573809900148</v>
      </c>
      <c r="O25" s="439">
        <v>0</v>
      </c>
      <c r="P25" s="136">
        <v>145148.35180050001</v>
      </c>
      <c r="Q25" s="35">
        <v>0</v>
      </c>
      <c r="R25" s="35">
        <v>11953.376129374987</v>
      </c>
      <c r="S25" s="35">
        <v>6870.0226053432834</v>
      </c>
      <c r="T25" s="35">
        <v>0</v>
      </c>
      <c r="U25" s="309">
        <f t="shared" si="1"/>
        <v>163971.75053521828</v>
      </c>
      <c r="X25" s="10"/>
      <c r="Y25" s="10"/>
      <c r="Z25" s="108"/>
    </row>
    <row r="26" spans="1:26">
      <c r="A26" s="23">
        <v>75</v>
      </c>
      <c r="B26" s="193" t="s">
        <v>30</v>
      </c>
      <c r="C26" s="407">
        <v>19534</v>
      </c>
      <c r="D26" s="412">
        <v>0</v>
      </c>
      <c r="E26" s="418">
        <v>0</v>
      </c>
      <c r="F26" s="155">
        <v>0</v>
      </c>
      <c r="G26" s="419">
        <v>0</v>
      </c>
      <c r="H26" s="256">
        <v>6166</v>
      </c>
      <c r="I26" s="14">
        <v>7552</v>
      </c>
      <c r="J26" s="330">
        <v>0.81647245762711862</v>
      </c>
      <c r="K26" s="427">
        <v>0.81681693602431893</v>
      </c>
      <c r="L26" s="433">
        <v>0.66870127700000004</v>
      </c>
      <c r="M26" s="14">
        <f>Lisäosat[[#This Row],[HYTE-kerroin (sis. Kulttuurihyte)]]*Lisäosat[[#This Row],[Asukasmäärä 31.12.2023]]</f>
        <v>13062.410744918001</v>
      </c>
      <c r="N26" s="427">
        <f>Lisäosat[[#This Row],[HYTE-kerroin (sis. Kulttuurihyte)]]/$N$7</f>
        <v>0.99010283469094151</v>
      </c>
      <c r="O26" s="439">
        <v>0</v>
      </c>
      <c r="P26" s="136">
        <v>0</v>
      </c>
      <c r="Q26" s="35">
        <v>0</v>
      </c>
      <c r="R26" s="35">
        <v>215561.5344023201</v>
      </c>
      <c r="S26" s="35">
        <v>385072.71526750032</v>
      </c>
      <c r="T26" s="35">
        <v>0</v>
      </c>
      <c r="U26" s="309">
        <f t="shared" si="1"/>
        <v>600634.24966982042</v>
      </c>
      <c r="X26" s="10"/>
      <c r="Y26" s="10"/>
      <c r="Z26" s="108"/>
    </row>
    <row r="27" spans="1:26">
      <c r="A27" s="23">
        <v>77</v>
      </c>
      <c r="B27" s="193" t="s">
        <v>31</v>
      </c>
      <c r="C27" s="407">
        <v>4549</v>
      </c>
      <c r="D27" s="412">
        <v>0.66818333333333335</v>
      </c>
      <c r="E27" s="418">
        <v>0</v>
      </c>
      <c r="F27" s="155">
        <v>0</v>
      </c>
      <c r="G27" s="419">
        <v>0</v>
      </c>
      <c r="H27" s="256">
        <v>1294</v>
      </c>
      <c r="I27" s="14">
        <v>1655</v>
      </c>
      <c r="J27" s="330">
        <v>0.78187311178247731</v>
      </c>
      <c r="K27" s="427">
        <v>0.78220299234837365</v>
      </c>
      <c r="L27" s="433">
        <v>0.55760644400000003</v>
      </c>
      <c r="M27" s="14">
        <f>Lisäosat[[#This Row],[HYTE-kerroin (sis. Kulttuurihyte)]]*Lisäosat[[#This Row],[Asukasmäärä 31.12.2023]]</f>
        <v>2536.551713756</v>
      </c>
      <c r="N27" s="427">
        <f>Lisäosat[[#This Row],[HYTE-kerroin (sis. Kulttuurihyte)]]/$N$7</f>
        <v>0.82561188356506721</v>
      </c>
      <c r="O27" s="439">
        <v>0</v>
      </c>
      <c r="P27" s="136">
        <v>196143.1929045</v>
      </c>
      <c r="Q27" s="35">
        <v>0</v>
      </c>
      <c r="R27" s="35">
        <v>48071.841478724076</v>
      </c>
      <c r="S27" s="35">
        <v>74776.155405499449</v>
      </c>
      <c r="T27" s="35">
        <v>0</v>
      </c>
      <c r="U27" s="309">
        <f t="shared" si="1"/>
        <v>318991.18978872354</v>
      </c>
      <c r="X27" s="10"/>
      <c r="Y27" s="10"/>
      <c r="Z27" s="108"/>
    </row>
    <row r="28" spans="1:26">
      <c r="A28" s="23">
        <v>78</v>
      </c>
      <c r="B28" s="193" t="s">
        <v>32</v>
      </c>
      <c r="C28" s="407">
        <v>7721</v>
      </c>
      <c r="D28" s="412">
        <v>0.99443333333333328</v>
      </c>
      <c r="E28" s="418">
        <v>0</v>
      </c>
      <c r="F28" s="155">
        <v>1</v>
      </c>
      <c r="G28" s="419">
        <v>1.2951690195570523E-4</v>
      </c>
      <c r="H28" s="256">
        <v>3431</v>
      </c>
      <c r="I28" s="14">
        <v>3122</v>
      </c>
      <c r="J28" s="330">
        <v>1.0989750160153748</v>
      </c>
      <c r="K28" s="427">
        <v>1.0994386852408873</v>
      </c>
      <c r="L28" s="433">
        <v>0.59190947100000002</v>
      </c>
      <c r="M28" s="14">
        <f>Lisäosat[[#This Row],[HYTE-kerroin (sis. Kulttuurihyte)]]*Lisäosat[[#This Row],[Asukasmäärä 31.12.2023]]</f>
        <v>4570.1330255909998</v>
      </c>
      <c r="N28" s="427">
        <f>Lisäosat[[#This Row],[HYTE-kerroin (sis. Kulttuurihyte)]]/$N$7</f>
        <v>0.87640216233281643</v>
      </c>
      <c r="O28" s="439">
        <v>0</v>
      </c>
      <c r="P28" s="136">
        <v>495462.61554299999</v>
      </c>
      <c r="Q28" s="35">
        <v>0</v>
      </c>
      <c r="R28" s="35">
        <v>114683.22985894348</v>
      </c>
      <c r="S28" s="35">
        <v>134725.01880885006</v>
      </c>
      <c r="T28" s="35">
        <v>0</v>
      </c>
      <c r="U28" s="309">
        <f t="shared" si="1"/>
        <v>744870.86421079352</v>
      </c>
      <c r="X28" s="10"/>
      <c r="Y28" s="10"/>
      <c r="Z28" s="108"/>
    </row>
    <row r="29" spans="1:26">
      <c r="A29" s="23">
        <v>79</v>
      </c>
      <c r="B29" s="193" t="s">
        <v>33</v>
      </c>
      <c r="C29" s="407">
        <v>6703</v>
      </c>
      <c r="D29" s="412">
        <v>0</v>
      </c>
      <c r="E29" s="418">
        <v>0</v>
      </c>
      <c r="F29" s="155">
        <v>0</v>
      </c>
      <c r="G29" s="419">
        <v>0</v>
      </c>
      <c r="H29" s="256">
        <v>3856</v>
      </c>
      <c r="I29" s="14">
        <v>2505</v>
      </c>
      <c r="J29" s="330">
        <v>1.5393213572854292</v>
      </c>
      <c r="K29" s="427">
        <v>1.5399708133068544</v>
      </c>
      <c r="L29" s="433">
        <v>0.54726257199999995</v>
      </c>
      <c r="M29" s="14">
        <f>Lisäosat[[#This Row],[HYTE-kerroin (sis. Kulttuurihyte)]]*Lisäosat[[#This Row],[Asukasmäärä 31.12.2023]]</f>
        <v>3668.3010201159996</v>
      </c>
      <c r="N29" s="427">
        <f>Lisäosat[[#This Row],[HYTE-kerroin (sis. Kulttuurihyte)]]/$N$7</f>
        <v>0.81029637970536639</v>
      </c>
      <c r="O29" s="439">
        <v>0</v>
      </c>
      <c r="P29" s="136">
        <v>0</v>
      </c>
      <c r="Q29" s="35">
        <v>0</v>
      </c>
      <c r="R29" s="35">
        <v>139455.95312515984</v>
      </c>
      <c r="S29" s="35">
        <v>108139.50516631657</v>
      </c>
      <c r="T29" s="35">
        <v>0</v>
      </c>
      <c r="U29" s="309">
        <f t="shared" si="1"/>
        <v>247595.45829147642</v>
      </c>
      <c r="X29" s="10"/>
      <c r="Y29" s="10"/>
      <c r="Z29" s="108"/>
    </row>
    <row r="30" spans="1:26">
      <c r="A30" s="23">
        <v>81</v>
      </c>
      <c r="B30" s="193" t="s">
        <v>34</v>
      </c>
      <c r="C30" s="407">
        <v>2531</v>
      </c>
      <c r="D30" s="412">
        <v>1.0004999999999999</v>
      </c>
      <c r="E30" s="418">
        <v>0</v>
      </c>
      <c r="F30" s="155">
        <v>0</v>
      </c>
      <c r="G30" s="419">
        <v>0</v>
      </c>
      <c r="H30" s="256">
        <v>803</v>
      </c>
      <c r="I30" s="14">
        <v>852</v>
      </c>
      <c r="J30" s="330">
        <v>0.94248826291079812</v>
      </c>
      <c r="K30" s="427">
        <v>0.94288590871397826</v>
      </c>
      <c r="L30" s="433">
        <v>0.66976898399999996</v>
      </c>
      <c r="M30" s="14">
        <f>Lisäosat[[#This Row],[HYTE-kerroin (sis. Kulttuurihyte)]]*Lisäosat[[#This Row],[Asukasmäärä 31.12.2023]]</f>
        <v>1695.185298504</v>
      </c>
      <c r="N30" s="427">
        <f>Lisäosat[[#This Row],[HYTE-kerroin (sis. Kulttuurihyte)]]/$N$7</f>
        <v>0.99168371955490042</v>
      </c>
      <c r="O30" s="439">
        <v>0</v>
      </c>
      <c r="P30" s="136">
        <v>245110.63907249999</v>
      </c>
      <c r="Q30" s="35">
        <v>0</v>
      </c>
      <c r="R30" s="35">
        <v>32240.861614243116</v>
      </c>
      <c r="S30" s="35">
        <v>49973.134249391653</v>
      </c>
      <c r="T30" s="35">
        <v>0</v>
      </c>
      <c r="U30" s="309">
        <f t="shared" si="1"/>
        <v>327324.6349361348</v>
      </c>
      <c r="X30" s="10"/>
      <c r="Y30" s="10"/>
      <c r="Z30" s="108"/>
    </row>
    <row r="31" spans="1:26">
      <c r="A31" s="23">
        <v>82</v>
      </c>
      <c r="B31" s="193" t="s">
        <v>35</v>
      </c>
      <c r="C31" s="407">
        <v>9371</v>
      </c>
      <c r="D31" s="412">
        <v>0</v>
      </c>
      <c r="E31" s="418">
        <v>0</v>
      </c>
      <c r="F31" s="155">
        <v>0</v>
      </c>
      <c r="G31" s="419">
        <v>0</v>
      </c>
      <c r="H31" s="256">
        <v>2822</v>
      </c>
      <c r="I31" s="14">
        <v>4187</v>
      </c>
      <c r="J31" s="330">
        <v>0.67399092428946739</v>
      </c>
      <c r="K31" s="427">
        <v>0.67427528821522864</v>
      </c>
      <c r="L31" s="433">
        <v>0.64273669</v>
      </c>
      <c r="M31" s="14">
        <f>Lisäosat[[#This Row],[HYTE-kerroin (sis. Kulttuurihyte)]]*Lisäosat[[#This Row],[Asukasmäärä 31.12.2023]]</f>
        <v>6023.0855219900004</v>
      </c>
      <c r="N31" s="427">
        <f>Lisäosat[[#This Row],[HYTE-kerroin (sis. Kulttuurihyte)]]/$N$7</f>
        <v>0.95165874601563361</v>
      </c>
      <c r="O31" s="439">
        <v>0</v>
      </c>
      <c r="P31" s="136">
        <v>0</v>
      </c>
      <c r="Q31" s="35">
        <v>0</v>
      </c>
      <c r="R31" s="35">
        <v>85364.74163643489</v>
      </c>
      <c r="S31" s="35">
        <v>177557.26270844793</v>
      </c>
      <c r="T31" s="35">
        <v>0</v>
      </c>
      <c r="U31" s="309">
        <f t="shared" si="1"/>
        <v>262922.00434488279</v>
      </c>
      <c r="X31" s="10"/>
      <c r="Y31" s="10"/>
      <c r="Z31" s="108"/>
    </row>
    <row r="32" spans="1:26">
      <c r="A32" s="23">
        <v>86</v>
      </c>
      <c r="B32" s="193" t="s">
        <v>36</v>
      </c>
      <c r="C32" s="407">
        <v>7998</v>
      </c>
      <c r="D32" s="412">
        <v>0</v>
      </c>
      <c r="E32" s="418">
        <v>0</v>
      </c>
      <c r="F32" s="155">
        <v>0</v>
      </c>
      <c r="G32" s="419">
        <v>0</v>
      </c>
      <c r="H32" s="256">
        <v>1842</v>
      </c>
      <c r="I32" s="14">
        <v>3602</v>
      </c>
      <c r="J32" s="330">
        <v>0.51138256524153247</v>
      </c>
      <c r="K32" s="427">
        <v>0.51159832297442964</v>
      </c>
      <c r="L32" s="433">
        <v>0.56745537899999998</v>
      </c>
      <c r="M32" s="14">
        <f>Lisäosat[[#This Row],[HYTE-kerroin (sis. Kulttuurihyte)]]*Lisäosat[[#This Row],[Asukasmäärä 31.12.2023]]</f>
        <v>4538.508121242</v>
      </c>
      <c r="N32" s="427">
        <f>Lisäosat[[#This Row],[HYTE-kerroin (sis. Kulttuurihyte)]]/$N$7</f>
        <v>0.84019456614335508</v>
      </c>
      <c r="O32" s="439">
        <v>0</v>
      </c>
      <c r="P32" s="136">
        <v>0</v>
      </c>
      <c r="Q32" s="35">
        <v>0</v>
      </c>
      <c r="R32" s="35">
        <v>55279.723360389587</v>
      </c>
      <c r="S32" s="35">
        <v>133792.73394768976</v>
      </c>
      <c r="T32" s="35">
        <v>0</v>
      </c>
      <c r="U32" s="309">
        <f t="shared" si="1"/>
        <v>189072.45730807935</v>
      </c>
      <c r="X32" s="10"/>
      <c r="Y32" s="10"/>
      <c r="Z32" s="108"/>
    </row>
    <row r="33" spans="1:26">
      <c r="A33" s="23">
        <v>90</v>
      </c>
      <c r="B33" s="193" t="s">
        <v>37</v>
      </c>
      <c r="C33" s="407">
        <v>3001</v>
      </c>
      <c r="D33" s="412">
        <v>1.6935833333333332</v>
      </c>
      <c r="E33" s="418">
        <v>0</v>
      </c>
      <c r="F33" s="155">
        <v>0</v>
      </c>
      <c r="G33" s="419">
        <v>0</v>
      </c>
      <c r="H33" s="256">
        <v>938</v>
      </c>
      <c r="I33" s="14">
        <v>991</v>
      </c>
      <c r="J33" s="330">
        <v>0.94651866801210893</v>
      </c>
      <c r="K33" s="427">
        <v>0.94691801428598632</v>
      </c>
      <c r="L33" s="433">
        <v>0.54085944900000005</v>
      </c>
      <c r="M33" s="14">
        <f>Lisäosat[[#This Row],[HYTE-kerroin (sis. Kulttuurihyte)]]*Lisäosat[[#This Row],[Asukasmäärä 31.12.2023]]</f>
        <v>1623.1192064490001</v>
      </c>
      <c r="N33" s="427">
        <f>Lisäosat[[#This Row],[HYTE-kerroin (sis. Kulttuurihyte)]]/$N$7</f>
        <v>0.80081568862366737</v>
      </c>
      <c r="O33" s="439">
        <v>0</v>
      </c>
      <c r="P33" s="136">
        <v>983910.25329749985</v>
      </c>
      <c r="Q33" s="35">
        <v>0</v>
      </c>
      <c r="R33" s="35">
        <v>38391.379981384031</v>
      </c>
      <c r="S33" s="35">
        <v>47848.665321852153</v>
      </c>
      <c r="T33" s="35">
        <v>0</v>
      </c>
      <c r="U33" s="309">
        <f t="shared" si="1"/>
        <v>1070150.2986007361</v>
      </c>
      <c r="X33" s="10"/>
      <c r="Y33" s="10"/>
      <c r="Z33" s="108"/>
    </row>
    <row r="34" spans="1:26">
      <c r="A34" s="23">
        <v>91</v>
      </c>
      <c r="B34" s="193" t="s">
        <v>38</v>
      </c>
      <c r="C34" s="407">
        <v>674500</v>
      </c>
      <c r="D34" s="412">
        <v>0</v>
      </c>
      <c r="E34" s="418">
        <v>0</v>
      </c>
      <c r="F34" s="155">
        <v>68</v>
      </c>
      <c r="G34" s="419">
        <v>1.0081541882876204E-4</v>
      </c>
      <c r="H34" s="256">
        <v>426738</v>
      </c>
      <c r="I34" s="14">
        <v>322759</v>
      </c>
      <c r="J34" s="330">
        <v>1.3221567795166054</v>
      </c>
      <c r="K34" s="427">
        <v>1.3227146114973425</v>
      </c>
      <c r="L34" s="433">
        <v>0.68430123499999995</v>
      </c>
      <c r="M34" s="14">
        <f>Lisäosat[[#This Row],[HYTE-kerroin (sis. Kulttuurihyte)]]*Lisäosat[[#This Row],[Asukasmäärä 31.12.2023]]</f>
        <v>461561.18300749996</v>
      </c>
      <c r="N34" s="427">
        <f>Lisäosat[[#This Row],[HYTE-kerroin (sis. Kulttuurihyte)]]/$N$7</f>
        <v>1.0132006859559386</v>
      </c>
      <c r="O34" s="439">
        <v>0.88569383284834802</v>
      </c>
      <c r="P34" s="136">
        <v>0</v>
      </c>
      <c r="Q34" s="35">
        <v>0</v>
      </c>
      <c r="R34" s="35">
        <v>12053230.283696475</v>
      </c>
      <c r="S34" s="35">
        <v>13606570.905904656</v>
      </c>
      <c r="T34" s="35">
        <v>6308549.177105586</v>
      </c>
      <c r="U34" s="309">
        <f t="shared" si="1"/>
        <v>31968350.366706718</v>
      </c>
      <c r="X34" s="10"/>
      <c r="Y34" s="10"/>
      <c r="Z34" s="108"/>
    </row>
    <row r="35" spans="1:26">
      <c r="A35" s="23">
        <v>92</v>
      </c>
      <c r="B35" s="193" t="s">
        <v>39</v>
      </c>
      <c r="C35" s="407">
        <v>247443</v>
      </c>
      <c r="D35" s="412">
        <v>0</v>
      </c>
      <c r="E35" s="418">
        <v>0</v>
      </c>
      <c r="F35" s="155">
        <v>25</v>
      </c>
      <c r="G35" s="419">
        <v>1.010333693012128E-4</v>
      </c>
      <c r="H35" s="256">
        <v>126921</v>
      </c>
      <c r="I35" s="14">
        <v>117742</v>
      </c>
      <c r="J35" s="330">
        <v>1.0779585874199522</v>
      </c>
      <c r="K35" s="427">
        <v>1.0784133895911385</v>
      </c>
      <c r="L35" s="433">
        <v>0.71452916300000002</v>
      </c>
      <c r="M35" s="14">
        <f>Lisäosat[[#This Row],[HYTE-kerroin (sis. Kulttuurihyte)]]*Lisäosat[[#This Row],[Asukasmäärä 31.12.2023]]</f>
        <v>176805.23968020899</v>
      </c>
      <c r="N35" s="427">
        <f>Lisäosat[[#This Row],[HYTE-kerroin (sis. Kulttuurihyte)]]/$N$7</f>
        <v>1.0579572285692611</v>
      </c>
      <c r="O35" s="439">
        <v>1.4157448644368742</v>
      </c>
      <c r="P35" s="136">
        <v>0</v>
      </c>
      <c r="Q35" s="35">
        <v>0</v>
      </c>
      <c r="R35" s="35">
        <v>3605087.3573117075</v>
      </c>
      <c r="S35" s="35">
        <v>5212121.6402314752</v>
      </c>
      <c r="T35" s="35">
        <v>3699338.6125434129</v>
      </c>
      <c r="U35" s="309">
        <f t="shared" si="1"/>
        <v>12516547.610086596</v>
      </c>
      <c r="X35" s="10"/>
      <c r="Y35" s="10"/>
      <c r="Z35" s="108"/>
    </row>
    <row r="36" spans="1:26">
      <c r="A36" s="23">
        <v>97</v>
      </c>
      <c r="B36" s="193" t="s">
        <v>40</v>
      </c>
      <c r="C36" s="407">
        <v>2062</v>
      </c>
      <c r="D36" s="412">
        <v>0.77800000000000002</v>
      </c>
      <c r="E36" s="418">
        <v>0</v>
      </c>
      <c r="F36" s="155">
        <v>0</v>
      </c>
      <c r="G36" s="419">
        <v>0</v>
      </c>
      <c r="H36" s="256">
        <v>527</v>
      </c>
      <c r="I36" s="14">
        <v>744</v>
      </c>
      <c r="J36" s="330">
        <v>0.70833333333333337</v>
      </c>
      <c r="K36" s="427">
        <v>0.70863218668603478</v>
      </c>
      <c r="L36" s="433">
        <v>0.59623938200000004</v>
      </c>
      <c r="M36" s="14">
        <f>Lisäosat[[#This Row],[HYTE-kerroin (sis. Kulttuurihyte)]]*Lisäosat[[#This Row],[Asukasmäärä 31.12.2023]]</f>
        <v>1229.4456056840002</v>
      </c>
      <c r="N36" s="427">
        <f>Lisäosat[[#This Row],[HYTE-kerroin (sis. Kulttuurihyte)]]/$N$7</f>
        <v>0.88281318217457982</v>
      </c>
      <c r="O36" s="439">
        <v>0</v>
      </c>
      <c r="P36" s="136">
        <v>103521.34908000001</v>
      </c>
      <c r="Q36" s="35">
        <v>0</v>
      </c>
      <c r="R36" s="35">
        <v>19740.806176468614</v>
      </c>
      <c r="S36" s="35">
        <v>36243.383162531711</v>
      </c>
      <c r="T36" s="35">
        <v>0</v>
      </c>
      <c r="U36" s="309">
        <f t="shared" si="1"/>
        <v>159505.53841900034</v>
      </c>
      <c r="X36" s="10"/>
      <c r="Y36" s="10"/>
      <c r="Z36" s="108"/>
    </row>
    <row r="37" spans="1:26" s="104" customFormat="1">
      <c r="A37" s="124">
        <v>98</v>
      </c>
      <c r="B37" s="124" t="s">
        <v>41</v>
      </c>
      <c r="C37" s="408">
        <v>22885</v>
      </c>
      <c r="D37" s="412">
        <v>0</v>
      </c>
      <c r="E37" s="420">
        <v>0</v>
      </c>
      <c r="F37" s="155">
        <v>3</v>
      </c>
      <c r="G37" s="419">
        <v>1.3109023377758358E-4</v>
      </c>
      <c r="H37" s="269">
        <v>5912</v>
      </c>
      <c r="I37" s="15">
        <v>9638</v>
      </c>
      <c r="J37" s="331">
        <v>0.61340527080307117</v>
      </c>
      <c r="K37" s="427">
        <v>0.6136640729984747</v>
      </c>
      <c r="L37" s="434">
        <v>0.68801984999999999</v>
      </c>
      <c r="M37" s="14">
        <f>Lisäosat[[#This Row],[HYTE-kerroin (sis. Kulttuurihyte)]]*Lisäosat[[#This Row],[Asukasmäärä 31.12.2023]]</f>
        <v>15745.33426725</v>
      </c>
      <c r="N37" s="427">
        <f>Lisäosat[[#This Row],[HYTE-kerroin (sis. Kulttuurihyte)]]/$N$7</f>
        <v>1.0187065992527427</v>
      </c>
      <c r="O37" s="449">
        <v>0</v>
      </c>
      <c r="P37" s="197">
        <v>0</v>
      </c>
      <c r="Q37" s="159">
        <v>0</v>
      </c>
      <c r="R37" s="159">
        <v>189730.41821580197</v>
      </c>
      <c r="S37" s="159">
        <v>464163.83143082936</v>
      </c>
      <c r="T37" s="159">
        <v>0</v>
      </c>
      <c r="U37" s="309">
        <f t="shared" si="1"/>
        <v>653894.2496466313</v>
      </c>
      <c r="V37" s="59"/>
      <c r="W37" s="59"/>
      <c r="X37" s="109"/>
      <c r="Y37" s="110"/>
      <c r="Z37" s="111"/>
    </row>
    <row r="38" spans="1:26" s="45" customFormat="1">
      <c r="A38" s="127">
        <v>102</v>
      </c>
      <c r="B38" s="124" t="s">
        <v>42</v>
      </c>
      <c r="C38" s="408">
        <v>9646</v>
      </c>
      <c r="D38" s="412">
        <v>0</v>
      </c>
      <c r="E38" s="420">
        <v>0</v>
      </c>
      <c r="F38" s="155">
        <v>0</v>
      </c>
      <c r="G38" s="419">
        <v>0</v>
      </c>
      <c r="H38" s="269">
        <v>4036</v>
      </c>
      <c r="I38" s="15">
        <v>4015</v>
      </c>
      <c r="J38" s="331">
        <v>1.005230386052304</v>
      </c>
      <c r="K38" s="427">
        <v>1.0056545034232813</v>
      </c>
      <c r="L38" s="434">
        <v>0.64233597600000003</v>
      </c>
      <c r="M38" s="14">
        <f>Lisäosat[[#This Row],[HYTE-kerroin (sis. Kulttuurihyte)]]*Lisäosat[[#This Row],[Asukasmäärä 31.12.2023]]</f>
        <v>6195.9728244960006</v>
      </c>
      <c r="N38" s="427">
        <f>Lisäosat[[#This Row],[HYTE-kerroin (sis. Kulttuurihyte)]]/$N$7</f>
        <v>0.95106543465083371</v>
      </c>
      <c r="O38" s="439">
        <v>0</v>
      </c>
      <c r="P38" s="197">
        <v>0</v>
      </c>
      <c r="Q38" s="159">
        <v>0</v>
      </c>
      <c r="R38" s="159">
        <v>131054.34052368332</v>
      </c>
      <c r="S38" s="159">
        <v>182653.88570640105</v>
      </c>
      <c r="T38" s="159">
        <v>0</v>
      </c>
      <c r="U38" s="309">
        <f t="shared" si="1"/>
        <v>313708.22623008437</v>
      </c>
      <c r="V38" s="44"/>
      <c r="W38" s="44"/>
      <c r="X38" s="110"/>
      <c r="Y38" s="110"/>
      <c r="Z38" s="111"/>
    </row>
    <row r="39" spans="1:26" s="45" customFormat="1">
      <c r="A39" s="127">
        <v>103</v>
      </c>
      <c r="B39" s="124" t="s">
        <v>43</v>
      </c>
      <c r="C39" s="408">
        <v>2125</v>
      </c>
      <c r="D39" s="412">
        <v>0</v>
      </c>
      <c r="E39" s="420">
        <v>0</v>
      </c>
      <c r="F39" s="155">
        <v>0</v>
      </c>
      <c r="G39" s="419">
        <v>0</v>
      </c>
      <c r="H39" s="269">
        <v>504</v>
      </c>
      <c r="I39" s="15">
        <v>861</v>
      </c>
      <c r="J39" s="331">
        <v>0.58536585365853655</v>
      </c>
      <c r="K39" s="427">
        <v>0.58561282572619222</v>
      </c>
      <c r="L39" s="434">
        <v>0.302594107</v>
      </c>
      <c r="M39" s="14">
        <f>Lisäosat[[#This Row],[HYTE-kerroin (sis. Kulttuurihyte)]]*Lisäosat[[#This Row],[Asukasmäärä 31.12.2023]]</f>
        <v>643.012477375</v>
      </c>
      <c r="N39" s="427">
        <f>Lisäosat[[#This Row],[HYTE-kerroin (sis. Kulttuurihyte)]]/$N$7</f>
        <v>0.44803157015875422</v>
      </c>
      <c r="O39" s="439">
        <v>0</v>
      </c>
      <c r="P39" s="197">
        <v>0</v>
      </c>
      <c r="Q39" s="159">
        <v>0</v>
      </c>
      <c r="R39" s="159">
        <v>16812.21221056682</v>
      </c>
      <c r="S39" s="159">
        <v>18955.655693954192</v>
      </c>
      <c r="T39" s="159">
        <v>0</v>
      </c>
      <c r="U39" s="309">
        <f t="shared" si="1"/>
        <v>35767.867904521016</v>
      </c>
      <c r="V39" s="44"/>
      <c r="W39" s="44"/>
      <c r="X39" s="110"/>
      <c r="Y39" s="110"/>
      <c r="Z39" s="111"/>
    </row>
    <row r="40" spans="1:26" s="45" customFormat="1">
      <c r="A40" s="127">
        <v>105</v>
      </c>
      <c r="B40" s="124" t="s">
        <v>44</v>
      </c>
      <c r="C40" s="408">
        <v>2063</v>
      </c>
      <c r="D40" s="412">
        <v>1.7368999999999999</v>
      </c>
      <c r="E40" s="420">
        <v>0</v>
      </c>
      <c r="F40" s="155">
        <v>0</v>
      </c>
      <c r="G40" s="419">
        <v>0</v>
      </c>
      <c r="H40" s="269">
        <v>493</v>
      </c>
      <c r="I40" s="15">
        <v>615</v>
      </c>
      <c r="J40" s="331">
        <v>0.80162601626016261</v>
      </c>
      <c r="K40" s="427">
        <v>0.80196423078614665</v>
      </c>
      <c r="L40" s="434">
        <v>0.56199346400000005</v>
      </c>
      <c r="M40" s="14">
        <f>Lisäosat[[#This Row],[HYTE-kerroin (sis. Kulttuurihyte)]]*Lisäosat[[#This Row],[Asukasmäärä 31.12.2023]]</f>
        <v>1159.3925162320002</v>
      </c>
      <c r="N40" s="427">
        <f>Lisäosat[[#This Row],[HYTE-kerroin (sis. Kulttuurihyte)]]/$N$7</f>
        <v>0.83210746101832489</v>
      </c>
      <c r="O40" s="439">
        <v>0</v>
      </c>
      <c r="P40" s="197">
        <v>693676.46967299993</v>
      </c>
      <c r="Q40" s="159">
        <v>0</v>
      </c>
      <c r="R40" s="159">
        <v>22351.649331590696</v>
      </c>
      <c r="S40" s="159">
        <v>34178.256449328816</v>
      </c>
      <c r="T40" s="159">
        <v>0</v>
      </c>
      <c r="U40" s="309">
        <f t="shared" si="1"/>
        <v>750206.37545391952</v>
      </c>
      <c r="V40" s="44"/>
      <c r="W40" s="44"/>
      <c r="X40" s="110"/>
      <c r="Y40" s="110"/>
      <c r="Z40" s="111"/>
    </row>
    <row r="41" spans="1:26" s="45" customFormat="1">
      <c r="A41" s="127">
        <v>106</v>
      </c>
      <c r="B41" s="124" t="s">
        <v>45</v>
      </c>
      <c r="C41" s="408">
        <v>46901</v>
      </c>
      <c r="D41" s="412">
        <v>0</v>
      </c>
      <c r="E41" s="420">
        <v>0</v>
      </c>
      <c r="F41" s="155">
        <v>0</v>
      </c>
      <c r="G41" s="419">
        <v>0</v>
      </c>
      <c r="H41" s="269">
        <v>19913</v>
      </c>
      <c r="I41" s="15">
        <v>20917</v>
      </c>
      <c r="J41" s="331">
        <v>0.95200076492804897</v>
      </c>
      <c r="K41" s="427">
        <v>0.95240242415681087</v>
      </c>
      <c r="L41" s="434">
        <v>0.63822285199999995</v>
      </c>
      <c r="M41" s="14">
        <f>Lisäosat[[#This Row],[HYTE-kerroin (sis. Kulttuurihyte)]]*Lisäosat[[#This Row],[Asukasmäärä 31.12.2023]]</f>
        <v>29933.289981651997</v>
      </c>
      <c r="N41" s="427">
        <f>Lisäosat[[#This Row],[HYTE-kerroin (sis. Kulttuurihyte)]]/$N$7</f>
        <v>0.94497539733236835</v>
      </c>
      <c r="O41" s="439">
        <v>0.23262845146382327</v>
      </c>
      <c r="P41" s="197">
        <v>0</v>
      </c>
      <c r="Q41" s="159">
        <v>0</v>
      </c>
      <c r="R41" s="159">
        <v>603473.13854856475</v>
      </c>
      <c r="S41" s="159">
        <v>882416.99600578239</v>
      </c>
      <c r="T41" s="159">
        <v>115214.95394222644</v>
      </c>
      <c r="U41" s="309">
        <f t="shared" si="1"/>
        <v>1601105.0884965735</v>
      </c>
      <c r="V41" s="44"/>
      <c r="W41" s="44"/>
      <c r="X41" s="110"/>
      <c r="Y41" s="110"/>
      <c r="Z41" s="111"/>
    </row>
    <row r="42" spans="1:26" s="45" customFormat="1">
      <c r="A42" s="127">
        <v>108</v>
      </c>
      <c r="B42" s="124" t="s">
        <v>46</v>
      </c>
      <c r="C42" s="408">
        <v>10319</v>
      </c>
      <c r="D42" s="412">
        <v>0</v>
      </c>
      <c r="E42" s="420">
        <v>0</v>
      </c>
      <c r="F42" s="155">
        <v>3</v>
      </c>
      <c r="G42" s="419">
        <v>2.9072584552766739E-4</v>
      </c>
      <c r="H42" s="269">
        <v>2888</v>
      </c>
      <c r="I42" s="15">
        <v>4344</v>
      </c>
      <c r="J42" s="331">
        <v>0.66482504604051562</v>
      </c>
      <c r="K42" s="427">
        <v>0.66510554278494249</v>
      </c>
      <c r="L42" s="434">
        <v>0.71613307299999995</v>
      </c>
      <c r="M42" s="14">
        <f>Lisäosat[[#This Row],[HYTE-kerroin (sis. Kulttuurihyte)]]*Lisäosat[[#This Row],[Asukasmäärä 31.12.2023]]</f>
        <v>7389.7771802869993</v>
      </c>
      <c r="N42" s="427">
        <f>Lisäosat[[#This Row],[HYTE-kerroin (sis. Kulttuurihyte)]]/$N$7</f>
        <v>1.0603320346182543</v>
      </c>
      <c r="O42" s="439">
        <v>0</v>
      </c>
      <c r="P42" s="197">
        <v>0</v>
      </c>
      <c r="Q42" s="159">
        <v>0</v>
      </c>
      <c r="R42" s="159">
        <v>92722.157536930565</v>
      </c>
      <c r="S42" s="159">
        <v>217846.58434064503</v>
      </c>
      <c r="T42" s="159">
        <v>0</v>
      </c>
      <c r="U42" s="309">
        <f t="shared" si="1"/>
        <v>310568.74187757558</v>
      </c>
      <c r="V42" s="44"/>
      <c r="W42" s="44"/>
      <c r="X42" s="110"/>
      <c r="Y42" s="110"/>
      <c r="Z42" s="111"/>
    </row>
    <row r="43" spans="1:26" s="45" customFormat="1">
      <c r="A43" s="127">
        <v>109</v>
      </c>
      <c r="B43" s="124" t="s">
        <v>47</v>
      </c>
      <c r="C43" s="408">
        <v>68319</v>
      </c>
      <c r="D43" s="412">
        <v>0</v>
      </c>
      <c r="E43" s="420">
        <v>0</v>
      </c>
      <c r="F43" s="155">
        <v>6</v>
      </c>
      <c r="G43" s="419">
        <v>8.7823299521363023E-5</v>
      </c>
      <c r="H43" s="269">
        <v>28711</v>
      </c>
      <c r="I43" s="15">
        <v>28302</v>
      </c>
      <c r="J43" s="331">
        <v>1.0144512755282311</v>
      </c>
      <c r="K43" s="427">
        <v>1.0148792832903635</v>
      </c>
      <c r="L43" s="434">
        <v>0.71073389600000003</v>
      </c>
      <c r="M43" s="14">
        <f>Lisäosat[[#This Row],[HYTE-kerroin (sis. Kulttuurihyte)]]*Lisäosat[[#This Row],[Asukasmäärä 31.12.2023]]</f>
        <v>48556.629040824002</v>
      </c>
      <c r="N43" s="427">
        <f>Lisäosat[[#This Row],[HYTE-kerroin (sis. Kulttuurihyte)]]/$N$7</f>
        <v>1.0523378216018224</v>
      </c>
      <c r="O43" s="439">
        <v>0.23094698872228778</v>
      </c>
      <c r="P43" s="197">
        <v>0</v>
      </c>
      <c r="Q43" s="159">
        <v>0</v>
      </c>
      <c r="R43" s="159">
        <v>936723.11507159483</v>
      </c>
      <c r="S43" s="159">
        <v>1431422.832593237</v>
      </c>
      <c r="T43" s="159">
        <v>166616.39092578986</v>
      </c>
      <c r="U43" s="309">
        <f t="shared" si="1"/>
        <v>2534762.3385906215</v>
      </c>
      <c r="V43" s="44"/>
      <c r="W43" s="44"/>
      <c r="X43" s="110"/>
      <c r="Y43" s="110"/>
      <c r="Z43" s="111"/>
    </row>
    <row r="44" spans="1:26" s="45" customFormat="1">
      <c r="A44" s="127">
        <v>111</v>
      </c>
      <c r="B44" s="124" t="s">
        <v>48</v>
      </c>
      <c r="C44" s="408">
        <v>17953</v>
      </c>
      <c r="D44" s="412">
        <v>0</v>
      </c>
      <c r="E44" s="420">
        <v>0</v>
      </c>
      <c r="F44" s="155">
        <v>1</v>
      </c>
      <c r="G44" s="419">
        <v>5.5700997047847156E-5</v>
      </c>
      <c r="H44" s="269">
        <v>6208</v>
      </c>
      <c r="I44" s="15">
        <v>6351</v>
      </c>
      <c r="J44" s="331">
        <v>0.97748386080932137</v>
      </c>
      <c r="K44" s="427">
        <v>0.97789627162675341</v>
      </c>
      <c r="L44" s="434">
        <v>0.71622506600000002</v>
      </c>
      <c r="M44" s="14">
        <f>Lisäosat[[#This Row],[HYTE-kerroin (sis. Kulttuurihyte)]]*Lisäosat[[#This Row],[Asukasmäärä 31.12.2023]]</f>
        <v>12858.388609898</v>
      </c>
      <c r="N44" s="427">
        <f>Lisäosat[[#This Row],[HYTE-kerroin (sis. Kulttuurihyte)]]/$N$7</f>
        <v>1.0604682427177519</v>
      </c>
      <c r="O44" s="439">
        <v>0</v>
      </c>
      <c r="P44" s="197">
        <v>0</v>
      </c>
      <c r="Q44" s="159">
        <v>0</v>
      </c>
      <c r="R44" s="159">
        <v>237183.88053859904</v>
      </c>
      <c r="S44" s="159">
        <v>379058.25445769995</v>
      </c>
      <c r="T44" s="159">
        <v>0</v>
      </c>
      <c r="U44" s="309">
        <f t="shared" si="1"/>
        <v>616242.13499629893</v>
      </c>
      <c r="V44" s="44"/>
      <c r="W44" s="44"/>
      <c r="X44" s="110"/>
      <c r="Y44" s="110"/>
      <c r="Z44" s="111"/>
    </row>
    <row r="45" spans="1:26" s="45" customFormat="1">
      <c r="A45" s="127">
        <v>139</v>
      </c>
      <c r="B45" s="124" t="s">
        <v>49</v>
      </c>
      <c r="C45" s="408">
        <v>9766</v>
      </c>
      <c r="D45" s="412">
        <v>0</v>
      </c>
      <c r="E45" s="420">
        <v>0</v>
      </c>
      <c r="F45" s="155">
        <v>1</v>
      </c>
      <c r="G45" s="419">
        <v>1.0239606799098914E-4</v>
      </c>
      <c r="H45" s="269">
        <v>2489</v>
      </c>
      <c r="I45" s="15">
        <v>3712</v>
      </c>
      <c r="J45" s="331">
        <v>0.67052801724137934</v>
      </c>
      <c r="K45" s="427">
        <v>0.67081092012989618</v>
      </c>
      <c r="L45" s="434">
        <v>0.548281515</v>
      </c>
      <c r="M45" s="14">
        <f>Lisäosat[[#This Row],[HYTE-kerroin (sis. Kulttuurihyte)]]*Lisäosat[[#This Row],[Asukasmäärä 31.12.2023]]</f>
        <v>5354.5172754899995</v>
      </c>
      <c r="N45" s="427">
        <f>Lisäosat[[#This Row],[HYTE-kerroin (sis. Kulttuurihyte)]]/$N$7</f>
        <v>0.81180506286089227</v>
      </c>
      <c r="O45" s="439">
        <v>0</v>
      </c>
      <c r="P45" s="197">
        <v>0</v>
      </c>
      <c r="Q45" s="159">
        <v>0</v>
      </c>
      <c r="R45" s="159">
        <v>88505.893915305525</v>
      </c>
      <c r="S45" s="159">
        <v>157848.23693603853</v>
      </c>
      <c r="T45" s="159">
        <v>0</v>
      </c>
      <c r="U45" s="309">
        <f t="shared" si="1"/>
        <v>246354.13085134406</v>
      </c>
      <c r="V45" s="44"/>
      <c r="W45" s="44"/>
      <c r="X45" s="110"/>
      <c r="Y45" s="110"/>
      <c r="Z45" s="111"/>
    </row>
    <row r="46" spans="1:26" s="45" customFormat="1">
      <c r="A46" s="127">
        <v>140</v>
      </c>
      <c r="B46" s="124" t="s">
        <v>50</v>
      </c>
      <c r="C46" s="408">
        <v>20618</v>
      </c>
      <c r="D46" s="412">
        <v>0.25613333333333332</v>
      </c>
      <c r="E46" s="420">
        <v>0</v>
      </c>
      <c r="F46" s="155">
        <v>2</v>
      </c>
      <c r="G46" s="419">
        <v>9.7002619070714915E-5</v>
      </c>
      <c r="H46" s="269">
        <v>8931</v>
      </c>
      <c r="I46" s="15">
        <v>8065</v>
      </c>
      <c r="J46" s="331">
        <v>1.1073775573465592</v>
      </c>
      <c r="K46" s="427">
        <v>1.107844771693457</v>
      </c>
      <c r="L46" s="434">
        <v>0.66689931000000002</v>
      </c>
      <c r="M46" s="14">
        <f>Lisäosat[[#This Row],[HYTE-kerroin (sis. Kulttuurihyte)]]*Lisäosat[[#This Row],[Asukasmäärä 31.12.2023]]</f>
        <v>13750.12997358</v>
      </c>
      <c r="N46" s="427">
        <f>Lisäosat[[#This Row],[HYTE-kerroin (sis. Kulttuurihyte)]]/$N$7</f>
        <v>0.9874347784211468</v>
      </c>
      <c r="O46" s="439">
        <v>0</v>
      </c>
      <c r="P46" s="197">
        <v>340780.15951200004</v>
      </c>
      <c r="Q46" s="159">
        <v>0</v>
      </c>
      <c r="R46" s="159">
        <v>308589.2527224996</v>
      </c>
      <c r="S46" s="159">
        <v>405346.30150621023</v>
      </c>
      <c r="T46" s="159">
        <v>0</v>
      </c>
      <c r="U46" s="309">
        <f t="shared" si="1"/>
        <v>1054715.7137407097</v>
      </c>
      <c r="V46" s="44"/>
      <c r="W46" s="44"/>
      <c r="X46" s="110"/>
      <c r="Y46" s="110"/>
      <c r="Z46" s="111"/>
    </row>
    <row r="47" spans="1:26" s="45" customFormat="1">
      <c r="A47" s="127">
        <v>142</v>
      </c>
      <c r="B47" s="124" t="s">
        <v>51</v>
      </c>
      <c r="C47" s="408">
        <v>6444</v>
      </c>
      <c r="D47" s="412">
        <v>0</v>
      </c>
      <c r="E47" s="420">
        <v>0</v>
      </c>
      <c r="F47" s="155">
        <v>0</v>
      </c>
      <c r="G47" s="419">
        <v>0</v>
      </c>
      <c r="H47" s="269">
        <v>1952</v>
      </c>
      <c r="I47" s="15">
        <v>2456</v>
      </c>
      <c r="J47" s="331">
        <v>0.7947882736156352</v>
      </c>
      <c r="K47" s="427">
        <v>0.79512360322541087</v>
      </c>
      <c r="L47" s="434">
        <v>0.54545394800000002</v>
      </c>
      <c r="M47" s="14">
        <f>Lisäosat[[#This Row],[HYTE-kerroin (sis. Kulttuurihyte)]]*Lisäosat[[#This Row],[Asukasmäärä 31.12.2023]]</f>
        <v>3514.905240912</v>
      </c>
      <c r="N47" s="427">
        <f>Lisäosat[[#This Row],[HYTE-kerroin (sis. Kulttuurihyte)]]/$N$7</f>
        <v>0.807618466845197</v>
      </c>
      <c r="O47" s="439">
        <v>0</v>
      </c>
      <c r="P47" s="197">
        <v>0</v>
      </c>
      <c r="Q47" s="159">
        <v>0</v>
      </c>
      <c r="R47" s="159">
        <v>69222.220503983248</v>
      </c>
      <c r="S47" s="159">
        <v>103617.48160097745</v>
      </c>
      <c r="T47" s="159">
        <v>0</v>
      </c>
      <c r="U47" s="309">
        <f t="shared" si="1"/>
        <v>172839.70210496068</v>
      </c>
      <c r="V47" s="44"/>
      <c r="W47" s="44"/>
      <c r="X47" s="110"/>
      <c r="Y47" s="110"/>
      <c r="Z47" s="111"/>
    </row>
    <row r="48" spans="1:26" s="45" customFormat="1">
      <c r="A48" s="127">
        <v>143</v>
      </c>
      <c r="B48" s="124" t="s">
        <v>52</v>
      </c>
      <c r="C48" s="408">
        <v>6850</v>
      </c>
      <c r="D48" s="412">
        <v>8.2533333333333334E-2</v>
      </c>
      <c r="E48" s="420">
        <v>0</v>
      </c>
      <c r="F48" s="155">
        <v>0</v>
      </c>
      <c r="G48" s="419">
        <v>0</v>
      </c>
      <c r="H48" s="269">
        <v>2209</v>
      </c>
      <c r="I48" s="15">
        <v>2463</v>
      </c>
      <c r="J48" s="331">
        <v>0.89687373122208691</v>
      </c>
      <c r="K48" s="427">
        <v>0.89725213177012297</v>
      </c>
      <c r="L48" s="434">
        <v>0.67729674600000001</v>
      </c>
      <c r="M48" s="14">
        <f>Lisäosat[[#This Row],[HYTE-kerroin (sis. Kulttuurihyte)]]*Lisäosat[[#This Row],[Asukasmäärä 31.12.2023]]</f>
        <v>4639.4827101000001</v>
      </c>
      <c r="N48" s="427">
        <f>Lisäosat[[#This Row],[HYTE-kerroin (sis. Kulttuurihyte)]]/$N$7</f>
        <v>1.0028295910395735</v>
      </c>
      <c r="O48" s="439">
        <v>0</v>
      </c>
      <c r="P48" s="197">
        <v>36482.250599999999</v>
      </c>
      <c r="Q48" s="159">
        <v>0</v>
      </c>
      <c r="R48" s="159">
        <v>83034.852656468385</v>
      </c>
      <c r="S48" s="159">
        <v>136769.40952954566</v>
      </c>
      <c r="T48" s="159">
        <v>0</v>
      </c>
      <c r="U48" s="309">
        <f t="shared" si="1"/>
        <v>256286.51278601406</v>
      </c>
      <c r="V48" s="44"/>
      <c r="W48" s="44"/>
      <c r="X48" s="110"/>
      <c r="Y48" s="110"/>
      <c r="Z48" s="111"/>
    </row>
    <row r="49" spans="1:26" s="45" customFormat="1">
      <c r="A49" s="127">
        <v>145</v>
      </c>
      <c r="B49" s="124" t="s">
        <v>53</v>
      </c>
      <c r="C49" s="408">
        <v>12343</v>
      </c>
      <c r="D49" s="412">
        <v>0</v>
      </c>
      <c r="E49" s="420">
        <v>0</v>
      </c>
      <c r="F49" s="155">
        <v>0</v>
      </c>
      <c r="G49" s="419">
        <v>0</v>
      </c>
      <c r="H49" s="269">
        <v>3445</v>
      </c>
      <c r="I49" s="15">
        <v>5469</v>
      </c>
      <c r="J49" s="331">
        <v>0.62991406107149384</v>
      </c>
      <c r="K49" s="427">
        <v>0.63017982850076204</v>
      </c>
      <c r="L49" s="434">
        <v>0.58222422600000001</v>
      </c>
      <c r="M49" s="14">
        <f>Lisäosat[[#This Row],[HYTE-kerroin (sis. Kulttuurihyte)]]*Lisäosat[[#This Row],[Asukasmäärä 31.12.2023]]</f>
        <v>7186.3936215180001</v>
      </c>
      <c r="N49" s="427">
        <f>Lisäosat[[#This Row],[HYTE-kerroin (sis. Kulttuurihyte)]]/$N$7</f>
        <v>0.86206184497586857</v>
      </c>
      <c r="O49" s="439">
        <v>0.13323622619731598</v>
      </c>
      <c r="P49" s="197">
        <v>0</v>
      </c>
      <c r="Q49" s="159">
        <v>0</v>
      </c>
      <c r="R49" s="159">
        <v>105084.96300922807</v>
      </c>
      <c r="S49" s="159">
        <v>211850.94840901456</v>
      </c>
      <c r="T49" s="159">
        <v>17366.286853908656</v>
      </c>
      <c r="U49" s="309">
        <f t="shared" si="1"/>
        <v>334302.19827215129</v>
      </c>
      <c r="V49" s="44"/>
      <c r="W49" s="44"/>
      <c r="X49" s="110"/>
      <c r="Y49" s="110"/>
      <c r="Z49" s="111"/>
    </row>
    <row r="50" spans="1:26" s="45" customFormat="1">
      <c r="A50" s="127">
        <v>146</v>
      </c>
      <c r="B50" s="124" t="s">
        <v>54</v>
      </c>
      <c r="C50" s="408">
        <v>4406</v>
      </c>
      <c r="D50" s="412">
        <v>1.5604</v>
      </c>
      <c r="E50" s="420">
        <v>0</v>
      </c>
      <c r="F50" s="155">
        <v>0</v>
      </c>
      <c r="G50" s="419">
        <v>0</v>
      </c>
      <c r="H50" s="269">
        <v>1332</v>
      </c>
      <c r="I50" s="15">
        <v>1364</v>
      </c>
      <c r="J50" s="331">
        <v>0.97653958944281527</v>
      </c>
      <c r="K50" s="427">
        <v>0.97695160186213381</v>
      </c>
      <c r="L50" s="434">
        <v>0.58219555899999997</v>
      </c>
      <c r="M50" s="14">
        <f>Lisäosat[[#This Row],[HYTE-kerroin (sis. Kulttuurihyte)]]*Lisäosat[[#This Row],[Asukasmäärä 31.12.2023]]</f>
        <v>2565.1536329539999</v>
      </c>
      <c r="N50" s="427">
        <f>Lisäosat[[#This Row],[HYTE-kerroin (sis. Kulttuurihyte)]]/$N$7</f>
        <v>0.86201939959863005</v>
      </c>
      <c r="O50" s="439">
        <v>0</v>
      </c>
      <c r="P50" s="197">
        <v>1330954.9454160002</v>
      </c>
      <c r="Q50" s="159">
        <v>0</v>
      </c>
      <c r="R50" s="159">
        <v>58153.102717939633</v>
      </c>
      <c r="S50" s="159">
        <v>75619.324319914449</v>
      </c>
      <c r="T50" s="159">
        <v>0</v>
      </c>
      <c r="U50" s="309">
        <f t="shared" si="1"/>
        <v>1464727.3724538542</v>
      </c>
      <c r="V50" s="44"/>
      <c r="W50" s="44"/>
      <c r="X50" s="110"/>
      <c r="Y50" s="110"/>
      <c r="Z50" s="111"/>
    </row>
    <row r="51" spans="1:26" s="45" customFormat="1">
      <c r="A51" s="127">
        <v>148</v>
      </c>
      <c r="B51" s="124" t="s">
        <v>55</v>
      </c>
      <c r="C51" s="408">
        <v>7127</v>
      </c>
      <c r="D51" s="412">
        <v>1.6087666666666667</v>
      </c>
      <c r="E51" s="420">
        <v>1</v>
      </c>
      <c r="F51" s="155">
        <v>492</v>
      </c>
      <c r="G51" s="419">
        <v>6.9033253823488142E-2</v>
      </c>
      <c r="H51" s="269">
        <v>3226</v>
      </c>
      <c r="I51" s="15">
        <v>3283</v>
      </c>
      <c r="J51" s="331">
        <v>0.98263783125190374</v>
      </c>
      <c r="K51" s="427">
        <v>0.98305241658417786</v>
      </c>
      <c r="L51" s="434">
        <v>0.70408752500000005</v>
      </c>
      <c r="M51" s="14">
        <f>Lisäosat[[#This Row],[HYTE-kerroin (sis. Kulttuurihyte)]]*Lisäosat[[#This Row],[Asukasmäärä 31.12.2023]]</f>
        <v>5018.0317906750006</v>
      </c>
      <c r="N51" s="427">
        <f>Lisäosat[[#This Row],[HYTE-kerroin (sis. Kulttuurihyte)]]/$N$7</f>
        <v>1.0424969689014503</v>
      </c>
      <c r="O51" s="439">
        <v>1.2731337584976983</v>
      </c>
      <c r="P51" s="197">
        <v>2219640.9976530001</v>
      </c>
      <c r="Q51" s="159">
        <v>464202</v>
      </c>
      <c r="R51" s="159">
        <v>94653.958881168335</v>
      </c>
      <c r="S51" s="159">
        <v>147928.82911645027</v>
      </c>
      <c r="T51" s="159">
        <v>95817.472574346291</v>
      </c>
      <c r="U51" s="309">
        <f t="shared" si="1"/>
        <v>3022243.2582249646</v>
      </c>
      <c r="V51" s="44"/>
      <c r="W51" s="44"/>
      <c r="X51" s="110"/>
      <c r="Y51" s="110"/>
      <c r="Z51" s="111"/>
    </row>
    <row r="52" spans="1:26" s="45" customFormat="1">
      <c r="A52" s="127">
        <v>149</v>
      </c>
      <c r="B52" s="124" t="s">
        <v>56</v>
      </c>
      <c r="C52" s="408">
        <v>5379</v>
      </c>
      <c r="D52" s="412">
        <v>0</v>
      </c>
      <c r="E52" s="420">
        <v>0</v>
      </c>
      <c r="F52" s="155">
        <v>0</v>
      </c>
      <c r="G52" s="419">
        <v>0</v>
      </c>
      <c r="H52" s="269">
        <v>1417</v>
      </c>
      <c r="I52" s="15">
        <v>2430</v>
      </c>
      <c r="J52" s="331">
        <v>0.58312757201646093</v>
      </c>
      <c r="K52" s="427">
        <v>0.58337359972933112</v>
      </c>
      <c r="L52" s="434">
        <v>0.74508120700000002</v>
      </c>
      <c r="M52" s="14">
        <f>Lisäosat[[#This Row],[HYTE-kerroin (sis. Kulttuurihyte)]]*Lisäosat[[#This Row],[Asukasmäärä 31.12.2023]]</f>
        <v>4007.7918124530001</v>
      </c>
      <c r="N52" s="427">
        <f>Lisäosat[[#This Row],[HYTE-kerroin (sis. Kulttuurihyte)]]/$N$7</f>
        <v>1.1031936688310648</v>
      </c>
      <c r="O52" s="439">
        <v>0.36254582498030558</v>
      </c>
      <c r="P52" s="197">
        <v>0</v>
      </c>
      <c r="Q52" s="159">
        <v>0</v>
      </c>
      <c r="R52" s="159">
        <v>42393.92867067441</v>
      </c>
      <c r="S52" s="159">
        <v>118147.50780582814</v>
      </c>
      <c r="T52" s="159">
        <v>20593.414961529314</v>
      </c>
      <c r="U52" s="309">
        <f t="shared" si="1"/>
        <v>181134.85143803185</v>
      </c>
      <c r="V52" s="44"/>
      <c r="W52" s="44"/>
      <c r="X52" s="110"/>
      <c r="Y52" s="110"/>
      <c r="Z52" s="111"/>
    </row>
    <row r="53" spans="1:26" s="45" customFormat="1">
      <c r="A53" s="127">
        <v>151</v>
      </c>
      <c r="B53" s="124" t="s">
        <v>57</v>
      </c>
      <c r="C53" s="408">
        <v>1814</v>
      </c>
      <c r="D53" s="412">
        <v>1.1155999999999999</v>
      </c>
      <c r="E53" s="420">
        <v>0</v>
      </c>
      <c r="F53" s="155">
        <v>0</v>
      </c>
      <c r="G53" s="419">
        <v>0</v>
      </c>
      <c r="H53" s="269">
        <v>652</v>
      </c>
      <c r="I53" s="15">
        <v>750</v>
      </c>
      <c r="J53" s="331">
        <v>0.86933333333333329</v>
      </c>
      <c r="K53" s="427">
        <v>0.86970011429514282</v>
      </c>
      <c r="L53" s="434">
        <v>0.35383338600000003</v>
      </c>
      <c r="M53" s="14">
        <f>Lisäosat[[#This Row],[HYTE-kerroin (sis. Kulttuurihyte)]]*Lisäosat[[#This Row],[Asukasmäärä 31.12.2023]]</f>
        <v>641.85376220400008</v>
      </c>
      <c r="N53" s="427">
        <f>Lisäosat[[#This Row],[HYTE-kerroin (sis. Kulttuurihyte)]]/$N$7</f>
        <v>0.52389826449650123</v>
      </c>
      <c r="O53" s="439">
        <v>0</v>
      </c>
      <c r="P53" s="197">
        <v>195883.88662799998</v>
      </c>
      <c r="Q53" s="159">
        <v>0</v>
      </c>
      <c r="R53" s="159">
        <v>21313.862459047064</v>
      </c>
      <c r="S53" s="159">
        <v>18921.497405271366</v>
      </c>
      <c r="T53" s="159">
        <v>0</v>
      </c>
      <c r="U53" s="309">
        <f t="shared" si="1"/>
        <v>236119.2464923184</v>
      </c>
      <c r="V53" s="44"/>
      <c r="W53" s="44"/>
      <c r="X53" s="110"/>
      <c r="Y53" s="110"/>
      <c r="Z53" s="111"/>
    </row>
    <row r="54" spans="1:26" s="45" customFormat="1">
      <c r="A54" s="127">
        <v>152</v>
      </c>
      <c r="B54" s="124" t="s">
        <v>58</v>
      </c>
      <c r="C54" s="408">
        <v>4357</v>
      </c>
      <c r="D54" s="412">
        <v>0</v>
      </c>
      <c r="E54" s="420">
        <v>0</v>
      </c>
      <c r="F54" s="155">
        <v>0</v>
      </c>
      <c r="G54" s="419">
        <v>0</v>
      </c>
      <c r="H54" s="269">
        <v>1382</v>
      </c>
      <c r="I54" s="15">
        <v>1792</v>
      </c>
      <c r="J54" s="331">
        <v>0.7712053571428571</v>
      </c>
      <c r="K54" s="427">
        <v>0.77153073686982665</v>
      </c>
      <c r="L54" s="434">
        <v>0.55073383499999995</v>
      </c>
      <c r="M54" s="14">
        <f>Lisäosat[[#This Row],[HYTE-kerroin (sis. Kulttuurihyte)]]*Lisäosat[[#This Row],[Asukasmäärä 31.12.2023]]</f>
        <v>2399.5473190949997</v>
      </c>
      <c r="N54" s="427">
        <f>Lisäosat[[#This Row],[HYTE-kerroin (sis. Kulttuurihyte)]]/$N$7</f>
        <v>0.81543605485549742</v>
      </c>
      <c r="O54" s="439">
        <v>0</v>
      </c>
      <c r="P54" s="197">
        <v>0</v>
      </c>
      <c r="Q54" s="159">
        <v>0</v>
      </c>
      <c r="R54" s="159">
        <v>45414.667771520188</v>
      </c>
      <c r="S54" s="159">
        <v>70737.340879917567</v>
      </c>
      <c r="T54" s="159">
        <v>0</v>
      </c>
      <c r="U54" s="309">
        <f t="shared" si="1"/>
        <v>116152.00865143776</v>
      </c>
      <c r="V54" s="44"/>
      <c r="W54" s="44"/>
      <c r="X54" s="110"/>
      <c r="Y54" s="110"/>
      <c r="Z54" s="111"/>
    </row>
    <row r="55" spans="1:26" s="45" customFormat="1">
      <c r="A55" s="127">
        <v>153</v>
      </c>
      <c r="B55" s="124" t="s">
        <v>59</v>
      </c>
      <c r="C55" s="408">
        <v>24919</v>
      </c>
      <c r="D55" s="412">
        <v>0</v>
      </c>
      <c r="E55" s="420">
        <v>0</v>
      </c>
      <c r="F55" s="155">
        <v>1</v>
      </c>
      <c r="G55" s="419">
        <v>4.0130021268911271E-5</v>
      </c>
      <c r="H55" s="269">
        <v>9139</v>
      </c>
      <c r="I55" s="15">
        <v>9177</v>
      </c>
      <c r="J55" s="331">
        <v>0.99585921325051763</v>
      </c>
      <c r="K55" s="427">
        <v>0.99627937682420953</v>
      </c>
      <c r="L55" s="434">
        <v>0.61117317900000001</v>
      </c>
      <c r="M55" s="14">
        <f>Lisäosat[[#This Row],[HYTE-kerroin (sis. Kulttuurihyte)]]*Lisäosat[[#This Row],[Asukasmäärä 31.12.2023]]</f>
        <v>15229.824447501</v>
      </c>
      <c r="N55" s="427">
        <f>Lisäosat[[#This Row],[HYTE-kerroin (sis. Kulttuurihyte)]]/$N$7</f>
        <v>0.90492469182913526</v>
      </c>
      <c r="O55" s="439">
        <v>0</v>
      </c>
      <c r="P55" s="197">
        <v>0</v>
      </c>
      <c r="Q55" s="159">
        <v>0</v>
      </c>
      <c r="R55" s="159">
        <v>335403.12103752431</v>
      </c>
      <c r="S55" s="159">
        <v>448966.88425819232</v>
      </c>
      <c r="T55" s="159">
        <v>0</v>
      </c>
      <c r="U55" s="309">
        <f t="shared" si="1"/>
        <v>784370.00529571669</v>
      </c>
      <c r="V55" s="44"/>
      <c r="W55" s="44"/>
      <c r="X55" s="110"/>
      <c r="Y55" s="110"/>
      <c r="Z55" s="111"/>
    </row>
    <row r="56" spans="1:26" s="45" customFormat="1">
      <c r="A56" s="127">
        <v>165</v>
      </c>
      <c r="B56" s="124" t="s">
        <v>60</v>
      </c>
      <c r="C56" s="408">
        <v>16123</v>
      </c>
      <c r="D56" s="412">
        <v>0</v>
      </c>
      <c r="E56" s="420">
        <v>0</v>
      </c>
      <c r="F56" s="155">
        <v>0</v>
      </c>
      <c r="G56" s="419">
        <v>0</v>
      </c>
      <c r="H56" s="269">
        <v>5048</v>
      </c>
      <c r="I56" s="15">
        <v>7101</v>
      </c>
      <c r="J56" s="331">
        <v>0.71088579073369951</v>
      </c>
      <c r="K56" s="427">
        <v>0.71118572099527388</v>
      </c>
      <c r="L56" s="434">
        <v>0.646110242</v>
      </c>
      <c r="M56" s="14">
        <f>Lisäosat[[#This Row],[HYTE-kerroin (sis. Kulttuurihyte)]]*Lisäosat[[#This Row],[Asukasmäärä 31.12.2023]]</f>
        <v>10417.235431765999</v>
      </c>
      <c r="N56" s="427">
        <f>Lisäosat[[#This Row],[HYTE-kerroin (sis. Kulttuurihyte)]]/$N$7</f>
        <v>0.95665374679260584</v>
      </c>
      <c r="O56" s="439">
        <v>0</v>
      </c>
      <c r="P56" s="197">
        <v>0</v>
      </c>
      <c r="Q56" s="159">
        <v>0</v>
      </c>
      <c r="R56" s="159">
        <v>154911.70409848788</v>
      </c>
      <c r="S56" s="159">
        <v>307094.39563838532</v>
      </c>
      <c r="T56" s="159">
        <v>0</v>
      </c>
      <c r="U56" s="309">
        <f t="shared" si="1"/>
        <v>462006.09973687318</v>
      </c>
      <c r="V56" s="44"/>
      <c r="W56" s="44"/>
      <c r="X56" s="110"/>
      <c r="Y56" s="110"/>
      <c r="Z56" s="111"/>
    </row>
    <row r="57" spans="1:26" s="45" customFormat="1">
      <c r="A57" s="127">
        <v>167</v>
      </c>
      <c r="B57" s="124" t="s">
        <v>61</v>
      </c>
      <c r="C57" s="408">
        <v>78062</v>
      </c>
      <c r="D57" s="412">
        <v>0</v>
      </c>
      <c r="E57" s="420">
        <v>0</v>
      </c>
      <c r="F57" s="155">
        <v>4</v>
      </c>
      <c r="G57" s="419">
        <v>5.1241321001255416E-5</v>
      </c>
      <c r="H57" s="269">
        <v>35453</v>
      </c>
      <c r="I57" s="15">
        <v>31189</v>
      </c>
      <c r="J57" s="331">
        <v>1.1367148674212062</v>
      </c>
      <c r="K57" s="427">
        <v>1.1371944594906569</v>
      </c>
      <c r="L57" s="434">
        <v>0.70335112300000002</v>
      </c>
      <c r="M57" s="14">
        <f>Lisäosat[[#This Row],[HYTE-kerroin (sis. Kulttuurihyte)]]*Lisäosat[[#This Row],[Asukasmäärä 31.12.2023]]</f>
        <v>54904.995363626003</v>
      </c>
      <c r="N57" s="427">
        <f>Lisäosat[[#This Row],[HYTE-kerroin (sis. Kulttuurihyte)]]/$N$7</f>
        <v>1.0414066259744215</v>
      </c>
      <c r="O57" s="439">
        <v>0.4860565864601929</v>
      </c>
      <c r="P57" s="197">
        <v>0</v>
      </c>
      <c r="Q57" s="159">
        <v>0</v>
      </c>
      <c r="R57" s="159">
        <v>1199305.3143452229</v>
      </c>
      <c r="S57" s="159">
        <v>1618569.1951729923</v>
      </c>
      <c r="T57" s="159">
        <v>400673.32010381896</v>
      </c>
      <c r="U57" s="309">
        <f t="shared" si="1"/>
        <v>3218547.8296220344</v>
      </c>
      <c r="V57" s="44"/>
      <c r="W57" s="44"/>
      <c r="X57" s="110"/>
      <c r="Y57" s="110"/>
      <c r="Z57" s="111"/>
    </row>
    <row r="58" spans="1:26" s="45" customFormat="1">
      <c r="A58" s="127">
        <v>169</v>
      </c>
      <c r="B58" s="124" t="s">
        <v>62</v>
      </c>
      <c r="C58" s="408">
        <v>4916</v>
      </c>
      <c r="D58" s="412">
        <v>0</v>
      </c>
      <c r="E58" s="420">
        <v>0</v>
      </c>
      <c r="F58" s="155">
        <v>0</v>
      </c>
      <c r="G58" s="419">
        <v>0</v>
      </c>
      <c r="H58" s="269">
        <v>1664</v>
      </c>
      <c r="I58" s="15">
        <v>2095</v>
      </c>
      <c r="J58" s="331">
        <v>0.79427207637231501</v>
      </c>
      <c r="K58" s="427">
        <v>0.79460718819299403</v>
      </c>
      <c r="L58" s="434">
        <v>0.54867385000000002</v>
      </c>
      <c r="M58" s="14">
        <f>Lisäosat[[#This Row],[HYTE-kerroin (sis. Kulttuurihyte)]]*Lisäosat[[#This Row],[Asukasmäärä 31.12.2023]]</f>
        <v>2697.2806466000002</v>
      </c>
      <c r="N58" s="427">
        <f>Lisäosat[[#This Row],[HYTE-kerroin (sis. Kulttuurihyte)]]/$N$7</f>
        <v>0.8123859679810248</v>
      </c>
      <c r="O58" s="439">
        <v>0</v>
      </c>
      <c r="P58" s="197">
        <v>0</v>
      </c>
      <c r="Q58" s="159">
        <v>0</v>
      </c>
      <c r="R58" s="159">
        <v>52773.963540987803</v>
      </c>
      <c r="S58" s="159">
        <v>79514.356324220833</v>
      </c>
      <c r="T58" s="159">
        <v>0</v>
      </c>
      <c r="U58" s="309">
        <f t="shared" si="1"/>
        <v>132288.31986520864</v>
      </c>
      <c r="V58" s="44"/>
      <c r="W58" s="44"/>
      <c r="X58" s="110"/>
      <c r="Y58" s="110"/>
      <c r="Z58" s="111"/>
    </row>
    <row r="59" spans="1:26" s="45" customFormat="1">
      <c r="A59" s="127">
        <v>171</v>
      </c>
      <c r="B59" s="124" t="s">
        <v>63</v>
      </c>
      <c r="C59" s="408">
        <v>4590</v>
      </c>
      <c r="D59" s="412">
        <v>9.4850000000000004E-2</v>
      </c>
      <c r="E59" s="420">
        <v>0</v>
      </c>
      <c r="F59" s="155">
        <v>0</v>
      </c>
      <c r="G59" s="419">
        <v>0</v>
      </c>
      <c r="H59" s="269">
        <v>1298</v>
      </c>
      <c r="I59" s="15">
        <v>1753</v>
      </c>
      <c r="J59" s="331">
        <v>0.7404449515116942</v>
      </c>
      <c r="K59" s="427">
        <v>0.74075735309698842</v>
      </c>
      <c r="L59" s="434">
        <v>0.618240766</v>
      </c>
      <c r="M59" s="14">
        <f>Lisäosat[[#This Row],[HYTE-kerroin (sis. Kulttuurihyte)]]*Lisäosat[[#This Row],[Asukasmäärä 31.12.2023]]</f>
        <v>2837.7251159399998</v>
      </c>
      <c r="N59" s="427">
        <f>Lisäosat[[#This Row],[HYTE-kerroin (sis. Kulttuurihyte)]]/$N$7</f>
        <v>0.91538921188287037</v>
      </c>
      <c r="O59" s="439">
        <v>0</v>
      </c>
      <c r="P59" s="197">
        <v>28093.877595000002</v>
      </c>
      <c r="Q59" s="159">
        <v>0</v>
      </c>
      <c r="R59" s="159">
        <v>45935.030147162033</v>
      </c>
      <c r="S59" s="159">
        <v>83654.582367418698</v>
      </c>
      <c r="T59" s="159">
        <v>0</v>
      </c>
      <c r="U59" s="309">
        <f t="shared" si="1"/>
        <v>157683.49010958074</v>
      </c>
      <c r="V59" s="44"/>
      <c r="W59" s="44"/>
      <c r="X59" s="110"/>
      <c r="Y59" s="110"/>
      <c r="Z59" s="111"/>
    </row>
    <row r="60" spans="1:26" s="45" customFormat="1">
      <c r="A60" s="127">
        <v>172</v>
      </c>
      <c r="B60" s="124" t="s">
        <v>64</v>
      </c>
      <c r="C60" s="408">
        <v>4079</v>
      </c>
      <c r="D60" s="412">
        <v>1.4112166666666668</v>
      </c>
      <c r="E60" s="420">
        <v>0</v>
      </c>
      <c r="F60" s="155">
        <v>0</v>
      </c>
      <c r="G60" s="419">
        <v>0</v>
      </c>
      <c r="H60" s="269">
        <v>1278</v>
      </c>
      <c r="I60" s="15">
        <v>1409</v>
      </c>
      <c r="J60" s="331">
        <v>0.90702625975869411</v>
      </c>
      <c r="K60" s="427">
        <v>0.90740894376629466</v>
      </c>
      <c r="L60" s="434">
        <v>0.614168932</v>
      </c>
      <c r="M60" s="14">
        <f>Lisäosat[[#This Row],[HYTE-kerroin (sis. Kulttuurihyte)]]*Lisäosat[[#This Row],[Asukasmäärä 31.12.2023]]</f>
        <v>2505.195073628</v>
      </c>
      <c r="N60" s="427">
        <f>Lisäosat[[#This Row],[HYTE-kerroin (sis. Kulttuurihyte)]]/$N$7</f>
        <v>0.90936031000327833</v>
      </c>
      <c r="O60" s="439">
        <v>0</v>
      </c>
      <c r="P60" s="197">
        <v>557186.16766275</v>
      </c>
      <c r="Q60" s="159">
        <v>0</v>
      </c>
      <c r="R60" s="159">
        <v>50004.847812722895</v>
      </c>
      <c r="S60" s="159">
        <v>73851.77882666215</v>
      </c>
      <c r="T60" s="159">
        <v>0</v>
      </c>
      <c r="U60" s="309">
        <f t="shared" si="1"/>
        <v>681042.79430213501</v>
      </c>
      <c r="V60" s="44"/>
      <c r="W60" s="44"/>
      <c r="X60" s="110"/>
      <c r="Y60" s="110"/>
      <c r="Z60" s="111"/>
    </row>
    <row r="61" spans="1:26" s="45" customFormat="1">
      <c r="A61" s="127">
        <v>176</v>
      </c>
      <c r="B61" s="124" t="s">
        <v>65</v>
      </c>
      <c r="C61" s="408">
        <v>4259</v>
      </c>
      <c r="D61" s="412">
        <v>1.5198833333333333</v>
      </c>
      <c r="E61" s="420">
        <v>0</v>
      </c>
      <c r="F61" s="155">
        <v>0</v>
      </c>
      <c r="G61" s="419">
        <v>0</v>
      </c>
      <c r="H61" s="269">
        <v>1338</v>
      </c>
      <c r="I61" s="15">
        <v>1384</v>
      </c>
      <c r="J61" s="331">
        <v>0.9667630057803468</v>
      </c>
      <c r="K61" s="427">
        <v>0.96717089335523398</v>
      </c>
      <c r="L61" s="434">
        <v>0.54946728300000003</v>
      </c>
      <c r="M61" s="14">
        <f>Lisäosat[[#This Row],[HYTE-kerroin (sis. Kulttuurihyte)]]*Lisäosat[[#This Row],[Asukasmäärä 31.12.2023]]</f>
        <v>2340.1811582969999</v>
      </c>
      <c r="N61" s="427">
        <f>Lisäosat[[#This Row],[HYTE-kerroin (sis. Kulttuurihyte)]]/$N$7</f>
        <v>0.81356075302998077</v>
      </c>
      <c r="O61" s="439">
        <v>0</v>
      </c>
      <c r="P61" s="197">
        <v>1253143.5195555</v>
      </c>
      <c r="Q61" s="159">
        <v>0</v>
      </c>
      <c r="R61" s="159">
        <v>55650.133078147206</v>
      </c>
      <c r="S61" s="159">
        <v>68987.258970849842</v>
      </c>
      <c r="T61" s="159">
        <v>0</v>
      </c>
      <c r="U61" s="309">
        <f t="shared" si="1"/>
        <v>1377780.9116044971</v>
      </c>
      <c r="V61" s="44"/>
      <c r="W61" s="44"/>
      <c r="X61" s="110"/>
      <c r="Y61" s="110"/>
      <c r="Z61" s="111"/>
    </row>
    <row r="62" spans="1:26" s="45" customFormat="1">
      <c r="A62" s="127">
        <v>177</v>
      </c>
      <c r="B62" s="124" t="s">
        <v>66</v>
      </c>
      <c r="C62" s="408">
        <v>1708</v>
      </c>
      <c r="D62" s="412">
        <v>0.62613333333333332</v>
      </c>
      <c r="E62" s="420">
        <v>0</v>
      </c>
      <c r="F62" s="155">
        <v>0</v>
      </c>
      <c r="G62" s="419">
        <v>0</v>
      </c>
      <c r="H62" s="269">
        <v>660</v>
      </c>
      <c r="I62" s="15">
        <v>704</v>
      </c>
      <c r="J62" s="331">
        <v>0.9375</v>
      </c>
      <c r="K62" s="427">
        <v>0.93789554120210472</v>
      </c>
      <c r="L62" s="434">
        <v>0.71098906500000003</v>
      </c>
      <c r="M62" s="14">
        <f>Lisäosat[[#This Row],[HYTE-kerroin (sis. Kulttuurihyte)]]*Lisäosat[[#This Row],[Asukasmäärä 31.12.2023]]</f>
        <v>1214.3693230200001</v>
      </c>
      <c r="N62" s="427">
        <f>Lisäosat[[#This Row],[HYTE-kerroin (sis. Kulttuurihyte)]]/$N$7</f>
        <v>1.0527156338760246</v>
      </c>
      <c r="O62" s="439">
        <v>0</v>
      </c>
      <c r="P62" s="197">
        <v>69010.687871999995</v>
      </c>
      <c r="Q62" s="159">
        <v>0</v>
      </c>
      <c r="R62" s="159">
        <v>21642.014644881863</v>
      </c>
      <c r="S62" s="159">
        <v>35798.942605965582</v>
      </c>
      <c r="T62" s="159">
        <v>0</v>
      </c>
      <c r="U62" s="309">
        <f t="shared" si="1"/>
        <v>126451.64512284745</v>
      </c>
      <c r="V62" s="44"/>
      <c r="W62" s="44"/>
      <c r="X62" s="110"/>
      <c r="Y62" s="110"/>
      <c r="Z62" s="111"/>
    </row>
    <row r="63" spans="1:26" s="45" customFormat="1">
      <c r="A63" s="127">
        <v>178</v>
      </c>
      <c r="B63" s="124" t="s">
        <v>67</v>
      </c>
      <c r="C63" s="408">
        <v>5734</v>
      </c>
      <c r="D63" s="412">
        <v>0.82289999999999996</v>
      </c>
      <c r="E63" s="420">
        <v>0</v>
      </c>
      <c r="F63" s="155">
        <v>0</v>
      </c>
      <c r="G63" s="419">
        <v>0</v>
      </c>
      <c r="H63" s="269">
        <v>1787</v>
      </c>
      <c r="I63" s="15">
        <v>2160</v>
      </c>
      <c r="J63" s="331">
        <v>0.82731481481481484</v>
      </c>
      <c r="K63" s="427">
        <v>0.82766386771761047</v>
      </c>
      <c r="L63" s="434">
        <v>0.60479998499999998</v>
      </c>
      <c r="M63" s="14">
        <f>Lisäosat[[#This Row],[HYTE-kerroin (sis. Kulttuurihyte)]]*Lisäosat[[#This Row],[Asukasmäärä 31.12.2023]]</f>
        <v>3467.9231139899998</v>
      </c>
      <c r="N63" s="427">
        <f>Lisäosat[[#This Row],[HYTE-kerroin (sis. Kulttuurihyte)]]/$N$7</f>
        <v>0.89548831468664725</v>
      </c>
      <c r="O63" s="439">
        <v>0</v>
      </c>
      <c r="P63" s="197">
        <v>304485.35995800002</v>
      </c>
      <c r="Q63" s="159">
        <v>0</v>
      </c>
      <c r="R63" s="159">
        <v>64116.09058232743</v>
      </c>
      <c r="S63" s="159">
        <v>102232.47422858751</v>
      </c>
      <c r="T63" s="159">
        <v>0</v>
      </c>
      <c r="U63" s="309">
        <f t="shared" si="1"/>
        <v>470833.92476891499</v>
      </c>
      <c r="V63" s="44"/>
      <c r="W63" s="44"/>
      <c r="X63" s="110"/>
      <c r="Y63" s="110"/>
      <c r="Z63" s="111"/>
    </row>
    <row r="64" spans="1:26" s="45" customFormat="1">
      <c r="A64" s="127">
        <v>179</v>
      </c>
      <c r="B64" s="124" t="s">
        <v>68</v>
      </c>
      <c r="C64" s="408">
        <v>147746</v>
      </c>
      <c r="D64" s="412">
        <v>0</v>
      </c>
      <c r="E64" s="420">
        <v>0</v>
      </c>
      <c r="F64" s="155">
        <v>16</v>
      </c>
      <c r="G64" s="419">
        <v>1.0829396396518349E-4</v>
      </c>
      <c r="H64" s="269">
        <v>67071</v>
      </c>
      <c r="I64" s="15">
        <v>63193</v>
      </c>
      <c r="J64" s="331">
        <v>1.0613675565331604</v>
      </c>
      <c r="K64" s="427">
        <v>1.0618153587722923</v>
      </c>
      <c r="L64" s="434">
        <v>0.72120636500000002</v>
      </c>
      <c r="M64" s="14">
        <f>Lisäosat[[#This Row],[HYTE-kerroin (sis. Kulttuurihyte)]]*Lisäosat[[#This Row],[Asukasmäärä 31.12.2023]]</f>
        <v>106555.35560329001</v>
      </c>
      <c r="N64" s="427">
        <f>Lisäosat[[#This Row],[HYTE-kerroin (sis. Kulttuurihyte)]]/$N$7</f>
        <v>1.0678437307420452</v>
      </c>
      <c r="O64" s="439">
        <v>0.99573691249661422</v>
      </c>
      <c r="P64" s="197">
        <v>0</v>
      </c>
      <c r="Q64" s="159">
        <v>0</v>
      </c>
      <c r="R64" s="159">
        <v>2119434.9116817815</v>
      </c>
      <c r="S64" s="159">
        <v>3141193.529258485</v>
      </c>
      <c r="T64" s="159">
        <v>1553546.5004265336</v>
      </c>
      <c r="U64" s="309">
        <f t="shared" si="1"/>
        <v>6814174.9413668001</v>
      </c>
      <c r="V64" s="44"/>
      <c r="W64" s="44"/>
      <c r="X64" s="110"/>
      <c r="Y64" s="110"/>
      <c r="Z64" s="111"/>
    </row>
    <row r="65" spans="1:26" s="45" customFormat="1">
      <c r="A65" s="127">
        <v>181</v>
      </c>
      <c r="B65" s="124" t="s">
        <v>69</v>
      </c>
      <c r="C65" s="408">
        <v>1682</v>
      </c>
      <c r="D65" s="412">
        <v>0.38423333333333332</v>
      </c>
      <c r="E65" s="420">
        <v>0</v>
      </c>
      <c r="F65" s="155">
        <v>0</v>
      </c>
      <c r="G65" s="419">
        <v>0</v>
      </c>
      <c r="H65" s="269">
        <v>449</v>
      </c>
      <c r="I65" s="15">
        <v>680</v>
      </c>
      <c r="J65" s="331">
        <v>0.66029411764705881</v>
      </c>
      <c r="K65" s="427">
        <v>0.66057270274469804</v>
      </c>
      <c r="L65" s="434">
        <v>0.671244748</v>
      </c>
      <c r="M65" s="14">
        <f>Lisäosat[[#This Row],[HYTE-kerroin (sis. Kulttuurihyte)]]*Lisäosat[[#This Row],[Asukasmäärä 31.12.2023]]</f>
        <v>1129.033666136</v>
      </c>
      <c r="N65" s="427">
        <f>Lisäosat[[#This Row],[HYTE-kerroin (sis. Kulttuurihyte)]]/$N$7</f>
        <v>0.99386878808997203</v>
      </c>
      <c r="O65" s="439">
        <v>0</v>
      </c>
      <c r="P65" s="197">
        <v>41704.478513999995</v>
      </c>
      <c r="Q65" s="159">
        <v>0</v>
      </c>
      <c r="R65" s="159">
        <v>15010.735194084025</v>
      </c>
      <c r="S65" s="159">
        <v>33283.294174205599</v>
      </c>
      <c r="T65" s="159">
        <v>0</v>
      </c>
      <c r="U65" s="309">
        <f t="shared" si="1"/>
        <v>89998.507882289618</v>
      </c>
      <c r="V65" s="44"/>
      <c r="W65" s="44"/>
      <c r="X65" s="110"/>
      <c r="Y65" s="110"/>
      <c r="Z65" s="111"/>
    </row>
    <row r="66" spans="1:26" s="45" customFormat="1">
      <c r="A66" s="127">
        <v>182</v>
      </c>
      <c r="B66" s="124" t="s">
        <v>70</v>
      </c>
      <c r="C66" s="408">
        <v>19182</v>
      </c>
      <c r="D66" s="412">
        <v>0.24018333333333333</v>
      </c>
      <c r="E66" s="420">
        <v>0</v>
      </c>
      <c r="F66" s="155">
        <v>1</v>
      </c>
      <c r="G66" s="419">
        <v>5.2132207277656134E-5</v>
      </c>
      <c r="H66" s="269">
        <v>6978</v>
      </c>
      <c r="I66" s="15">
        <v>7166</v>
      </c>
      <c r="J66" s="331">
        <v>0.97376500139547861</v>
      </c>
      <c r="K66" s="427">
        <v>0.97417584318664607</v>
      </c>
      <c r="L66" s="434">
        <v>0.65716583900000003</v>
      </c>
      <c r="M66" s="14">
        <f>Lisäosat[[#This Row],[HYTE-kerroin (sis. Kulttuurihyte)]]*Lisäosat[[#This Row],[Asukasmäärä 31.12.2023]]</f>
        <v>12605.755123698</v>
      </c>
      <c r="N66" s="427">
        <f>Lisäosat[[#This Row],[HYTE-kerroin (sis. Kulttuurihyte)]]/$N$7</f>
        <v>0.97302305593765281</v>
      </c>
      <c r="O66" s="439">
        <v>0</v>
      </c>
      <c r="P66" s="197">
        <v>297302.40305100003</v>
      </c>
      <c r="Q66" s="159">
        <v>0</v>
      </c>
      <c r="R66" s="159">
        <v>252456.52023432433</v>
      </c>
      <c r="S66" s="159">
        <v>371610.75763661147</v>
      </c>
      <c r="T66" s="159">
        <v>0</v>
      </c>
      <c r="U66" s="309">
        <f t="shared" si="1"/>
        <v>921369.68092193583</v>
      </c>
      <c r="V66" s="44"/>
      <c r="W66" s="44"/>
      <c r="X66" s="110"/>
      <c r="Y66" s="110"/>
      <c r="Z66" s="111"/>
    </row>
    <row r="67" spans="1:26" s="45" customFormat="1">
      <c r="A67" s="127">
        <v>186</v>
      </c>
      <c r="B67" s="124" t="s">
        <v>71</v>
      </c>
      <c r="C67" s="408">
        <v>46490</v>
      </c>
      <c r="D67" s="412">
        <v>0</v>
      </c>
      <c r="E67" s="420">
        <v>0</v>
      </c>
      <c r="F67" s="155">
        <v>4</v>
      </c>
      <c r="G67" s="419">
        <v>8.6040008604000863E-5</v>
      </c>
      <c r="H67" s="269">
        <v>14245</v>
      </c>
      <c r="I67" s="15">
        <v>21661</v>
      </c>
      <c r="J67" s="331">
        <v>0.6576335349245187</v>
      </c>
      <c r="K67" s="427">
        <v>0.65791099749406368</v>
      </c>
      <c r="L67" s="434">
        <v>0.68599608300000003</v>
      </c>
      <c r="M67" s="14">
        <f>Lisäosat[[#This Row],[HYTE-kerroin (sis. Kulttuurihyte)]]*Lisäosat[[#This Row],[Asukasmäärä 31.12.2023]]</f>
        <v>31891.95789867</v>
      </c>
      <c r="N67" s="427">
        <f>Lisäosat[[#This Row],[HYTE-kerroin (sis. Kulttuurihyte)]]/$N$7</f>
        <v>1.0157101380340006</v>
      </c>
      <c r="O67" s="439">
        <v>1.5041181752864174</v>
      </c>
      <c r="P67" s="197">
        <v>0</v>
      </c>
      <c r="Q67" s="159">
        <v>0</v>
      </c>
      <c r="R67" s="159">
        <v>413220.67351497174</v>
      </c>
      <c r="S67" s="159">
        <v>940157.45355546568</v>
      </c>
      <c r="T67" s="159">
        <v>738423.35391333222</v>
      </c>
      <c r="U67" s="309">
        <f t="shared" si="1"/>
        <v>2091801.4809837695</v>
      </c>
      <c r="V67" s="44"/>
      <c r="W67" s="44"/>
      <c r="X67" s="110"/>
      <c r="Y67" s="110"/>
      <c r="Z67" s="111"/>
    </row>
    <row r="68" spans="1:26" s="45" customFormat="1">
      <c r="A68" s="127">
        <v>202</v>
      </c>
      <c r="B68" s="124" t="s">
        <v>72</v>
      </c>
      <c r="C68" s="408">
        <v>36339</v>
      </c>
      <c r="D68" s="412">
        <v>0</v>
      </c>
      <c r="E68" s="420">
        <v>0</v>
      </c>
      <c r="F68" s="155">
        <v>0</v>
      </c>
      <c r="G68" s="419">
        <v>0</v>
      </c>
      <c r="H68" s="269">
        <v>10672</v>
      </c>
      <c r="I68" s="15">
        <v>16655</v>
      </c>
      <c r="J68" s="331">
        <v>0.64076853797658362</v>
      </c>
      <c r="K68" s="427">
        <v>0.6410388850248846</v>
      </c>
      <c r="L68" s="434">
        <v>0.650568543</v>
      </c>
      <c r="M68" s="14">
        <f>Lisäosat[[#This Row],[HYTE-kerroin (sis. Kulttuurihyte)]]*Lisäosat[[#This Row],[Asukasmäärä 31.12.2023]]</f>
        <v>23641.010284077001</v>
      </c>
      <c r="N68" s="427">
        <f>Lisäosat[[#This Row],[HYTE-kerroin (sis. Kulttuurihyte)]]/$N$7</f>
        <v>0.96325486542334748</v>
      </c>
      <c r="O68" s="439">
        <v>1.5842318841687557</v>
      </c>
      <c r="P68" s="197">
        <v>0</v>
      </c>
      <c r="Q68" s="159">
        <v>0</v>
      </c>
      <c r="R68" s="159">
        <v>314711.55969983945</v>
      </c>
      <c r="S68" s="159">
        <v>696924.03642246476</v>
      </c>
      <c r="T68" s="159">
        <v>607932.88975381688</v>
      </c>
      <c r="U68" s="309">
        <f t="shared" si="1"/>
        <v>1619568.4858761211</v>
      </c>
      <c r="V68" s="44"/>
      <c r="W68" s="44"/>
      <c r="X68" s="110"/>
      <c r="Y68" s="110"/>
      <c r="Z68" s="111"/>
    </row>
    <row r="69" spans="1:26" s="45" customFormat="1">
      <c r="A69" s="127">
        <v>204</v>
      </c>
      <c r="B69" s="124" t="s">
        <v>73</v>
      </c>
      <c r="C69" s="408">
        <v>2628</v>
      </c>
      <c r="D69" s="412">
        <v>1.1962833333333334</v>
      </c>
      <c r="E69" s="420">
        <v>0</v>
      </c>
      <c r="F69" s="155">
        <v>0</v>
      </c>
      <c r="G69" s="419">
        <v>0</v>
      </c>
      <c r="H69" s="269">
        <v>765</v>
      </c>
      <c r="I69" s="15">
        <v>864</v>
      </c>
      <c r="J69" s="331">
        <v>0.88541666666666663</v>
      </c>
      <c r="K69" s="427">
        <v>0.88579023335754337</v>
      </c>
      <c r="L69" s="434">
        <v>0.52427396800000003</v>
      </c>
      <c r="M69" s="14">
        <f>Lisäosat[[#This Row],[HYTE-kerroin (sis. Kulttuurihyte)]]*Lisäosat[[#This Row],[Asukasmäärä 31.12.2023]]</f>
        <v>1377.7919879040001</v>
      </c>
      <c r="N69" s="427">
        <f>Lisäosat[[#This Row],[HYTE-kerroin (sis. Kulttuurihyte)]]/$N$7</f>
        <v>0.77625863704080822</v>
      </c>
      <c r="O69" s="439">
        <v>0</v>
      </c>
      <c r="P69" s="197">
        <v>304307.27651699999</v>
      </c>
      <c r="Q69" s="159">
        <v>0</v>
      </c>
      <c r="R69" s="159">
        <v>31449.344466391558</v>
      </c>
      <c r="S69" s="159">
        <v>40616.553270031989</v>
      </c>
      <c r="T69" s="159">
        <v>0</v>
      </c>
      <c r="U69" s="309">
        <f t="shared" si="1"/>
        <v>376373.17425342352</v>
      </c>
      <c r="V69" s="44"/>
      <c r="W69" s="44"/>
      <c r="X69" s="110"/>
      <c r="Y69" s="110"/>
      <c r="Z69" s="111"/>
    </row>
    <row r="70" spans="1:26" s="45" customFormat="1">
      <c r="A70" s="127">
        <v>205</v>
      </c>
      <c r="B70" s="124" t="s">
        <v>74</v>
      </c>
      <c r="C70" s="408">
        <v>36513</v>
      </c>
      <c r="D70" s="412">
        <v>0.18211666666666668</v>
      </c>
      <c r="E70" s="420">
        <v>0</v>
      </c>
      <c r="F70" s="155">
        <v>2</v>
      </c>
      <c r="G70" s="419">
        <v>5.4775011639689975E-5</v>
      </c>
      <c r="H70" s="269">
        <v>15797</v>
      </c>
      <c r="I70" s="15">
        <v>14934</v>
      </c>
      <c r="J70" s="331">
        <v>1.0577875987679122</v>
      </c>
      <c r="K70" s="427">
        <v>1.0582338905848596</v>
      </c>
      <c r="L70" s="434">
        <v>0.63383186499999999</v>
      </c>
      <c r="M70" s="14">
        <f>Lisäosat[[#This Row],[HYTE-kerroin (sis. Kulttuurihyte)]]*Lisäosat[[#This Row],[Asukasmäärä 31.12.2023]]</f>
        <v>23143.102886745</v>
      </c>
      <c r="N70" s="427">
        <f>Lisäosat[[#This Row],[HYTE-kerroin (sis. Kulttuurihyte)]]/$N$7</f>
        <v>0.93847394619817082</v>
      </c>
      <c r="O70" s="439">
        <v>0</v>
      </c>
      <c r="P70" s="197">
        <v>429100.35610050004</v>
      </c>
      <c r="Q70" s="159">
        <v>0</v>
      </c>
      <c r="R70" s="159">
        <v>522016.86257395649</v>
      </c>
      <c r="S70" s="159">
        <v>682245.99902289826</v>
      </c>
      <c r="T70" s="159">
        <v>0</v>
      </c>
      <c r="U70" s="309">
        <f t="shared" si="1"/>
        <v>1633363.2176973547</v>
      </c>
      <c r="V70" s="44"/>
      <c r="W70" s="44"/>
      <c r="X70" s="110"/>
      <c r="Y70" s="110"/>
      <c r="Z70" s="111"/>
    </row>
    <row r="71" spans="1:26" s="45" customFormat="1">
      <c r="A71" s="127">
        <v>208</v>
      </c>
      <c r="B71" s="124" t="s">
        <v>75</v>
      </c>
      <c r="C71" s="408">
        <v>12372</v>
      </c>
      <c r="D71" s="412">
        <v>0.45220000000000005</v>
      </c>
      <c r="E71" s="420">
        <v>0</v>
      </c>
      <c r="F71" s="155">
        <v>3</v>
      </c>
      <c r="G71" s="419">
        <v>2.4248302618816683E-4</v>
      </c>
      <c r="H71" s="269">
        <v>4598</v>
      </c>
      <c r="I71" s="15">
        <v>4964</v>
      </c>
      <c r="J71" s="331">
        <v>0.92626913779210318</v>
      </c>
      <c r="K71" s="427">
        <v>0.9266599405742203</v>
      </c>
      <c r="L71" s="434">
        <v>0.72012193199999996</v>
      </c>
      <c r="M71" s="14">
        <f>Lisäosat[[#This Row],[HYTE-kerroin (sis. Kulttuurihyte)]]*Lisäosat[[#This Row],[Asukasmäärä 31.12.2023]]</f>
        <v>8909.3485427039996</v>
      </c>
      <c r="N71" s="427">
        <f>Lisäosat[[#This Row],[HYTE-kerroin (sis. Kulttuurihyte)]]/$N$7</f>
        <v>1.0662380807690865</v>
      </c>
      <c r="O71" s="439">
        <v>0</v>
      </c>
      <c r="P71" s="197">
        <v>361020.72535200004</v>
      </c>
      <c r="Q71" s="159">
        <v>0</v>
      </c>
      <c r="R71" s="159">
        <v>154887.24296243527</v>
      </c>
      <c r="S71" s="159">
        <v>262642.71592732804</v>
      </c>
      <c r="T71" s="159">
        <v>0</v>
      </c>
      <c r="U71" s="309">
        <f t="shared" si="1"/>
        <v>778550.68424176332</v>
      </c>
      <c r="V71" s="44"/>
      <c r="W71" s="44"/>
      <c r="X71" s="110"/>
      <c r="Y71" s="110"/>
      <c r="Z71" s="111"/>
    </row>
    <row r="72" spans="1:26" s="45" customFormat="1">
      <c r="A72" s="127">
        <v>211</v>
      </c>
      <c r="B72" s="124" t="s">
        <v>76</v>
      </c>
      <c r="C72" s="408">
        <v>33473</v>
      </c>
      <c r="D72" s="412">
        <v>0</v>
      </c>
      <c r="E72" s="420">
        <v>0</v>
      </c>
      <c r="F72" s="155">
        <v>2</v>
      </c>
      <c r="G72" s="419">
        <v>5.9749648970812297E-5</v>
      </c>
      <c r="H72" s="269">
        <v>8909</v>
      </c>
      <c r="I72" s="15">
        <v>15130</v>
      </c>
      <c r="J72" s="331">
        <v>0.5888301387970919</v>
      </c>
      <c r="K72" s="427">
        <v>0.58907857248342288</v>
      </c>
      <c r="L72" s="434">
        <v>0.67257269500000005</v>
      </c>
      <c r="M72" s="14">
        <f>Lisäosat[[#This Row],[HYTE-kerroin (sis. Kulttuurihyte)]]*Lisäosat[[#This Row],[Asukasmäärä 31.12.2023]]</f>
        <v>22513.025819735001</v>
      </c>
      <c r="N72" s="427">
        <f>Lisäosat[[#This Row],[HYTE-kerroin (sis. Kulttuurihyte)]]/$N$7</f>
        <v>0.99583499353064053</v>
      </c>
      <c r="O72" s="439">
        <v>1.2863628663567199</v>
      </c>
      <c r="P72" s="197">
        <v>0</v>
      </c>
      <c r="Q72" s="159">
        <v>0</v>
      </c>
      <c r="R72" s="159">
        <v>266393.24753652519</v>
      </c>
      <c r="S72" s="159">
        <v>663671.67214256199</v>
      </c>
      <c r="T72" s="159">
        <v>454696.95982189762</v>
      </c>
      <c r="U72" s="309">
        <f t="shared" si="1"/>
        <v>1384761.8795009847</v>
      </c>
      <c r="V72" s="44"/>
      <c r="W72" s="44"/>
      <c r="X72" s="110"/>
      <c r="Y72" s="110"/>
      <c r="Z72" s="111"/>
    </row>
    <row r="73" spans="1:26" s="45" customFormat="1">
      <c r="A73" s="127">
        <v>213</v>
      </c>
      <c r="B73" s="124" t="s">
        <v>77</v>
      </c>
      <c r="C73" s="408">
        <v>5114</v>
      </c>
      <c r="D73" s="412">
        <v>1.0241166666666668</v>
      </c>
      <c r="E73" s="420">
        <v>0</v>
      </c>
      <c r="F73" s="155">
        <v>0</v>
      </c>
      <c r="G73" s="419">
        <v>0</v>
      </c>
      <c r="H73" s="269">
        <v>1593</v>
      </c>
      <c r="I73" s="15">
        <v>1813</v>
      </c>
      <c r="J73" s="331">
        <v>0.87865416436845012</v>
      </c>
      <c r="K73" s="427">
        <v>0.87902487788781936</v>
      </c>
      <c r="L73" s="434">
        <v>0.52847416899999999</v>
      </c>
      <c r="M73" s="14">
        <f>Lisäosat[[#This Row],[HYTE-kerroin (sis. Kulttuurihyte)]]*Lisäosat[[#This Row],[Asukasmäärä 31.12.2023]]</f>
        <v>2702.6169002659999</v>
      </c>
      <c r="N73" s="427">
        <f>Lisäosat[[#This Row],[HYTE-kerroin (sis. Kulttuurihyte)]]/$N$7</f>
        <v>0.7824776036547626</v>
      </c>
      <c r="O73" s="439">
        <v>0</v>
      </c>
      <c r="P73" s="197">
        <v>506947.61224350007</v>
      </c>
      <c r="Q73" s="159">
        <v>0</v>
      </c>
      <c r="R73" s="159">
        <v>60731.951876752348</v>
      </c>
      <c r="S73" s="159">
        <v>79671.666159950983</v>
      </c>
      <c r="T73" s="159">
        <v>0</v>
      </c>
      <c r="U73" s="309">
        <f t="shared" ref="U73:U136" si="2">SUM(P73:T73)</f>
        <v>647351.2302802034</v>
      </c>
      <c r="V73" s="44"/>
      <c r="W73" s="44"/>
      <c r="X73" s="110"/>
      <c r="Y73" s="110"/>
      <c r="Z73" s="111"/>
    </row>
    <row r="74" spans="1:26" s="45" customFormat="1">
      <c r="A74" s="127">
        <v>214</v>
      </c>
      <c r="B74" s="124" t="s">
        <v>78</v>
      </c>
      <c r="C74" s="408">
        <v>12394</v>
      </c>
      <c r="D74" s="412">
        <v>0.30081666666666668</v>
      </c>
      <c r="E74" s="420">
        <v>0</v>
      </c>
      <c r="F74" s="155">
        <v>0</v>
      </c>
      <c r="G74" s="419">
        <v>0</v>
      </c>
      <c r="H74" s="269">
        <v>5320</v>
      </c>
      <c r="I74" s="15">
        <v>4846</v>
      </c>
      <c r="J74" s="331">
        <v>1.0978126289723484</v>
      </c>
      <c r="K74" s="427">
        <v>1.0982758077744279</v>
      </c>
      <c r="L74" s="434">
        <v>0.67076522599999999</v>
      </c>
      <c r="M74" s="14">
        <f>Lisäosat[[#This Row],[HYTE-kerroin (sis. Kulttuurihyte)]]*Lisäosat[[#This Row],[Asukasmäärä 31.12.2023]]</f>
        <v>8313.464211044</v>
      </c>
      <c r="N74" s="427">
        <f>Lisäosat[[#This Row],[HYTE-kerroin (sis. Kulttuurihyte)]]/$N$7</f>
        <v>0.99315879080444758</v>
      </c>
      <c r="O74" s="439">
        <v>0</v>
      </c>
      <c r="P74" s="197">
        <v>240588.60360300003</v>
      </c>
      <c r="Q74" s="159">
        <v>0</v>
      </c>
      <c r="R74" s="159">
        <v>183898.53018462507</v>
      </c>
      <c r="S74" s="159">
        <v>245076.37215981574</v>
      </c>
      <c r="T74" s="159">
        <v>0</v>
      </c>
      <c r="U74" s="309">
        <f t="shared" si="2"/>
        <v>669563.50594744086</v>
      </c>
      <c r="V74" s="44"/>
      <c r="W74" s="44"/>
      <c r="X74" s="110"/>
      <c r="Y74" s="110"/>
      <c r="Z74" s="111"/>
    </row>
    <row r="75" spans="1:26" s="45" customFormat="1">
      <c r="A75" s="127">
        <v>216</v>
      </c>
      <c r="B75" s="124" t="s">
        <v>79</v>
      </c>
      <c r="C75" s="408">
        <v>1217</v>
      </c>
      <c r="D75" s="412">
        <v>1.5251000000000001</v>
      </c>
      <c r="E75" s="420">
        <v>0</v>
      </c>
      <c r="F75" s="155">
        <v>0</v>
      </c>
      <c r="G75" s="419">
        <v>0</v>
      </c>
      <c r="H75" s="269">
        <v>382</v>
      </c>
      <c r="I75" s="15">
        <v>426</v>
      </c>
      <c r="J75" s="331">
        <v>0.89671361502347413</v>
      </c>
      <c r="K75" s="427">
        <v>0.89709194801678627</v>
      </c>
      <c r="L75" s="434">
        <v>0.63153926400000004</v>
      </c>
      <c r="M75" s="14">
        <f>Lisäosat[[#This Row],[HYTE-kerroin (sis. Kulttuurihyte)]]*Lisäosat[[#This Row],[Asukasmäärä 31.12.2023]]</f>
        <v>768.58328428800007</v>
      </c>
      <c r="N75" s="427">
        <f>Lisäosat[[#This Row],[HYTE-kerroin (sis. Kulttuurihyte)]]/$N$7</f>
        <v>0.93507943982142394</v>
      </c>
      <c r="O75" s="439">
        <v>0</v>
      </c>
      <c r="P75" s="197">
        <v>359312.08065300004</v>
      </c>
      <c r="Q75" s="159">
        <v>0</v>
      </c>
      <c r="R75" s="159">
        <v>14749.689768949156</v>
      </c>
      <c r="S75" s="159">
        <v>22657.414314209818</v>
      </c>
      <c r="T75" s="159">
        <v>0</v>
      </c>
      <c r="U75" s="309">
        <f t="shared" si="2"/>
        <v>396719.18473615905</v>
      </c>
      <c r="V75" s="44"/>
      <c r="W75" s="44"/>
      <c r="X75" s="110"/>
      <c r="Y75" s="110"/>
      <c r="Z75" s="111"/>
    </row>
    <row r="76" spans="1:26" s="45" customFormat="1">
      <c r="A76" s="127">
        <v>217</v>
      </c>
      <c r="B76" s="124" t="s">
        <v>80</v>
      </c>
      <c r="C76" s="408">
        <v>5246</v>
      </c>
      <c r="D76" s="412">
        <v>0.19186666666666666</v>
      </c>
      <c r="E76" s="420">
        <v>0</v>
      </c>
      <c r="F76" s="155">
        <v>0</v>
      </c>
      <c r="G76" s="419">
        <v>0</v>
      </c>
      <c r="H76" s="269">
        <v>2064</v>
      </c>
      <c r="I76" s="15">
        <v>2225</v>
      </c>
      <c r="J76" s="331">
        <v>0.92764044943820223</v>
      </c>
      <c r="K76" s="427">
        <v>0.92803183079126017</v>
      </c>
      <c r="L76" s="434">
        <v>0.71029774199999995</v>
      </c>
      <c r="M76" s="14">
        <f>Lisäosat[[#This Row],[HYTE-kerroin (sis. Kulttuurihyte)]]*Lisäosat[[#This Row],[Asukasmäärä 31.12.2023]]</f>
        <v>3726.2219545319999</v>
      </c>
      <c r="N76" s="427">
        <f>Lisäosat[[#This Row],[HYTE-kerroin (sis. Kulttuurihyte)]]/$N$7</f>
        <v>1.0516920365156937</v>
      </c>
      <c r="O76" s="439">
        <v>0</v>
      </c>
      <c r="P76" s="197">
        <v>64951.544375999998</v>
      </c>
      <c r="Q76" s="159">
        <v>0</v>
      </c>
      <c r="R76" s="159">
        <v>65772.826838311143</v>
      </c>
      <c r="S76" s="159">
        <v>109846.98259310606</v>
      </c>
      <c r="T76" s="159">
        <v>0</v>
      </c>
      <c r="U76" s="309">
        <f t="shared" si="2"/>
        <v>240571.35380741721</v>
      </c>
      <c r="V76" s="44"/>
      <c r="W76" s="44"/>
      <c r="X76" s="110"/>
      <c r="Y76" s="110"/>
      <c r="Z76" s="111"/>
    </row>
    <row r="77" spans="1:26" s="45" customFormat="1">
      <c r="A77" s="127">
        <v>218</v>
      </c>
      <c r="B77" s="124" t="s">
        <v>81</v>
      </c>
      <c r="C77" s="408">
        <v>1188</v>
      </c>
      <c r="D77" s="412">
        <v>0.60636666666666672</v>
      </c>
      <c r="E77" s="420">
        <v>0</v>
      </c>
      <c r="F77" s="155">
        <v>0</v>
      </c>
      <c r="G77" s="419">
        <v>0</v>
      </c>
      <c r="H77" s="269">
        <v>342</v>
      </c>
      <c r="I77" s="15">
        <v>450</v>
      </c>
      <c r="J77" s="331">
        <v>0.76</v>
      </c>
      <c r="K77" s="427">
        <v>0.76032065206783961</v>
      </c>
      <c r="L77" s="434">
        <v>0.43955629800000001</v>
      </c>
      <c r="M77" s="14">
        <f>Lisäosat[[#This Row],[HYTE-kerroin (sis. Kulttuurihyte)]]*Lisäosat[[#This Row],[Asukasmäärä 31.12.2023]]</f>
        <v>522.19288202400003</v>
      </c>
      <c r="N77" s="427">
        <f>Lisäosat[[#This Row],[HYTE-kerroin (sis. Kulttuurihyte)]]/$N$7</f>
        <v>0.65082264925307776</v>
      </c>
      <c r="O77" s="439">
        <v>0</v>
      </c>
      <c r="P77" s="197">
        <v>46485.063108000002</v>
      </c>
      <c r="Q77" s="159">
        <v>0</v>
      </c>
      <c r="R77" s="159">
        <v>12203.055227210578</v>
      </c>
      <c r="S77" s="159">
        <v>15393.960188594989</v>
      </c>
      <c r="T77" s="159">
        <v>0</v>
      </c>
      <c r="U77" s="309">
        <f t="shared" si="2"/>
        <v>74082.078523805569</v>
      </c>
      <c r="V77" s="44"/>
      <c r="W77" s="44"/>
      <c r="X77" s="110"/>
      <c r="Y77" s="110"/>
      <c r="Z77" s="111"/>
    </row>
    <row r="78" spans="1:26" s="45" customFormat="1">
      <c r="A78" s="127">
        <v>224</v>
      </c>
      <c r="B78" s="124" t="s">
        <v>82</v>
      </c>
      <c r="C78" s="408">
        <v>8581</v>
      </c>
      <c r="D78" s="412">
        <v>0</v>
      </c>
      <c r="E78" s="420">
        <v>0</v>
      </c>
      <c r="F78" s="155">
        <v>0</v>
      </c>
      <c r="G78" s="419">
        <v>0</v>
      </c>
      <c r="H78" s="269">
        <v>2770</v>
      </c>
      <c r="I78" s="15">
        <v>3566</v>
      </c>
      <c r="J78" s="331">
        <v>0.77678070667414467</v>
      </c>
      <c r="K78" s="427">
        <v>0.77710843870026702</v>
      </c>
      <c r="L78" s="434">
        <v>0.53753617200000003</v>
      </c>
      <c r="M78" s="14">
        <f>Lisäosat[[#This Row],[HYTE-kerroin (sis. Kulttuurihyte)]]*Lisäosat[[#This Row],[Asukasmäärä 31.12.2023]]</f>
        <v>4612.5978919320005</v>
      </c>
      <c r="N78" s="427">
        <f>Lisäosat[[#This Row],[HYTE-kerroin (sis. Kulttuurihyte)]]/$N$7</f>
        <v>0.79589512679533514</v>
      </c>
      <c r="O78" s="439">
        <v>0</v>
      </c>
      <c r="P78" s="197">
        <v>0</v>
      </c>
      <c r="Q78" s="159">
        <v>0</v>
      </c>
      <c r="R78" s="159">
        <v>90089.645093699248</v>
      </c>
      <c r="S78" s="159">
        <v>135976.85981314266</v>
      </c>
      <c r="T78" s="159">
        <v>0</v>
      </c>
      <c r="U78" s="309">
        <f t="shared" si="2"/>
        <v>226066.5049068419</v>
      </c>
      <c r="V78" s="44"/>
      <c r="W78" s="44"/>
      <c r="X78" s="110"/>
      <c r="Y78" s="110"/>
      <c r="Z78" s="111"/>
    </row>
    <row r="79" spans="1:26" s="45" customFormat="1">
      <c r="A79" s="127">
        <v>226</v>
      </c>
      <c r="B79" s="124" t="s">
        <v>83</v>
      </c>
      <c r="C79" s="408">
        <v>3625</v>
      </c>
      <c r="D79" s="412">
        <v>1.3321833333333335</v>
      </c>
      <c r="E79" s="420">
        <v>0</v>
      </c>
      <c r="F79" s="155">
        <v>0</v>
      </c>
      <c r="G79" s="419">
        <v>0</v>
      </c>
      <c r="H79" s="269">
        <v>1258</v>
      </c>
      <c r="I79" s="15">
        <v>1268</v>
      </c>
      <c r="J79" s="331">
        <v>0.99211356466876977</v>
      </c>
      <c r="K79" s="427">
        <v>0.99253214791356281</v>
      </c>
      <c r="L79" s="434">
        <v>0.63550750600000006</v>
      </c>
      <c r="M79" s="14">
        <f>Lisäosat[[#This Row],[HYTE-kerroin (sis. Kulttuurihyte)]]*Lisäosat[[#This Row],[Asukasmäärä 31.12.2023]]</f>
        <v>2303.7147092500004</v>
      </c>
      <c r="N79" s="427">
        <f>Lisäosat[[#This Row],[HYTE-kerroin (sis. Kulttuurihyte)]]/$N$7</f>
        <v>0.94095495971061316</v>
      </c>
      <c r="O79" s="439">
        <v>0</v>
      </c>
      <c r="P79" s="197">
        <v>467438.98584375012</v>
      </c>
      <c r="Q79" s="159">
        <v>0</v>
      </c>
      <c r="R79" s="159">
        <v>48608.021278881846</v>
      </c>
      <c r="S79" s="159">
        <v>67912.248023413864</v>
      </c>
      <c r="T79" s="159">
        <v>0</v>
      </c>
      <c r="U79" s="309">
        <f t="shared" si="2"/>
        <v>583959.25514604582</v>
      </c>
      <c r="V79" s="44"/>
      <c r="W79" s="44"/>
      <c r="X79" s="110"/>
      <c r="Y79" s="110"/>
      <c r="Z79" s="111"/>
    </row>
    <row r="80" spans="1:26" s="45" customFormat="1">
      <c r="A80" s="127">
        <v>230</v>
      </c>
      <c r="B80" s="124" t="s">
        <v>84</v>
      </c>
      <c r="C80" s="408">
        <v>2216</v>
      </c>
      <c r="D80" s="412">
        <v>1.0844166666666666</v>
      </c>
      <c r="E80" s="420">
        <v>0</v>
      </c>
      <c r="F80" s="155">
        <v>0</v>
      </c>
      <c r="G80" s="419">
        <v>0</v>
      </c>
      <c r="H80" s="269">
        <v>701</v>
      </c>
      <c r="I80" s="15">
        <v>858</v>
      </c>
      <c r="J80" s="331">
        <v>0.81701631701631705</v>
      </c>
      <c r="K80" s="427">
        <v>0.81736102487356699</v>
      </c>
      <c r="L80" s="434">
        <v>0.66884469400000002</v>
      </c>
      <c r="M80" s="14">
        <f>Lisäosat[[#This Row],[HYTE-kerroin (sis. Kulttuurihyte)]]*Lisäosat[[#This Row],[Asukasmäärä 31.12.2023]]</f>
        <v>1482.1598419040001</v>
      </c>
      <c r="N80" s="427">
        <f>Lisäosat[[#This Row],[HYTE-kerroin (sis. Kulttuurihyte)]]/$N$7</f>
        <v>0.99031518298924281</v>
      </c>
      <c r="O80" s="439">
        <v>0</v>
      </c>
      <c r="P80" s="197">
        <v>232604.90252999996</v>
      </c>
      <c r="Q80" s="159">
        <v>0</v>
      </c>
      <c r="R80" s="159">
        <v>24470.28514042883</v>
      </c>
      <c r="S80" s="159">
        <v>43693.260449987865</v>
      </c>
      <c r="T80" s="159">
        <v>0</v>
      </c>
      <c r="U80" s="309">
        <f t="shared" si="2"/>
        <v>300768.44812041667</v>
      </c>
      <c r="V80" s="44"/>
      <c r="W80" s="44"/>
      <c r="X80" s="110"/>
      <c r="Y80" s="110"/>
      <c r="Z80" s="111"/>
    </row>
    <row r="81" spans="1:26" s="45" customFormat="1">
      <c r="A81" s="127">
        <v>231</v>
      </c>
      <c r="B81" s="124" t="s">
        <v>85</v>
      </c>
      <c r="C81" s="408">
        <v>1208</v>
      </c>
      <c r="D81" s="412">
        <v>0.82343333333333335</v>
      </c>
      <c r="E81" s="420">
        <v>0</v>
      </c>
      <c r="F81" s="155">
        <v>0</v>
      </c>
      <c r="G81" s="419">
        <v>0</v>
      </c>
      <c r="H81" s="269">
        <v>435</v>
      </c>
      <c r="I81" s="15">
        <v>439</v>
      </c>
      <c r="J81" s="331">
        <v>0.99088838268792712</v>
      </c>
      <c r="K81" s="427">
        <v>0.99130644901543652</v>
      </c>
      <c r="L81" s="434">
        <v>0.43811736899999998</v>
      </c>
      <c r="M81" s="14">
        <f>Lisäosat[[#This Row],[HYTE-kerroin (sis. Kulttuurihyte)]]*Lisäosat[[#This Row],[Asukasmäärä 31.12.2023]]</f>
        <v>529.24578175199997</v>
      </c>
      <c r="N81" s="427">
        <f>Lisäosat[[#This Row],[HYTE-kerroin (sis. Kulttuurihyte)]]/$N$7</f>
        <v>0.64869211992582632</v>
      </c>
      <c r="O81" s="439">
        <v>0</v>
      </c>
      <c r="P81" s="197">
        <v>64188.472824000004</v>
      </c>
      <c r="Q81" s="159">
        <v>0</v>
      </c>
      <c r="R81" s="159">
        <v>16178.200552447845</v>
      </c>
      <c r="S81" s="159">
        <v>15601.875810129628</v>
      </c>
      <c r="T81" s="159">
        <v>0</v>
      </c>
      <c r="U81" s="309">
        <f t="shared" si="2"/>
        <v>95968.549186577467</v>
      </c>
      <c r="V81" s="44"/>
      <c r="W81" s="44"/>
      <c r="X81" s="110"/>
      <c r="Y81" s="110"/>
      <c r="Z81" s="111"/>
    </row>
    <row r="82" spans="1:26" s="45" customFormat="1">
      <c r="A82" s="127">
        <v>232</v>
      </c>
      <c r="B82" s="124" t="s">
        <v>86</v>
      </c>
      <c r="C82" s="408">
        <v>12618</v>
      </c>
      <c r="D82" s="412">
        <v>9.5499999999999995E-3</v>
      </c>
      <c r="E82" s="420">
        <v>0</v>
      </c>
      <c r="F82" s="155">
        <v>0</v>
      </c>
      <c r="G82" s="419">
        <v>0</v>
      </c>
      <c r="H82" s="269">
        <v>5178</v>
      </c>
      <c r="I82" s="15">
        <v>5019</v>
      </c>
      <c r="J82" s="331">
        <v>1.031679617453676</v>
      </c>
      <c r="K82" s="427">
        <v>1.0321148940361555</v>
      </c>
      <c r="L82" s="434">
        <v>0.72806939199999998</v>
      </c>
      <c r="M82" s="14">
        <f>Lisäosat[[#This Row],[HYTE-kerroin (sis. Kulttuurihyte)]]*Lisäosat[[#This Row],[Asukasmäärä 31.12.2023]]</f>
        <v>9186.7795882560004</v>
      </c>
      <c r="N82" s="427">
        <f>Lisäosat[[#This Row],[HYTE-kerroin (sis. Kulttuurihyte)]]/$N$7</f>
        <v>1.0780053720024678</v>
      </c>
      <c r="O82" s="439">
        <v>0</v>
      </c>
      <c r="P82" s="197">
        <v>7775.987607</v>
      </c>
      <c r="Q82" s="159">
        <v>0</v>
      </c>
      <c r="R82" s="159">
        <v>175943.77965213032</v>
      </c>
      <c r="S82" s="159">
        <v>270821.23121798935</v>
      </c>
      <c r="T82" s="159">
        <v>0</v>
      </c>
      <c r="U82" s="309">
        <f t="shared" si="2"/>
        <v>454540.99847711966</v>
      </c>
      <c r="V82" s="44"/>
      <c r="W82" s="44"/>
      <c r="X82" s="110"/>
      <c r="Y82" s="110"/>
      <c r="Z82" s="111"/>
    </row>
    <row r="83" spans="1:26" s="45" customFormat="1">
      <c r="A83" s="127">
        <v>233</v>
      </c>
      <c r="B83" s="124" t="s">
        <v>87</v>
      </c>
      <c r="C83" s="408">
        <v>15165</v>
      </c>
      <c r="D83" s="412">
        <v>0</v>
      </c>
      <c r="E83" s="420">
        <v>0</v>
      </c>
      <c r="F83" s="155">
        <v>0</v>
      </c>
      <c r="G83" s="419">
        <v>0</v>
      </c>
      <c r="H83" s="269">
        <v>6106</v>
      </c>
      <c r="I83" s="15">
        <v>6040</v>
      </c>
      <c r="J83" s="331">
        <v>1.0109271523178809</v>
      </c>
      <c r="K83" s="427">
        <v>1.0113536732150203</v>
      </c>
      <c r="L83" s="434">
        <v>0.51321210799999994</v>
      </c>
      <c r="M83" s="14">
        <f>Lisäosat[[#This Row],[HYTE-kerroin (sis. Kulttuurihyte)]]*Lisäosat[[#This Row],[Asukasmäärä 31.12.2023]]</f>
        <v>7782.8616178199991</v>
      </c>
      <c r="N83" s="427">
        <f>Lisäosat[[#This Row],[HYTE-kerroin (sis. Kulttuurihyte)]]/$N$7</f>
        <v>0.75988005467576447</v>
      </c>
      <c r="O83" s="439">
        <v>0</v>
      </c>
      <c r="P83" s="197">
        <v>0</v>
      </c>
      <c r="Q83" s="159">
        <v>0</v>
      </c>
      <c r="R83" s="159">
        <v>207205.28091767113</v>
      </c>
      <c r="S83" s="159">
        <v>229434.49829053512</v>
      </c>
      <c r="T83" s="159">
        <v>0</v>
      </c>
      <c r="U83" s="309">
        <f t="shared" si="2"/>
        <v>436639.77920820622</v>
      </c>
      <c r="V83" s="44"/>
      <c r="W83" s="44"/>
      <c r="X83" s="110"/>
      <c r="Y83" s="110"/>
      <c r="Z83" s="111"/>
    </row>
    <row r="84" spans="1:26" s="45" customFormat="1">
      <c r="A84" s="127">
        <v>235</v>
      </c>
      <c r="B84" s="124" t="s">
        <v>88</v>
      </c>
      <c r="C84" s="408">
        <v>10270</v>
      </c>
      <c r="D84" s="412">
        <v>0</v>
      </c>
      <c r="E84" s="420">
        <v>0</v>
      </c>
      <c r="F84" s="155">
        <v>3</v>
      </c>
      <c r="G84" s="419">
        <v>2.9211295034079843E-4</v>
      </c>
      <c r="H84" s="269">
        <v>2443</v>
      </c>
      <c r="I84" s="15">
        <v>4460</v>
      </c>
      <c r="J84" s="331">
        <v>0.54775784753363232</v>
      </c>
      <c r="K84" s="427">
        <v>0.54798895238427314</v>
      </c>
      <c r="L84" s="434">
        <v>0.69633479700000001</v>
      </c>
      <c r="M84" s="14">
        <f>Lisäosat[[#This Row],[HYTE-kerroin (sis. Kulttuurihyte)]]*Lisäosat[[#This Row],[Asukasmäärä 31.12.2023]]</f>
        <v>7151.3583651899999</v>
      </c>
      <c r="N84" s="427">
        <f>Lisäosat[[#This Row],[HYTE-kerroin (sis. Kulttuurihyte)]]/$N$7</f>
        <v>1.0310180047759072</v>
      </c>
      <c r="O84" s="439">
        <v>0.30946779800150592</v>
      </c>
      <c r="P84" s="197">
        <v>0</v>
      </c>
      <c r="Q84" s="159">
        <v>0</v>
      </c>
      <c r="R84" s="159">
        <v>76032.20676872741</v>
      </c>
      <c r="S84" s="159">
        <v>210818.12823915697</v>
      </c>
      <c r="T84" s="159">
        <v>33562.154054620922</v>
      </c>
      <c r="U84" s="309">
        <f t="shared" si="2"/>
        <v>320412.48906250531</v>
      </c>
      <c r="V84" s="44"/>
      <c r="W84" s="44"/>
      <c r="X84" s="110"/>
      <c r="Y84" s="110"/>
      <c r="Z84" s="111"/>
    </row>
    <row r="85" spans="1:26" s="45" customFormat="1">
      <c r="A85" s="127">
        <v>236</v>
      </c>
      <c r="B85" s="124" t="s">
        <v>89</v>
      </c>
      <c r="C85" s="408">
        <v>4137</v>
      </c>
      <c r="D85" s="412">
        <v>0.37173333333333336</v>
      </c>
      <c r="E85" s="420">
        <v>0</v>
      </c>
      <c r="F85" s="155">
        <v>1</v>
      </c>
      <c r="G85" s="419">
        <v>2.4172105390379503E-4</v>
      </c>
      <c r="H85" s="269">
        <v>1553</v>
      </c>
      <c r="I85" s="15">
        <v>1788</v>
      </c>
      <c r="J85" s="331">
        <v>0.86856823266219241</v>
      </c>
      <c r="K85" s="427">
        <v>0.86893469081990671</v>
      </c>
      <c r="L85" s="434">
        <v>0.39181088200000003</v>
      </c>
      <c r="M85" s="14">
        <f>Lisäosat[[#This Row],[HYTE-kerroin (sis. Kulttuurihyte)]]*Lisäosat[[#This Row],[Asukasmäärä 31.12.2023]]</f>
        <v>1620.9216188340001</v>
      </c>
      <c r="N85" s="427">
        <f>Lisäosat[[#This Row],[HYTE-kerroin (sis. Kulttuurihyte)]]/$N$7</f>
        <v>0.5801290924272573</v>
      </c>
      <c r="O85" s="439">
        <v>0</v>
      </c>
      <c r="P85" s="197">
        <v>99238.157424000005</v>
      </c>
      <c r="Q85" s="159">
        <v>0</v>
      </c>
      <c r="R85" s="159">
        <v>48565.515843105597</v>
      </c>
      <c r="S85" s="159">
        <v>47783.881642447828</v>
      </c>
      <c r="T85" s="159">
        <v>0</v>
      </c>
      <c r="U85" s="309">
        <f t="shared" si="2"/>
        <v>195587.55490955344</v>
      </c>
      <c r="V85" s="44"/>
      <c r="W85" s="44"/>
      <c r="X85" s="110"/>
      <c r="Y85" s="110"/>
      <c r="Z85" s="111"/>
    </row>
    <row r="86" spans="1:26" s="45" customFormat="1">
      <c r="A86" s="127">
        <v>239</v>
      </c>
      <c r="B86" s="124" t="s">
        <v>90</v>
      </c>
      <c r="C86" s="408">
        <v>2035</v>
      </c>
      <c r="D86" s="412">
        <v>1.5529000000000002</v>
      </c>
      <c r="E86" s="420">
        <v>0</v>
      </c>
      <c r="F86" s="155">
        <v>0</v>
      </c>
      <c r="G86" s="419">
        <v>0</v>
      </c>
      <c r="H86" s="269">
        <v>938</v>
      </c>
      <c r="I86" s="15">
        <v>708</v>
      </c>
      <c r="J86" s="331">
        <v>1.3248587570621468</v>
      </c>
      <c r="K86" s="427">
        <v>1.3254177290358933</v>
      </c>
      <c r="L86" s="434">
        <v>0.644291999</v>
      </c>
      <c r="M86" s="14">
        <f>Lisäosat[[#This Row],[HYTE-kerroin (sis. Kulttuurihyte)]]*Lisäosat[[#This Row],[Asukasmäärä 31.12.2023]]</f>
        <v>1311.1342179650001</v>
      </c>
      <c r="N86" s="427">
        <f>Lisäosat[[#This Row],[HYTE-kerroin (sis. Kulttuurihyte)]]/$N$7</f>
        <v>0.95396159169977657</v>
      </c>
      <c r="O86" s="439">
        <v>0</v>
      </c>
      <c r="P86" s="197">
        <v>611773.72888500011</v>
      </c>
      <c r="Q86" s="159">
        <v>0</v>
      </c>
      <c r="R86" s="159">
        <v>36439.51081172446</v>
      </c>
      <c r="S86" s="159">
        <v>38651.518716661092</v>
      </c>
      <c r="T86" s="159">
        <v>0</v>
      </c>
      <c r="U86" s="309">
        <f t="shared" si="2"/>
        <v>686864.75841338572</v>
      </c>
      <c r="V86" s="44"/>
      <c r="W86" s="44"/>
      <c r="X86" s="110"/>
      <c r="Y86" s="110"/>
      <c r="Z86" s="111"/>
    </row>
    <row r="87" spans="1:26" s="45" customFormat="1">
      <c r="A87" s="127">
        <v>240</v>
      </c>
      <c r="B87" s="124" t="s">
        <v>91</v>
      </c>
      <c r="C87" s="408">
        <v>19371</v>
      </c>
      <c r="D87" s="412">
        <v>0.11808333333333333</v>
      </c>
      <c r="E87" s="420">
        <v>0</v>
      </c>
      <c r="F87" s="155">
        <v>5</v>
      </c>
      <c r="G87" s="419">
        <v>2.5811780496618657E-4</v>
      </c>
      <c r="H87" s="269">
        <v>8065</v>
      </c>
      <c r="I87" s="15">
        <v>6773</v>
      </c>
      <c r="J87" s="331">
        <v>1.1907574191643289</v>
      </c>
      <c r="K87" s="427">
        <v>1.1912598123600531</v>
      </c>
      <c r="L87" s="434">
        <v>0.506430881</v>
      </c>
      <c r="M87" s="14">
        <f>Lisäosat[[#This Row],[HYTE-kerroin (sis. Kulttuurihyte)]]*Lisäosat[[#This Row],[Asukasmäärä 31.12.2023]]</f>
        <v>9810.0725958509993</v>
      </c>
      <c r="N87" s="427">
        <f>Lisäosat[[#This Row],[HYTE-kerroin (sis. Kulttuurihyte)]]/$N$7</f>
        <v>0.74983952939741561</v>
      </c>
      <c r="O87" s="439">
        <v>0</v>
      </c>
      <c r="P87" s="197">
        <v>147605.42189249999</v>
      </c>
      <c r="Q87" s="159">
        <v>0</v>
      </c>
      <c r="R87" s="159">
        <v>311755.32557881117</v>
      </c>
      <c r="S87" s="159">
        <v>289195.56774199061</v>
      </c>
      <c r="T87" s="159">
        <v>0</v>
      </c>
      <c r="U87" s="309">
        <f t="shared" si="2"/>
        <v>748556.31521330168</v>
      </c>
      <c r="V87" s="44"/>
      <c r="W87" s="44"/>
      <c r="X87" s="110"/>
      <c r="Y87" s="110"/>
      <c r="Z87" s="111"/>
    </row>
    <row r="88" spans="1:26" s="45" customFormat="1">
      <c r="A88" s="127">
        <v>241</v>
      </c>
      <c r="B88" s="124" t="s">
        <v>92</v>
      </c>
      <c r="C88" s="408">
        <v>7691</v>
      </c>
      <c r="D88" s="412">
        <v>9.1749999999999998E-2</v>
      </c>
      <c r="E88" s="420">
        <v>0</v>
      </c>
      <c r="F88" s="155">
        <v>1</v>
      </c>
      <c r="G88" s="419">
        <v>1.300221037576388E-4</v>
      </c>
      <c r="H88" s="269">
        <v>2687</v>
      </c>
      <c r="I88" s="15">
        <v>3191</v>
      </c>
      <c r="J88" s="331">
        <v>0.84205578188655594</v>
      </c>
      <c r="K88" s="427">
        <v>0.84241105415984308</v>
      </c>
      <c r="L88" s="434">
        <v>0.663147292</v>
      </c>
      <c r="M88" s="14">
        <f>Lisäosat[[#This Row],[HYTE-kerroin (sis. Kulttuurihyte)]]*Lisäosat[[#This Row],[Asukasmäärä 31.12.2023]]</f>
        <v>5100.2658227720003</v>
      </c>
      <c r="N88" s="427">
        <f>Lisäosat[[#This Row],[HYTE-kerroin (sis. Kulttuurihyte)]]/$N$7</f>
        <v>0.98187940745748192</v>
      </c>
      <c r="O88" s="439">
        <v>0</v>
      </c>
      <c r="P88" s="197">
        <v>45535.546102499997</v>
      </c>
      <c r="Q88" s="159">
        <v>0</v>
      </c>
      <c r="R88" s="159">
        <v>87531.065971010699</v>
      </c>
      <c r="S88" s="159">
        <v>150353.04334806188</v>
      </c>
      <c r="T88" s="159">
        <v>0</v>
      </c>
      <c r="U88" s="309">
        <f t="shared" si="2"/>
        <v>283419.65542157262</v>
      </c>
      <c r="V88" s="44"/>
      <c r="W88" s="44"/>
      <c r="X88" s="110"/>
      <c r="Y88" s="110"/>
      <c r="Z88" s="111"/>
    </row>
    <row r="89" spans="1:26" s="45" customFormat="1">
      <c r="A89" s="127">
        <v>244</v>
      </c>
      <c r="B89" s="124" t="s">
        <v>93</v>
      </c>
      <c r="C89" s="408">
        <v>19514</v>
      </c>
      <c r="D89" s="412">
        <v>0</v>
      </c>
      <c r="E89" s="420">
        <v>0</v>
      </c>
      <c r="F89" s="155">
        <v>13</v>
      </c>
      <c r="G89" s="419">
        <v>6.6618837757507435E-4</v>
      </c>
      <c r="H89" s="269">
        <v>7128</v>
      </c>
      <c r="I89" s="15">
        <v>8538</v>
      </c>
      <c r="J89" s="331">
        <v>0.83485593815881942</v>
      </c>
      <c r="K89" s="427">
        <v>0.8352081727416073</v>
      </c>
      <c r="L89" s="434">
        <v>0.72773618500000004</v>
      </c>
      <c r="M89" s="14">
        <f>Lisäosat[[#This Row],[HYTE-kerroin (sis. Kulttuurihyte)]]*Lisäosat[[#This Row],[Asukasmäärä 31.12.2023]]</f>
        <v>14201.04391409</v>
      </c>
      <c r="N89" s="427">
        <f>Lisäosat[[#This Row],[HYTE-kerroin (sis. Kulttuurihyte)]]/$N$7</f>
        <v>1.077512013896859</v>
      </c>
      <c r="O89" s="439">
        <v>1.2579475489970109</v>
      </c>
      <c r="P89" s="197">
        <v>0</v>
      </c>
      <c r="Q89" s="159">
        <v>0</v>
      </c>
      <c r="R89" s="159">
        <v>220189.38834170508</v>
      </c>
      <c r="S89" s="159">
        <v>418638.99753413961</v>
      </c>
      <c r="T89" s="159">
        <v>259222.53425510821</v>
      </c>
      <c r="U89" s="309">
        <f t="shared" si="2"/>
        <v>898050.92013095284</v>
      </c>
      <c r="V89" s="44"/>
      <c r="W89" s="44"/>
      <c r="X89" s="110"/>
      <c r="Y89" s="110"/>
      <c r="Z89" s="111"/>
    </row>
    <row r="90" spans="1:26" s="45" customFormat="1">
      <c r="A90" s="127">
        <v>245</v>
      </c>
      <c r="B90" s="124" t="s">
        <v>94</v>
      </c>
      <c r="C90" s="408">
        <v>38211</v>
      </c>
      <c r="D90" s="412">
        <v>0</v>
      </c>
      <c r="E90" s="420">
        <v>0</v>
      </c>
      <c r="F90" s="155">
        <v>0</v>
      </c>
      <c r="G90" s="419">
        <v>0</v>
      </c>
      <c r="H90" s="269">
        <v>12419</v>
      </c>
      <c r="I90" s="15">
        <v>17431</v>
      </c>
      <c r="J90" s="331">
        <v>0.71246629568011011</v>
      </c>
      <c r="K90" s="427">
        <v>0.71276689277349936</v>
      </c>
      <c r="L90" s="434">
        <v>0.71483266300000003</v>
      </c>
      <c r="M90" s="14">
        <f>Lisäosat[[#This Row],[HYTE-kerroin (sis. Kulttuurihyte)]]*Lisäosat[[#This Row],[Asukasmäärä 31.12.2023]]</f>
        <v>27314.470885893003</v>
      </c>
      <c r="N90" s="427">
        <f>Lisäosat[[#This Row],[HYTE-kerroin (sis. Kulttuurihyte)]]/$N$7</f>
        <v>1.0584066014367346</v>
      </c>
      <c r="O90" s="439">
        <v>0.98493220520396996</v>
      </c>
      <c r="P90" s="197">
        <v>0</v>
      </c>
      <c r="Q90" s="159">
        <v>0</v>
      </c>
      <c r="R90" s="159">
        <v>367952.08784426813</v>
      </c>
      <c r="S90" s="159">
        <v>805215.64323170634</v>
      </c>
      <c r="T90" s="159">
        <v>397428.1818465963</v>
      </c>
      <c r="U90" s="309">
        <f t="shared" si="2"/>
        <v>1570595.9129225707</v>
      </c>
      <c r="V90" s="44"/>
      <c r="W90" s="44"/>
      <c r="X90" s="110"/>
      <c r="Y90" s="110"/>
      <c r="Z90" s="111"/>
    </row>
    <row r="91" spans="1:26" s="45" customFormat="1">
      <c r="A91" s="127">
        <v>249</v>
      </c>
      <c r="B91" s="124" t="s">
        <v>95</v>
      </c>
      <c r="C91" s="408">
        <v>9184</v>
      </c>
      <c r="D91" s="412">
        <v>0.77045000000000008</v>
      </c>
      <c r="E91" s="420">
        <v>0</v>
      </c>
      <c r="F91" s="155">
        <v>0</v>
      </c>
      <c r="G91" s="419">
        <v>0</v>
      </c>
      <c r="H91" s="269">
        <v>3268</v>
      </c>
      <c r="I91" s="15">
        <v>3322</v>
      </c>
      <c r="J91" s="331">
        <v>0.98374473208910296</v>
      </c>
      <c r="K91" s="427">
        <v>0.98415978443459073</v>
      </c>
      <c r="L91" s="434">
        <v>0.54034090899999998</v>
      </c>
      <c r="M91" s="14">
        <f>Lisäosat[[#This Row],[HYTE-kerroin (sis. Kulttuurihyte)]]*Lisäosat[[#This Row],[Asukasmäärä 31.12.2023]]</f>
        <v>4962.4909082559998</v>
      </c>
      <c r="N91" s="427">
        <f>Lisäosat[[#This Row],[HYTE-kerroin (sis. Kulttuurihyte)]]/$N$7</f>
        <v>0.80004791990307511</v>
      </c>
      <c r="O91" s="439">
        <v>0</v>
      </c>
      <c r="P91" s="197">
        <v>456602.19998400006</v>
      </c>
      <c r="Q91" s="159">
        <v>0</v>
      </c>
      <c r="R91" s="159">
        <v>122110.45194794076</v>
      </c>
      <c r="S91" s="159">
        <v>146291.51431912175</v>
      </c>
      <c r="T91" s="159">
        <v>0</v>
      </c>
      <c r="U91" s="309">
        <f t="shared" si="2"/>
        <v>725004.16625106253</v>
      </c>
      <c r="V91" s="44"/>
      <c r="W91" s="44"/>
      <c r="X91" s="110"/>
      <c r="Y91" s="110"/>
      <c r="Z91" s="111"/>
    </row>
    <row r="92" spans="1:26" s="45" customFormat="1">
      <c r="A92" s="127">
        <v>250</v>
      </c>
      <c r="B92" s="124" t="s">
        <v>96</v>
      </c>
      <c r="C92" s="408">
        <v>1749</v>
      </c>
      <c r="D92" s="412">
        <v>1.2127166666666667</v>
      </c>
      <c r="E92" s="420">
        <v>0</v>
      </c>
      <c r="F92" s="155">
        <v>0</v>
      </c>
      <c r="G92" s="419">
        <v>0</v>
      </c>
      <c r="H92" s="269">
        <v>555</v>
      </c>
      <c r="I92" s="15">
        <v>663</v>
      </c>
      <c r="J92" s="331">
        <v>0.83710407239819007</v>
      </c>
      <c r="K92" s="427">
        <v>0.8374572554926788</v>
      </c>
      <c r="L92" s="434">
        <v>0.53513834599999999</v>
      </c>
      <c r="M92" s="14">
        <f>Lisäosat[[#This Row],[HYTE-kerroin (sis. Kulttuurihyte)]]*Lisäosat[[#This Row],[Asukasmäärä 31.12.2023]]</f>
        <v>935.95696715399993</v>
      </c>
      <c r="N92" s="427">
        <f>Lisäosat[[#This Row],[HYTE-kerroin (sis. Kulttuurihyte)]]/$N$7</f>
        <v>0.79234482055045008</v>
      </c>
      <c r="O92" s="439">
        <v>0</v>
      </c>
      <c r="P92" s="197">
        <v>205306.20715274999</v>
      </c>
      <c r="Q92" s="159">
        <v>0</v>
      </c>
      <c r="R92" s="159">
        <v>19788.269115463951</v>
      </c>
      <c r="S92" s="159">
        <v>27591.498824651899</v>
      </c>
      <c r="T92" s="159">
        <v>0</v>
      </c>
      <c r="U92" s="309">
        <f t="shared" si="2"/>
        <v>252685.97509286585</v>
      </c>
      <c r="V92" s="44"/>
      <c r="W92" s="44"/>
      <c r="X92" s="110"/>
      <c r="Y92" s="110"/>
      <c r="Z92" s="111"/>
    </row>
    <row r="93" spans="1:26" s="45" customFormat="1">
      <c r="A93" s="127">
        <v>256</v>
      </c>
      <c r="B93" s="124" t="s">
        <v>97</v>
      </c>
      <c r="C93" s="408">
        <v>1523</v>
      </c>
      <c r="D93" s="412">
        <v>1.6751833333333332</v>
      </c>
      <c r="E93" s="420">
        <v>0</v>
      </c>
      <c r="F93" s="155">
        <v>1</v>
      </c>
      <c r="G93" s="419">
        <v>6.5659881812212733E-4</v>
      </c>
      <c r="H93" s="269">
        <v>421</v>
      </c>
      <c r="I93" s="15">
        <v>502</v>
      </c>
      <c r="J93" s="331">
        <v>0.83864541832669326</v>
      </c>
      <c r="K93" s="427">
        <v>0.83899925173139145</v>
      </c>
      <c r="L93" s="434">
        <v>0.52619424800000003</v>
      </c>
      <c r="M93" s="14">
        <f>Lisäosat[[#This Row],[HYTE-kerroin (sis. Kulttuurihyte)]]*Lisäosat[[#This Row],[Asukasmäärä 31.12.2023]]</f>
        <v>801.39383970400002</v>
      </c>
      <c r="N93" s="427">
        <f>Lisäosat[[#This Row],[HYTE-kerroin (sis. Kulttuurihyte)]]/$N$7</f>
        <v>0.77910187173587275</v>
      </c>
      <c r="O93" s="439">
        <v>0</v>
      </c>
      <c r="P93" s="197">
        <v>493906.98330449994</v>
      </c>
      <c r="Q93" s="159">
        <v>0</v>
      </c>
      <c r="R93" s="159">
        <v>17263.022073827142</v>
      </c>
      <c r="S93" s="159">
        <v>23624.65151951585</v>
      </c>
      <c r="T93" s="159">
        <v>0</v>
      </c>
      <c r="U93" s="309">
        <f t="shared" si="2"/>
        <v>534794.656897843</v>
      </c>
      <c r="V93" s="44"/>
      <c r="W93" s="44"/>
      <c r="X93" s="110"/>
      <c r="Y93" s="110"/>
      <c r="Z93" s="111"/>
    </row>
    <row r="94" spans="1:26" s="45" customFormat="1">
      <c r="A94" s="127">
        <v>257</v>
      </c>
      <c r="B94" s="124" t="s">
        <v>98</v>
      </c>
      <c r="C94" s="408">
        <v>41154</v>
      </c>
      <c r="D94" s="412">
        <v>0</v>
      </c>
      <c r="E94" s="420">
        <v>0</v>
      </c>
      <c r="F94" s="155">
        <v>10</v>
      </c>
      <c r="G94" s="419">
        <v>2.4298974583272586E-4</v>
      </c>
      <c r="H94" s="269">
        <v>10998</v>
      </c>
      <c r="I94" s="15">
        <v>19696</v>
      </c>
      <c r="J94" s="331">
        <v>0.55838748984565389</v>
      </c>
      <c r="K94" s="427">
        <v>0.55862307945522593</v>
      </c>
      <c r="L94" s="434">
        <v>0.61868571000000006</v>
      </c>
      <c r="M94" s="14">
        <f>Lisäosat[[#This Row],[HYTE-kerroin (sis. Kulttuurihyte)]]*Lisäosat[[#This Row],[Asukasmäärä 31.12.2023]]</f>
        <v>25461.391709340001</v>
      </c>
      <c r="N94" s="427">
        <f>Lisäosat[[#This Row],[HYTE-kerroin (sis. Kulttuurihyte)]]/$N$7</f>
        <v>0.91604801175484785</v>
      </c>
      <c r="O94" s="439">
        <v>0.88377304236706422</v>
      </c>
      <c r="P94" s="197">
        <v>0</v>
      </c>
      <c r="Q94" s="159">
        <v>0</v>
      </c>
      <c r="R94" s="159">
        <v>310589.14760277397</v>
      </c>
      <c r="S94" s="159">
        <v>750587.88392636192</v>
      </c>
      <c r="T94" s="159">
        <v>384075.60349566315</v>
      </c>
      <c r="U94" s="309">
        <f t="shared" si="2"/>
        <v>1445252.635024799</v>
      </c>
      <c r="V94" s="44"/>
      <c r="W94" s="44"/>
      <c r="X94" s="110"/>
      <c r="Y94" s="110"/>
      <c r="Z94" s="111"/>
    </row>
    <row r="95" spans="1:26" s="45" customFormat="1">
      <c r="A95" s="127">
        <v>260</v>
      </c>
      <c r="B95" s="124" t="s">
        <v>99</v>
      </c>
      <c r="C95" s="408">
        <v>9689</v>
      </c>
      <c r="D95" s="412">
        <v>1.2096</v>
      </c>
      <c r="E95" s="420">
        <v>0</v>
      </c>
      <c r="F95" s="155">
        <v>1</v>
      </c>
      <c r="G95" s="419">
        <v>1.0320982557539478E-4</v>
      </c>
      <c r="H95" s="269">
        <v>3135</v>
      </c>
      <c r="I95" s="15">
        <v>3141</v>
      </c>
      <c r="J95" s="331">
        <v>0.99808978032473739</v>
      </c>
      <c r="K95" s="427">
        <v>0.99851088499835672</v>
      </c>
      <c r="L95" s="434">
        <v>0.72514546800000002</v>
      </c>
      <c r="M95" s="14">
        <f>Lisäosat[[#This Row],[HYTE-kerroin (sis. Kulttuurihyte)]]*Lisäosat[[#This Row],[Asukasmäärä 31.12.2023]]</f>
        <v>7025.9344394520003</v>
      </c>
      <c r="N95" s="427">
        <f>Lisäosat[[#This Row],[HYTE-kerroin (sis. Kulttuurihyte)]]/$N$7</f>
        <v>1.0736761063940505</v>
      </c>
      <c r="O95" s="439">
        <v>0</v>
      </c>
      <c r="P95" s="197">
        <v>1134419.4348479998</v>
      </c>
      <c r="Q95" s="159">
        <v>0</v>
      </c>
      <c r="R95" s="159">
        <v>130703.46724376005</v>
      </c>
      <c r="S95" s="159">
        <v>207120.69959550243</v>
      </c>
      <c r="T95" s="159">
        <v>0</v>
      </c>
      <c r="U95" s="309">
        <f t="shared" si="2"/>
        <v>1472243.6016872623</v>
      </c>
      <c r="V95" s="44"/>
      <c r="W95" s="44"/>
      <c r="X95" s="110"/>
      <c r="Y95" s="110"/>
      <c r="Z95" s="111"/>
    </row>
    <row r="96" spans="1:26" s="45" customFormat="1">
      <c r="A96" s="127">
        <v>261</v>
      </c>
      <c r="B96" s="124" t="s">
        <v>100</v>
      </c>
      <c r="C96" s="408">
        <v>6822</v>
      </c>
      <c r="D96" s="412">
        <v>1.62395</v>
      </c>
      <c r="E96" s="420">
        <v>0</v>
      </c>
      <c r="F96" s="155">
        <v>25</v>
      </c>
      <c r="G96" s="419">
        <v>3.664614482556435E-3</v>
      </c>
      <c r="H96" s="269">
        <v>3776</v>
      </c>
      <c r="I96" s="15">
        <v>3330</v>
      </c>
      <c r="J96" s="331">
        <v>1.1339339339339338</v>
      </c>
      <c r="K96" s="427">
        <v>1.1344123526980252</v>
      </c>
      <c r="L96" s="434">
        <v>0.59211830300000001</v>
      </c>
      <c r="M96" s="14">
        <f>Lisäosat[[#This Row],[HYTE-kerroin (sis. Kulttuurihyte)]]*Lisäosat[[#This Row],[Asukasmäärä 31.12.2023]]</f>
        <v>4039.4310630660002</v>
      </c>
      <c r="N96" s="427">
        <f>Lisäosat[[#This Row],[HYTE-kerroin (sis. Kulttuurihyte)]]/$N$7</f>
        <v>0.87671136640088965</v>
      </c>
      <c r="O96" s="439">
        <v>1.9622791175790317</v>
      </c>
      <c r="P96" s="197">
        <v>2144703.6379710003</v>
      </c>
      <c r="Q96" s="159">
        <v>0</v>
      </c>
      <c r="R96" s="159">
        <v>104553.36405713108</v>
      </c>
      <c r="S96" s="159">
        <v>119080.21558699456</v>
      </c>
      <c r="T96" s="159">
        <v>141363.21555971107</v>
      </c>
      <c r="U96" s="309">
        <f t="shared" si="2"/>
        <v>2509700.4331748374</v>
      </c>
      <c r="V96" s="44"/>
      <c r="W96" s="44"/>
      <c r="X96" s="110"/>
      <c r="Y96" s="110"/>
      <c r="Z96" s="111"/>
    </row>
    <row r="97" spans="1:26" s="45" customFormat="1">
      <c r="A97" s="127">
        <v>263</v>
      </c>
      <c r="B97" s="124" t="s">
        <v>101</v>
      </c>
      <c r="C97" s="408">
        <v>7475</v>
      </c>
      <c r="D97" s="412">
        <v>0.83309999999999995</v>
      </c>
      <c r="E97" s="420">
        <v>0</v>
      </c>
      <c r="F97" s="155">
        <v>0</v>
      </c>
      <c r="G97" s="419">
        <v>0</v>
      </c>
      <c r="H97" s="269">
        <v>2280</v>
      </c>
      <c r="I97" s="15">
        <v>2778</v>
      </c>
      <c r="J97" s="331">
        <v>0.82073434125269984</v>
      </c>
      <c r="K97" s="427">
        <v>0.82108061778384411</v>
      </c>
      <c r="L97" s="434">
        <v>0.56732544799999995</v>
      </c>
      <c r="M97" s="14">
        <f>Lisäosat[[#This Row],[HYTE-kerroin (sis. Kulttuurihyte)]]*Lisäosat[[#This Row],[Asukasmäärä 31.12.2023]]</f>
        <v>4240.7577237999994</v>
      </c>
      <c r="N97" s="427">
        <f>Lisäosat[[#This Row],[HYTE-kerroin (sis. Kulttuurihyte)]]/$N$7</f>
        <v>0.84000218569510565</v>
      </c>
      <c r="O97" s="439">
        <v>0</v>
      </c>
      <c r="P97" s="197">
        <v>401855.57392499998</v>
      </c>
      <c r="Q97" s="159">
        <v>0</v>
      </c>
      <c r="R97" s="159">
        <v>82918.673618291505</v>
      </c>
      <c r="S97" s="159">
        <v>125015.21529099191</v>
      </c>
      <c r="T97" s="159">
        <v>0</v>
      </c>
      <c r="U97" s="309">
        <f t="shared" si="2"/>
        <v>609789.46283428336</v>
      </c>
      <c r="V97" s="44"/>
      <c r="W97" s="44"/>
      <c r="X97" s="110"/>
      <c r="Y97" s="110"/>
      <c r="Z97" s="111"/>
    </row>
    <row r="98" spans="1:26" s="45" customFormat="1">
      <c r="A98" s="127">
        <v>265</v>
      </c>
      <c r="B98" s="124" t="s">
        <v>102</v>
      </c>
      <c r="C98" s="408">
        <v>1035</v>
      </c>
      <c r="D98" s="412">
        <v>1.7096</v>
      </c>
      <c r="E98" s="420">
        <v>0</v>
      </c>
      <c r="F98" s="155">
        <v>0</v>
      </c>
      <c r="G98" s="419">
        <v>0</v>
      </c>
      <c r="H98" s="269">
        <v>227</v>
      </c>
      <c r="I98" s="15">
        <v>341</v>
      </c>
      <c r="J98" s="331">
        <v>0.66568914956011727</v>
      </c>
      <c r="K98" s="427">
        <v>0.66597001087899199</v>
      </c>
      <c r="L98" s="434">
        <v>0.57473148900000004</v>
      </c>
      <c r="M98" s="14">
        <f>Lisäosat[[#This Row],[HYTE-kerroin (sis. Kulttuurihyte)]]*Lisäosat[[#This Row],[Asukasmäärä 31.12.2023]]</f>
        <v>594.84709111500001</v>
      </c>
      <c r="N98" s="427">
        <f>Lisäosat[[#This Row],[HYTE-kerroin (sis. Kulttuurihyte)]]/$N$7</f>
        <v>0.85096783274880106</v>
      </c>
      <c r="O98" s="439">
        <v>0</v>
      </c>
      <c r="P98" s="197">
        <v>342545.11524000001</v>
      </c>
      <c r="Q98" s="159">
        <v>0</v>
      </c>
      <c r="R98" s="159">
        <v>9312.1587666193118</v>
      </c>
      <c r="S98" s="159">
        <v>17535.766484279629</v>
      </c>
      <c r="T98" s="159">
        <v>0</v>
      </c>
      <c r="U98" s="309">
        <f t="shared" si="2"/>
        <v>369393.040490899</v>
      </c>
      <c r="V98" s="44"/>
      <c r="W98" s="44"/>
      <c r="X98" s="110"/>
      <c r="Y98" s="110"/>
      <c r="Z98" s="111"/>
    </row>
    <row r="99" spans="1:26" s="45" customFormat="1">
      <c r="A99" s="127">
        <v>271</v>
      </c>
      <c r="B99" s="124" t="s">
        <v>103</v>
      </c>
      <c r="C99" s="408">
        <v>6766</v>
      </c>
      <c r="D99" s="412">
        <v>0</v>
      </c>
      <c r="E99" s="420">
        <v>0</v>
      </c>
      <c r="F99" s="155">
        <v>0</v>
      </c>
      <c r="G99" s="419">
        <v>0</v>
      </c>
      <c r="H99" s="269">
        <v>2260</v>
      </c>
      <c r="I99" s="15">
        <v>2688</v>
      </c>
      <c r="J99" s="331">
        <v>0.84077380952380953</v>
      </c>
      <c r="K99" s="427">
        <v>0.84112854091934797</v>
      </c>
      <c r="L99" s="434">
        <v>0.71203961800000004</v>
      </c>
      <c r="M99" s="14">
        <f>Lisäosat[[#This Row],[HYTE-kerroin (sis. Kulttuurihyte)]]*Lisäosat[[#This Row],[Asukasmäärä 31.12.2023]]</f>
        <v>4817.6600553880007</v>
      </c>
      <c r="N99" s="427">
        <f>Lisäosat[[#This Row],[HYTE-kerroin (sis. Kulttuurihyte)]]/$N$7</f>
        <v>1.0542711199189996</v>
      </c>
      <c r="O99" s="439">
        <v>0</v>
      </c>
      <c r="P99" s="197">
        <v>0</v>
      </c>
      <c r="Q99" s="159">
        <v>0</v>
      </c>
      <c r="R99" s="159">
        <v>76886.432813192761</v>
      </c>
      <c r="S99" s="159">
        <v>142021.98009167553</v>
      </c>
      <c r="T99" s="159">
        <v>0</v>
      </c>
      <c r="U99" s="309">
        <f t="shared" si="2"/>
        <v>218908.41290486831</v>
      </c>
      <c r="V99" s="44"/>
      <c r="W99" s="44"/>
      <c r="X99" s="110"/>
      <c r="Y99" s="110"/>
      <c r="Z99" s="111"/>
    </row>
    <row r="100" spans="1:26" s="45" customFormat="1">
      <c r="A100" s="127">
        <v>272</v>
      </c>
      <c r="B100" s="124" t="s">
        <v>104</v>
      </c>
      <c r="C100" s="408">
        <v>48295</v>
      </c>
      <c r="D100" s="412">
        <v>0</v>
      </c>
      <c r="E100" s="420">
        <v>0</v>
      </c>
      <c r="F100" s="155">
        <v>0</v>
      </c>
      <c r="G100" s="419">
        <v>0</v>
      </c>
      <c r="H100" s="269">
        <v>21454</v>
      </c>
      <c r="I100" s="15">
        <v>20335</v>
      </c>
      <c r="J100" s="331">
        <v>1.0550282763707892</v>
      </c>
      <c r="K100" s="427">
        <v>1.0554734040003255</v>
      </c>
      <c r="L100" s="434">
        <v>0.69126535300000003</v>
      </c>
      <c r="M100" s="14">
        <f>Lisäosat[[#This Row],[HYTE-kerroin (sis. Kulttuurihyte)]]*Lisäosat[[#This Row],[Asukasmäärä 31.12.2023]]</f>
        <v>33384.660223135004</v>
      </c>
      <c r="N100" s="427">
        <f>Lisäosat[[#This Row],[HYTE-kerroin (sis. Kulttuurihyte)]]/$N$7</f>
        <v>1.0235120061374345</v>
      </c>
      <c r="O100" s="439">
        <v>0.36375137532054236</v>
      </c>
      <c r="P100" s="197">
        <v>0</v>
      </c>
      <c r="Q100" s="159">
        <v>0</v>
      </c>
      <c r="R100" s="159">
        <v>688659.92950410419</v>
      </c>
      <c r="S100" s="159">
        <v>984161.50061787141</v>
      </c>
      <c r="T100" s="159">
        <v>185511.45540687509</v>
      </c>
      <c r="U100" s="309">
        <f t="shared" si="2"/>
        <v>1858332.8855288506</v>
      </c>
      <c r="V100" s="44"/>
      <c r="W100" s="44"/>
      <c r="X100" s="110"/>
      <c r="Y100" s="110"/>
      <c r="Z100" s="111"/>
    </row>
    <row r="101" spans="1:26" s="45" customFormat="1">
      <c r="A101" s="127">
        <v>273</v>
      </c>
      <c r="B101" s="124" t="s">
        <v>105</v>
      </c>
      <c r="C101" s="408">
        <v>4011</v>
      </c>
      <c r="D101" s="412">
        <v>1.8112166666666667</v>
      </c>
      <c r="E101" s="420">
        <v>0</v>
      </c>
      <c r="F101" s="155">
        <v>3</v>
      </c>
      <c r="G101" s="419">
        <v>7.4794315632011965E-4</v>
      </c>
      <c r="H101" s="269">
        <v>1671</v>
      </c>
      <c r="I101" s="15">
        <v>1779</v>
      </c>
      <c r="J101" s="331">
        <v>0.93929173693085999</v>
      </c>
      <c r="K101" s="427">
        <v>0.93968803408579615</v>
      </c>
      <c r="L101" s="434">
        <v>0.62984315700000004</v>
      </c>
      <c r="M101" s="14">
        <f>Lisäosat[[#This Row],[HYTE-kerroin (sis. Kulttuurihyte)]]*Lisäosat[[#This Row],[Asukasmäärä 31.12.2023]]</f>
        <v>2526.300902727</v>
      </c>
      <c r="N101" s="427">
        <f>Lisäosat[[#This Row],[HYTE-kerroin (sis. Kulttuurihyte)]]/$N$7</f>
        <v>0.93256812362329577</v>
      </c>
      <c r="O101" s="439">
        <v>0.72711255433363464</v>
      </c>
      <c r="P101" s="197">
        <v>1406390.7057795001</v>
      </c>
      <c r="Q101" s="159">
        <v>0</v>
      </c>
      <c r="R101" s="159">
        <v>50920.388400741911</v>
      </c>
      <c r="S101" s="159">
        <v>74473.967110114012</v>
      </c>
      <c r="T101" s="159">
        <v>30797.695689364122</v>
      </c>
      <c r="U101" s="309">
        <f t="shared" si="2"/>
        <v>1562582.75697972</v>
      </c>
      <c r="V101" s="44"/>
      <c r="W101" s="44"/>
      <c r="X101" s="110"/>
      <c r="Y101" s="110"/>
      <c r="Z101" s="111"/>
    </row>
    <row r="102" spans="1:26" s="45" customFormat="1">
      <c r="A102" s="127">
        <v>275</v>
      </c>
      <c r="B102" s="124" t="s">
        <v>106</v>
      </c>
      <c r="C102" s="408">
        <v>2499</v>
      </c>
      <c r="D102" s="412">
        <v>0.98441666666666672</v>
      </c>
      <c r="E102" s="420">
        <v>0</v>
      </c>
      <c r="F102" s="155">
        <v>0</v>
      </c>
      <c r="G102" s="419">
        <v>0</v>
      </c>
      <c r="H102" s="269">
        <v>772</v>
      </c>
      <c r="I102" s="15">
        <v>947</v>
      </c>
      <c r="J102" s="331">
        <v>0.81520591341077087</v>
      </c>
      <c r="K102" s="427">
        <v>0.81554985743952113</v>
      </c>
      <c r="L102" s="434">
        <v>0.65846415000000003</v>
      </c>
      <c r="M102" s="14">
        <f>Lisäosat[[#This Row],[HYTE-kerroin (sis. Kulttuurihyte)]]*Lisäosat[[#This Row],[Asukasmäärä 31.12.2023]]</f>
        <v>1645.5019108500001</v>
      </c>
      <c r="N102" s="427">
        <f>Lisäosat[[#This Row],[HYTE-kerroin (sis. Kulttuurihyte)]]/$N$7</f>
        <v>0.97494538126530494</v>
      </c>
      <c r="O102" s="439">
        <v>0</v>
      </c>
      <c r="P102" s="197">
        <v>158747.49434250002</v>
      </c>
      <c r="Q102" s="159">
        <v>0</v>
      </c>
      <c r="R102" s="159">
        <v>27534.178356445816</v>
      </c>
      <c r="S102" s="159">
        <v>48508.49518993956</v>
      </c>
      <c r="T102" s="159">
        <v>0</v>
      </c>
      <c r="U102" s="309">
        <f t="shared" si="2"/>
        <v>234790.16788888542</v>
      </c>
      <c r="V102" s="44"/>
      <c r="W102" s="44"/>
      <c r="X102" s="110"/>
      <c r="Y102" s="110"/>
      <c r="Z102" s="111"/>
    </row>
    <row r="103" spans="1:26" s="45" customFormat="1">
      <c r="A103" s="127">
        <v>276</v>
      </c>
      <c r="B103" s="124" t="s">
        <v>107</v>
      </c>
      <c r="C103" s="408">
        <v>15136</v>
      </c>
      <c r="D103" s="412">
        <v>0</v>
      </c>
      <c r="E103" s="420">
        <v>0</v>
      </c>
      <c r="F103" s="155">
        <v>1</v>
      </c>
      <c r="G103" s="419">
        <v>6.6067653276955605E-5</v>
      </c>
      <c r="H103" s="269">
        <v>3948</v>
      </c>
      <c r="I103" s="15">
        <v>6751</v>
      </c>
      <c r="J103" s="331">
        <v>0.58480225151829357</v>
      </c>
      <c r="K103" s="427">
        <v>0.58504898579622333</v>
      </c>
      <c r="L103" s="434">
        <v>0.62819614000000001</v>
      </c>
      <c r="M103" s="14">
        <f>Lisäosat[[#This Row],[HYTE-kerroin (sis. Kulttuurihyte)]]*Lisäosat[[#This Row],[Asukasmäärä 31.12.2023]]</f>
        <v>9508.3767750400002</v>
      </c>
      <c r="N103" s="427">
        <f>Lisäosat[[#This Row],[HYTE-kerroin (sis. Kulttuurihyte)]]/$N$7</f>
        <v>0.93012949182076632</v>
      </c>
      <c r="O103" s="439">
        <v>0.62365952386579382</v>
      </c>
      <c r="P103" s="197">
        <v>0</v>
      </c>
      <c r="Q103" s="159">
        <v>0</v>
      </c>
      <c r="R103" s="159">
        <v>119635.1225761472</v>
      </c>
      <c r="S103" s="159">
        <v>280301.7401650445</v>
      </c>
      <c r="T103" s="159">
        <v>99683.343442136844</v>
      </c>
      <c r="U103" s="309">
        <f t="shared" si="2"/>
        <v>499620.20618332853</v>
      </c>
      <c r="V103" s="44"/>
      <c r="W103" s="44"/>
      <c r="X103" s="110"/>
      <c r="Y103" s="110"/>
      <c r="Z103" s="111"/>
    </row>
    <row r="104" spans="1:26" s="45" customFormat="1">
      <c r="A104" s="127">
        <v>280</v>
      </c>
      <c r="B104" s="124" t="s">
        <v>108</v>
      </c>
      <c r="C104" s="408">
        <v>2015</v>
      </c>
      <c r="D104" s="412">
        <v>1.3017666666666665</v>
      </c>
      <c r="E104" s="420">
        <v>0</v>
      </c>
      <c r="F104" s="155">
        <v>0</v>
      </c>
      <c r="G104" s="419">
        <v>0</v>
      </c>
      <c r="H104" s="269">
        <v>604</v>
      </c>
      <c r="I104" s="15">
        <v>867</v>
      </c>
      <c r="J104" s="331">
        <v>0.69665513264129186</v>
      </c>
      <c r="K104" s="427">
        <v>0.69694905883715041</v>
      </c>
      <c r="L104" s="434">
        <v>0.48779809499999999</v>
      </c>
      <c r="M104" s="14">
        <f>Lisäosat[[#This Row],[HYTE-kerroin (sis. Kulttuurihyte)]]*Lisäosat[[#This Row],[Asukasmäärä 31.12.2023]]</f>
        <v>982.913161425</v>
      </c>
      <c r="N104" s="427">
        <f>Lisäosat[[#This Row],[HYTE-kerroin (sis. Kulttuurihyte)]]/$N$7</f>
        <v>0.72225116539794065</v>
      </c>
      <c r="O104" s="439">
        <v>0</v>
      </c>
      <c r="P104" s="197">
        <v>253899.07656750001</v>
      </c>
      <c r="Q104" s="159">
        <v>0</v>
      </c>
      <c r="R104" s="159">
        <v>18972.800296553152</v>
      </c>
      <c r="S104" s="159">
        <v>28975.741716692093</v>
      </c>
      <c r="T104" s="159">
        <v>0</v>
      </c>
      <c r="U104" s="309">
        <f t="shared" si="2"/>
        <v>301847.6185807453</v>
      </c>
      <c r="V104" s="44"/>
      <c r="W104" s="44"/>
      <c r="X104" s="110"/>
      <c r="Y104" s="110"/>
      <c r="Z104" s="111"/>
    </row>
    <row r="105" spans="1:26" s="45" customFormat="1">
      <c r="A105" s="127">
        <v>284</v>
      </c>
      <c r="B105" s="124" t="s">
        <v>109</v>
      </c>
      <c r="C105" s="408">
        <v>2207</v>
      </c>
      <c r="D105" s="412">
        <v>7.1333333333333335E-3</v>
      </c>
      <c r="E105" s="420">
        <v>0</v>
      </c>
      <c r="F105" s="155">
        <v>0</v>
      </c>
      <c r="G105" s="419">
        <v>0</v>
      </c>
      <c r="H105" s="269">
        <v>900</v>
      </c>
      <c r="I105" s="15">
        <v>871</v>
      </c>
      <c r="J105" s="331">
        <v>1.0332950631458093</v>
      </c>
      <c r="K105" s="427">
        <v>1.0337310213019753</v>
      </c>
      <c r="L105" s="434">
        <v>0.61048535900000001</v>
      </c>
      <c r="M105" s="14">
        <f>Lisäosat[[#This Row],[HYTE-kerroin (sis. Kulttuurihyte)]]*Lisäosat[[#This Row],[Asukasmäärä 31.12.2023]]</f>
        <v>1347.3411873130001</v>
      </c>
      <c r="N105" s="427">
        <f>Lisäosat[[#This Row],[HYTE-kerroin (sis. Kulttuurihyte)]]/$N$7</f>
        <v>0.90390628113488269</v>
      </c>
      <c r="O105" s="439">
        <v>0</v>
      </c>
      <c r="P105" s="197">
        <v>1015.912998</v>
      </c>
      <c r="Q105" s="159">
        <v>0</v>
      </c>
      <c r="R105" s="159">
        <v>30822.313357821837</v>
      </c>
      <c r="S105" s="159">
        <v>39718.880344671903</v>
      </c>
      <c r="T105" s="159">
        <v>0</v>
      </c>
      <c r="U105" s="309">
        <f t="shared" si="2"/>
        <v>71557.106700493736</v>
      </c>
      <c r="V105" s="44"/>
      <c r="W105" s="44"/>
      <c r="X105" s="110"/>
      <c r="Y105" s="110"/>
      <c r="Z105" s="111"/>
    </row>
    <row r="106" spans="1:26" s="45" customFormat="1">
      <c r="A106" s="127">
        <v>285</v>
      </c>
      <c r="B106" s="124" t="s">
        <v>110</v>
      </c>
      <c r="C106" s="408">
        <v>50500</v>
      </c>
      <c r="D106" s="412">
        <v>0</v>
      </c>
      <c r="E106" s="420">
        <v>0</v>
      </c>
      <c r="F106" s="155">
        <v>2</v>
      </c>
      <c r="G106" s="419">
        <v>3.9603960396039605E-5</v>
      </c>
      <c r="H106" s="269">
        <v>21867</v>
      </c>
      <c r="I106" s="15">
        <v>19568</v>
      </c>
      <c r="J106" s="331">
        <v>1.1174877350776777</v>
      </c>
      <c r="K106" s="427">
        <v>1.1179592150158857</v>
      </c>
      <c r="L106" s="434">
        <v>0.672835764</v>
      </c>
      <c r="M106" s="14">
        <f>Lisäosat[[#This Row],[HYTE-kerroin (sis. Kulttuurihyte)]]*Lisäosat[[#This Row],[Asukasmäärä 31.12.2023]]</f>
        <v>33978.206081999997</v>
      </c>
      <c r="N106" s="427">
        <f>Lisäosat[[#This Row],[HYTE-kerroin (sis. Kulttuurihyte)]]/$N$7</f>
        <v>0.99622450282511621</v>
      </c>
      <c r="O106" s="439">
        <v>0</v>
      </c>
      <c r="P106" s="197">
        <v>0</v>
      </c>
      <c r="Q106" s="159">
        <v>0</v>
      </c>
      <c r="R106" s="159">
        <v>762733.26424066315</v>
      </c>
      <c r="S106" s="159">
        <v>1001658.9074880272</v>
      </c>
      <c r="T106" s="159">
        <v>0</v>
      </c>
      <c r="U106" s="309">
        <f t="shared" si="2"/>
        <v>1764392.1717286904</v>
      </c>
      <c r="V106" s="44"/>
      <c r="W106" s="44"/>
      <c r="X106" s="110"/>
      <c r="Y106" s="110"/>
      <c r="Z106" s="111"/>
    </row>
    <row r="107" spans="1:26" s="45" customFormat="1">
      <c r="A107" s="127">
        <v>286</v>
      </c>
      <c r="B107" s="124" t="s">
        <v>111</v>
      </c>
      <c r="C107" s="408">
        <v>78880</v>
      </c>
      <c r="D107" s="412">
        <v>0</v>
      </c>
      <c r="E107" s="420">
        <v>0</v>
      </c>
      <c r="F107" s="155">
        <v>3</v>
      </c>
      <c r="G107" s="419">
        <v>3.8032454361054766E-5</v>
      </c>
      <c r="H107" s="269">
        <v>30171</v>
      </c>
      <c r="I107" s="15">
        <v>31371</v>
      </c>
      <c r="J107" s="331">
        <v>0.96174811131299609</v>
      </c>
      <c r="K107" s="427">
        <v>0.96215388305067151</v>
      </c>
      <c r="L107" s="434">
        <v>0.72008609999999995</v>
      </c>
      <c r="M107" s="14">
        <f>Lisäosat[[#This Row],[HYTE-kerroin (sis. Kulttuurihyte)]]*Lisäosat[[#This Row],[Asukasmäärä 31.12.2023]]</f>
        <v>56800.391567999999</v>
      </c>
      <c r="N107" s="427">
        <f>Lisäosat[[#This Row],[HYTE-kerroin (sis. Kulttuurihyte)]]/$N$7</f>
        <v>1.0661850266386506</v>
      </c>
      <c r="O107" s="439">
        <v>0</v>
      </c>
      <c r="P107" s="197">
        <v>0</v>
      </c>
      <c r="Q107" s="159">
        <v>0</v>
      </c>
      <c r="R107" s="159">
        <v>1025337.3739659495</v>
      </c>
      <c r="S107" s="159">
        <v>1674444.4372840221</v>
      </c>
      <c r="T107" s="159">
        <v>0</v>
      </c>
      <c r="U107" s="309">
        <f t="shared" si="2"/>
        <v>2699781.8112499714</v>
      </c>
      <c r="V107" s="44"/>
      <c r="W107" s="44"/>
      <c r="X107" s="110"/>
      <c r="Y107" s="110"/>
      <c r="Z107" s="111"/>
    </row>
    <row r="108" spans="1:26" s="45" customFormat="1">
      <c r="A108" s="127">
        <v>287</v>
      </c>
      <c r="B108" s="124" t="s">
        <v>112</v>
      </c>
      <c r="C108" s="408">
        <v>6199</v>
      </c>
      <c r="D108" s="412">
        <v>0.94283333333333341</v>
      </c>
      <c r="E108" s="420">
        <v>0</v>
      </c>
      <c r="F108" s="155">
        <v>0</v>
      </c>
      <c r="G108" s="419">
        <v>0</v>
      </c>
      <c r="H108" s="269">
        <v>2319</v>
      </c>
      <c r="I108" s="15">
        <v>2470</v>
      </c>
      <c r="J108" s="331">
        <v>0.93886639676113359</v>
      </c>
      <c r="K108" s="427">
        <v>0.93926251446053699</v>
      </c>
      <c r="L108" s="434">
        <v>0.640405628</v>
      </c>
      <c r="M108" s="14">
        <f>Lisäosat[[#This Row],[HYTE-kerroin (sis. Kulttuurihyte)]]*Lisäosat[[#This Row],[Asukasmäärä 31.12.2023]]</f>
        <v>3969.8744879720002</v>
      </c>
      <c r="N108" s="427">
        <f>Lisäosat[[#This Row],[HYTE-kerroin (sis. Kulttuurihyte)]]/$N$7</f>
        <v>0.94820729291778005</v>
      </c>
      <c r="O108" s="439">
        <v>0</v>
      </c>
      <c r="P108" s="197">
        <v>377153.57596500003</v>
      </c>
      <c r="Q108" s="159">
        <v>0</v>
      </c>
      <c r="R108" s="159">
        <v>78661.817299673145</v>
      </c>
      <c r="S108" s="159">
        <v>117029.72584515461</v>
      </c>
      <c r="T108" s="159">
        <v>0</v>
      </c>
      <c r="U108" s="309">
        <f t="shared" si="2"/>
        <v>572845.11910982779</v>
      </c>
      <c r="V108" s="44"/>
      <c r="W108" s="44"/>
      <c r="X108" s="110"/>
      <c r="Y108" s="110"/>
      <c r="Z108" s="111"/>
    </row>
    <row r="109" spans="1:26" s="45" customFormat="1">
      <c r="A109" s="127">
        <v>288</v>
      </c>
      <c r="B109" s="124" t="s">
        <v>113</v>
      </c>
      <c r="C109" s="408">
        <v>6368</v>
      </c>
      <c r="D109" s="412">
        <v>0</v>
      </c>
      <c r="E109" s="420">
        <v>0</v>
      </c>
      <c r="F109" s="155">
        <v>0</v>
      </c>
      <c r="G109" s="419">
        <v>0</v>
      </c>
      <c r="H109" s="269">
        <v>2218</v>
      </c>
      <c r="I109" s="15">
        <v>2799</v>
      </c>
      <c r="J109" s="331">
        <v>0.79242586638085033</v>
      </c>
      <c r="K109" s="427">
        <v>0.79276019926593533</v>
      </c>
      <c r="L109" s="434">
        <v>0.63628630799999997</v>
      </c>
      <c r="M109" s="14">
        <f>Lisäosat[[#This Row],[HYTE-kerroin (sis. Kulttuurihyte)]]*Lisäosat[[#This Row],[Asukasmäärä 31.12.2023]]</f>
        <v>4051.8712093439999</v>
      </c>
      <c r="N109" s="427">
        <f>Lisäosat[[#This Row],[HYTE-kerroin (sis. Kulttuurihyte)]]/$N$7</f>
        <v>0.94210808158189507</v>
      </c>
      <c r="O109" s="439">
        <v>0</v>
      </c>
      <c r="P109" s="197">
        <v>0</v>
      </c>
      <c r="Q109" s="159">
        <v>0</v>
      </c>
      <c r="R109" s="159">
        <v>68202.491779983189</v>
      </c>
      <c r="S109" s="159">
        <v>119446.94428655395</v>
      </c>
      <c r="T109" s="159">
        <v>0</v>
      </c>
      <c r="U109" s="309">
        <f t="shared" si="2"/>
        <v>187649.43606653714</v>
      </c>
      <c r="V109" s="44"/>
      <c r="W109" s="44"/>
      <c r="X109" s="110"/>
      <c r="Y109" s="110"/>
      <c r="Z109" s="111"/>
    </row>
    <row r="110" spans="1:26" s="45" customFormat="1">
      <c r="A110" s="127">
        <v>290</v>
      </c>
      <c r="B110" s="124" t="s">
        <v>114</v>
      </c>
      <c r="C110" s="408">
        <v>7582</v>
      </c>
      <c r="D110" s="412">
        <v>1.4461833333333334</v>
      </c>
      <c r="E110" s="420">
        <v>0</v>
      </c>
      <c r="F110" s="155">
        <v>0</v>
      </c>
      <c r="G110" s="419">
        <v>0</v>
      </c>
      <c r="H110" s="269">
        <v>2567</v>
      </c>
      <c r="I110" s="15">
        <v>2639</v>
      </c>
      <c r="J110" s="331">
        <v>0.9727169382341796</v>
      </c>
      <c r="K110" s="427">
        <v>0.97312733783637351</v>
      </c>
      <c r="L110" s="434">
        <v>0.72880646400000004</v>
      </c>
      <c r="M110" s="14">
        <f>Lisäosat[[#This Row],[HYTE-kerroin (sis. Kulttuurihyte)]]*Lisäosat[[#This Row],[Asukasmäärä 31.12.2023]]</f>
        <v>5525.8106100479999</v>
      </c>
      <c r="N110" s="427">
        <f>Lisäosat[[#This Row],[HYTE-kerroin (sis. Kulttuurihyte)]]/$N$7</f>
        <v>1.0790967069552666</v>
      </c>
      <c r="O110" s="439">
        <v>0</v>
      </c>
      <c r="P110" s="197">
        <v>1061353.5000165</v>
      </c>
      <c r="Q110" s="159">
        <v>0</v>
      </c>
      <c r="R110" s="159">
        <v>99680.177433672434</v>
      </c>
      <c r="S110" s="159">
        <v>162897.87063180449</v>
      </c>
      <c r="T110" s="159">
        <v>0</v>
      </c>
      <c r="U110" s="309">
        <f t="shared" si="2"/>
        <v>1323931.5480819768</v>
      </c>
      <c r="V110" s="44"/>
      <c r="W110" s="44"/>
      <c r="X110" s="110"/>
      <c r="Y110" s="110"/>
      <c r="Z110" s="111"/>
    </row>
    <row r="111" spans="1:26" s="45" customFormat="1">
      <c r="A111" s="127">
        <v>291</v>
      </c>
      <c r="B111" s="124" t="s">
        <v>115</v>
      </c>
      <c r="C111" s="408">
        <v>2092</v>
      </c>
      <c r="D111" s="412">
        <v>1.3818166666666667</v>
      </c>
      <c r="E111" s="420">
        <v>0</v>
      </c>
      <c r="F111" s="155">
        <v>2</v>
      </c>
      <c r="G111" s="419">
        <v>9.5602294455066918E-4</v>
      </c>
      <c r="H111" s="269">
        <v>579</v>
      </c>
      <c r="I111" s="15">
        <v>684</v>
      </c>
      <c r="J111" s="331">
        <v>0.84649122807017541</v>
      </c>
      <c r="K111" s="427">
        <v>0.84684837170529226</v>
      </c>
      <c r="L111" s="434">
        <v>0.496037173</v>
      </c>
      <c r="M111" s="14">
        <f>Lisäosat[[#This Row],[HYTE-kerroin (sis. Kulttuurihyte)]]*Lisäosat[[#This Row],[Asukasmäärä 31.12.2023]]</f>
        <v>1037.7097659159999</v>
      </c>
      <c r="N111" s="427">
        <f>Lisäosat[[#This Row],[HYTE-kerroin (sis. Kulttuurihyte)]]/$N$7</f>
        <v>0.73445023658804964</v>
      </c>
      <c r="O111" s="439">
        <v>0</v>
      </c>
      <c r="P111" s="197">
        <v>279811.15937100002</v>
      </c>
      <c r="Q111" s="159">
        <v>0</v>
      </c>
      <c r="R111" s="159">
        <v>23934.407781636939</v>
      </c>
      <c r="S111" s="159">
        <v>30591.115608299198</v>
      </c>
      <c r="T111" s="159">
        <v>0</v>
      </c>
      <c r="U111" s="309">
        <f t="shared" si="2"/>
        <v>334336.68276093615</v>
      </c>
      <c r="V111" s="44"/>
      <c r="W111" s="44"/>
      <c r="X111" s="110"/>
      <c r="Y111" s="110"/>
      <c r="Z111" s="111"/>
    </row>
    <row r="112" spans="1:26" s="45" customFormat="1">
      <c r="A112" s="127">
        <v>297</v>
      </c>
      <c r="B112" s="124" t="s">
        <v>116</v>
      </c>
      <c r="C112" s="408">
        <v>124021</v>
      </c>
      <c r="D112" s="412">
        <v>0</v>
      </c>
      <c r="E112" s="420">
        <v>0</v>
      </c>
      <c r="F112" s="155">
        <v>0</v>
      </c>
      <c r="G112" s="419">
        <v>0</v>
      </c>
      <c r="H112" s="269">
        <v>55401</v>
      </c>
      <c r="I112" s="15">
        <v>53779</v>
      </c>
      <c r="J112" s="331">
        <v>1.0301604715595307</v>
      </c>
      <c r="K112" s="427">
        <v>1.0305951071982309</v>
      </c>
      <c r="L112" s="434">
        <v>0.73081434499999998</v>
      </c>
      <c r="M112" s="14">
        <f>Lisäosat[[#This Row],[HYTE-kerroin (sis. Kulttuurihyte)]]*Lisäosat[[#This Row],[Asukasmäärä 31.12.2023]]</f>
        <v>90636.325881244993</v>
      </c>
      <c r="N112" s="427">
        <f>Lisäosat[[#This Row],[HYTE-kerroin (sis. Kulttuurihyte)]]/$N$7</f>
        <v>1.0820696467988107</v>
      </c>
      <c r="O112" s="439">
        <v>1.0458706933817192</v>
      </c>
      <c r="P112" s="197">
        <v>0</v>
      </c>
      <c r="Q112" s="159">
        <v>0</v>
      </c>
      <c r="R112" s="159">
        <v>1726786.5375206275</v>
      </c>
      <c r="S112" s="159">
        <v>2671909.2509427988</v>
      </c>
      <c r="T112" s="159">
        <v>1369736.8530267228</v>
      </c>
      <c r="U112" s="309">
        <f t="shared" si="2"/>
        <v>5768432.6414901493</v>
      </c>
      <c r="V112" s="44"/>
      <c r="W112" s="44"/>
      <c r="X112" s="110"/>
      <c r="Y112" s="110"/>
      <c r="Z112" s="111"/>
    </row>
    <row r="113" spans="1:26" s="45" customFormat="1">
      <c r="A113" s="127">
        <v>300</v>
      </c>
      <c r="B113" s="124" t="s">
        <v>117</v>
      </c>
      <c r="C113" s="408">
        <v>3381</v>
      </c>
      <c r="D113" s="412">
        <v>0.40506666666666669</v>
      </c>
      <c r="E113" s="420">
        <v>0</v>
      </c>
      <c r="F113" s="155">
        <v>0</v>
      </c>
      <c r="G113" s="419">
        <v>0</v>
      </c>
      <c r="H113" s="269">
        <v>1306</v>
      </c>
      <c r="I113" s="15">
        <v>1373</v>
      </c>
      <c r="J113" s="331">
        <v>0.95120174799708668</v>
      </c>
      <c r="K113" s="427">
        <v>0.95160307011212342</v>
      </c>
      <c r="L113" s="434">
        <v>0.60381151899999996</v>
      </c>
      <c r="M113" s="14">
        <f>Lisäosat[[#This Row],[HYTE-kerroin (sis. Kulttuurihyte)]]*Lisäosat[[#This Row],[Asukasmäärä 31.12.2023]]</f>
        <v>2041.4867457389998</v>
      </c>
      <c r="N113" s="427">
        <f>Lisäosat[[#This Row],[HYTE-kerroin (sis. Kulttuurihyte)]]/$N$7</f>
        <v>0.89402475685857441</v>
      </c>
      <c r="O113" s="439">
        <v>0</v>
      </c>
      <c r="P113" s="197">
        <v>88375.79671200001</v>
      </c>
      <c r="Q113" s="159">
        <v>0</v>
      </c>
      <c r="R113" s="159">
        <v>43466.6684304632</v>
      </c>
      <c r="S113" s="159">
        <v>60181.911265512303</v>
      </c>
      <c r="T113" s="159">
        <v>0</v>
      </c>
      <c r="U113" s="309">
        <f t="shared" si="2"/>
        <v>192024.37640797551</v>
      </c>
      <c r="V113" s="44"/>
      <c r="W113" s="44"/>
      <c r="X113" s="110"/>
      <c r="Y113" s="110"/>
      <c r="Z113" s="111"/>
    </row>
    <row r="114" spans="1:26" s="45" customFormat="1">
      <c r="A114" s="127">
        <v>301</v>
      </c>
      <c r="B114" s="124" t="s">
        <v>118</v>
      </c>
      <c r="C114" s="408">
        <v>19759</v>
      </c>
      <c r="D114" s="412">
        <v>0</v>
      </c>
      <c r="E114" s="420">
        <v>0</v>
      </c>
      <c r="F114" s="155">
        <v>0</v>
      </c>
      <c r="G114" s="419">
        <v>0</v>
      </c>
      <c r="H114" s="269">
        <v>6865</v>
      </c>
      <c r="I114" s="15">
        <v>7768</v>
      </c>
      <c r="J114" s="331">
        <v>0.88375386199794026</v>
      </c>
      <c r="K114" s="427">
        <v>0.88412672713387563</v>
      </c>
      <c r="L114" s="434">
        <v>0.72086076899999996</v>
      </c>
      <c r="M114" s="14">
        <f>Lisäosat[[#This Row],[HYTE-kerroin (sis. Kulttuurihyte)]]*Lisäosat[[#This Row],[Asukasmäärä 31.12.2023]]</f>
        <v>14243.487934670999</v>
      </c>
      <c r="N114" s="427">
        <f>Lisäosat[[#This Row],[HYTE-kerroin (sis. Kulttuurihyte)]]/$N$7</f>
        <v>1.0673320290435035</v>
      </c>
      <c r="O114" s="439">
        <v>0</v>
      </c>
      <c r="P114" s="197">
        <v>0</v>
      </c>
      <c r="Q114" s="159">
        <v>0</v>
      </c>
      <c r="R114" s="159">
        <v>236012.40461943074</v>
      </c>
      <c r="S114" s="159">
        <v>419890.22401684342</v>
      </c>
      <c r="T114" s="159">
        <v>0</v>
      </c>
      <c r="U114" s="309">
        <f t="shared" si="2"/>
        <v>655902.62863627414</v>
      </c>
      <c r="V114" s="44"/>
      <c r="W114" s="44"/>
      <c r="X114" s="110"/>
      <c r="Y114" s="110"/>
      <c r="Z114" s="111"/>
    </row>
    <row r="115" spans="1:26" s="104" customFormat="1">
      <c r="A115" s="124">
        <v>304</v>
      </c>
      <c r="B115" s="124" t="s">
        <v>119</v>
      </c>
      <c r="C115" s="408">
        <v>949</v>
      </c>
      <c r="D115" s="412">
        <v>1.30155</v>
      </c>
      <c r="E115" s="420">
        <v>0</v>
      </c>
      <c r="F115" s="155">
        <v>0</v>
      </c>
      <c r="G115" s="419">
        <v>0</v>
      </c>
      <c r="H115" s="269">
        <v>303</v>
      </c>
      <c r="I115" s="15">
        <v>370</v>
      </c>
      <c r="J115" s="331">
        <v>0.81891891891891888</v>
      </c>
      <c r="K115" s="427">
        <v>0.81926442950410872</v>
      </c>
      <c r="L115" s="434">
        <v>0.536885854</v>
      </c>
      <c r="M115" s="14">
        <f>Lisäosat[[#This Row],[HYTE-kerroin (sis. Kulttuurihyte)]]*Lisäosat[[#This Row],[Asukasmäärä 31.12.2023]]</f>
        <v>509.50467544600002</v>
      </c>
      <c r="N115" s="427">
        <f>Lisäosat[[#This Row],[HYTE-kerroin (sis. Kulttuurihyte)]]/$N$7</f>
        <v>0.79493224289276621</v>
      </c>
      <c r="O115" s="438">
        <v>0</v>
      </c>
      <c r="P115" s="197">
        <v>119558.37210524999</v>
      </c>
      <c r="Q115" s="159">
        <v>0</v>
      </c>
      <c r="R115" s="159">
        <v>10503.781058027882</v>
      </c>
      <c r="S115" s="159">
        <v>15019.918807239232</v>
      </c>
      <c r="T115" s="159">
        <v>0</v>
      </c>
      <c r="U115" s="309">
        <f t="shared" si="2"/>
        <v>145082.07197051711</v>
      </c>
      <c r="V115" s="59"/>
      <c r="W115" s="59"/>
      <c r="X115" s="109"/>
      <c r="Y115" s="110"/>
      <c r="Z115" s="111"/>
    </row>
    <row r="116" spans="1:26" s="45" customFormat="1">
      <c r="A116" s="127">
        <v>305</v>
      </c>
      <c r="B116" s="124" t="s">
        <v>120</v>
      </c>
      <c r="C116" s="408">
        <v>15019</v>
      </c>
      <c r="D116" s="412">
        <v>0.90171666666666672</v>
      </c>
      <c r="E116" s="420">
        <v>0</v>
      </c>
      <c r="F116" s="155">
        <v>6</v>
      </c>
      <c r="G116" s="419">
        <v>3.9949397429922101E-4</v>
      </c>
      <c r="H116" s="269">
        <v>6038</v>
      </c>
      <c r="I116" s="15">
        <v>5922</v>
      </c>
      <c r="J116" s="331">
        <v>1.0195879770347855</v>
      </c>
      <c r="K116" s="427">
        <v>1.0200181520258127</v>
      </c>
      <c r="L116" s="434">
        <v>0.61698875099999995</v>
      </c>
      <c r="M116" s="14">
        <f>Lisäosat[[#This Row],[HYTE-kerroin (sis. Kulttuurihyte)]]*Lisäosat[[#This Row],[Asukasmäärä 31.12.2023]]</f>
        <v>9266.5540512689986</v>
      </c>
      <c r="N116" s="427">
        <f>Lisäosat[[#This Row],[HYTE-kerroin (sis. Kulttuurihyte)]]/$N$7</f>
        <v>0.91353543405529247</v>
      </c>
      <c r="O116" s="439">
        <v>0</v>
      </c>
      <c r="P116" s="197">
        <v>873922.21525350004</v>
      </c>
      <c r="Q116" s="159">
        <v>0</v>
      </c>
      <c r="R116" s="159">
        <v>206968.50696747444</v>
      </c>
      <c r="S116" s="159">
        <v>273172.93869996187</v>
      </c>
      <c r="T116" s="159">
        <v>0</v>
      </c>
      <c r="U116" s="309">
        <f t="shared" si="2"/>
        <v>1354063.6609209364</v>
      </c>
      <c r="V116" s="44"/>
      <c r="W116" s="44"/>
      <c r="X116" s="110"/>
      <c r="Y116" s="110"/>
      <c r="Z116" s="111"/>
    </row>
    <row r="117" spans="1:26" s="45" customFormat="1">
      <c r="A117" s="127">
        <v>309</v>
      </c>
      <c r="B117" s="124" t="s">
        <v>121</v>
      </c>
      <c r="C117" s="408">
        <v>6409</v>
      </c>
      <c r="D117" s="412">
        <v>0.377</v>
      </c>
      <c r="E117" s="420">
        <v>0</v>
      </c>
      <c r="F117" s="155">
        <v>0</v>
      </c>
      <c r="G117" s="419">
        <v>0</v>
      </c>
      <c r="H117" s="269">
        <v>2384</v>
      </c>
      <c r="I117" s="15">
        <v>2104</v>
      </c>
      <c r="J117" s="331">
        <v>1.1330798479087452</v>
      </c>
      <c r="K117" s="427">
        <v>1.1335579063248757</v>
      </c>
      <c r="L117" s="434">
        <v>0.711985019</v>
      </c>
      <c r="M117" s="14">
        <f>Lisäosat[[#This Row],[HYTE-kerroin (sis. Kulttuurihyte)]]*Lisäosat[[#This Row],[Asukasmäärä 31.12.2023]]</f>
        <v>4563.1119867710004</v>
      </c>
      <c r="N117" s="427">
        <f>Lisäosat[[#This Row],[HYTE-kerroin (sis. Kulttuurihyte)]]/$N$7</f>
        <v>1.0541902787025541</v>
      </c>
      <c r="O117" s="439">
        <v>0</v>
      </c>
      <c r="P117" s="197">
        <v>155916.93429</v>
      </c>
      <c r="Q117" s="159">
        <v>0</v>
      </c>
      <c r="R117" s="159">
        <v>98149.780118304101</v>
      </c>
      <c r="S117" s="159">
        <v>134518.04242943495</v>
      </c>
      <c r="T117" s="159">
        <v>0</v>
      </c>
      <c r="U117" s="309">
        <f t="shared" si="2"/>
        <v>388584.75683773903</v>
      </c>
      <c r="V117" s="44"/>
      <c r="W117" s="44"/>
      <c r="X117" s="110"/>
      <c r="Y117" s="110"/>
      <c r="Z117" s="111"/>
    </row>
    <row r="118" spans="1:26" s="45" customFormat="1">
      <c r="A118" s="127">
        <v>312</v>
      </c>
      <c r="B118" s="124" t="s">
        <v>122</v>
      </c>
      <c r="C118" s="408">
        <v>1174</v>
      </c>
      <c r="D118" s="412">
        <v>1.3499166666666667</v>
      </c>
      <c r="E118" s="420">
        <v>0</v>
      </c>
      <c r="F118" s="155">
        <v>0</v>
      </c>
      <c r="G118" s="419">
        <v>0</v>
      </c>
      <c r="H118" s="269">
        <v>415</v>
      </c>
      <c r="I118" s="15">
        <v>404</v>
      </c>
      <c r="J118" s="331">
        <v>1.0272277227722773</v>
      </c>
      <c r="K118" s="427">
        <v>1.0276611210531312</v>
      </c>
      <c r="L118" s="434">
        <v>0.58617996100000003</v>
      </c>
      <c r="M118" s="14">
        <f>Lisäosat[[#This Row],[HYTE-kerroin (sis. Kulttuurihyte)]]*Lisäosat[[#This Row],[Asukasmäärä 31.12.2023]]</f>
        <v>688.17527421400007</v>
      </c>
      <c r="N118" s="427">
        <f>Lisäosat[[#This Row],[HYTE-kerroin (sis. Kulttuurihyte)]]/$N$7</f>
        <v>0.86791884655713847</v>
      </c>
      <c r="O118" s="439">
        <v>0</v>
      </c>
      <c r="P118" s="197">
        <v>153400.92572250002</v>
      </c>
      <c r="Q118" s="159">
        <v>0</v>
      </c>
      <c r="R118" s="159">
        <v>16299.465849132239</v>
      </c>
      <c r="S118" s="159">
        <v>20287.030211834382</v>
      </c>
      <c r="T118" s="159">
        <v>0</v>
      </c>
      <c r="U118" s="309">
        <f t="shared" si="2"/>
        <v>189987.42178346665</v>
      </c>
      <c r="V118" s="44"/>
      <c r="W118" s="44"/>
      <c r="X118" s="110"/>
      <c r="Y118" s="110"/>
      <c r="Z118" s="111"/>
    </row>
    <row r="119" spans="1:26" s="45" customFormat="1">
      <c r="A119" s="127">
        <v>316</v>
      </c>
      <c r="B119" s="124" t="s">
        <v>123</v>
      </c>
      <c r="C119" s="408">
        <v>4114</v>
      </c>
      <c r="D119" s="412">
        <v>0</v>
      </c>
      <c r="E119" s="420">
        <v>0</v>
      </c>
      <c r="F119" s="155">
        <v>0</v>
      </c>
      <c r="G119" s="419">
        <v>0</v>
      </c>
      <c r="H119" s="269">
        <v>1595</v>
      </c>
      <c r="I119" s="15">
        <v>1731</v>
      </c>
      <c r="J119" s="331">
        <v>0.92143269786250726</v>
      </c>
      <c r="K119" s="427">
        <v>0.92182146009927646</v>
      </c>
      <c r="L119" s="434">
        <v>0.64142571800000003</v>
      </c>
      <c r="M119" s="14">
        <f>Lisäosat[[#This Row],[HYTE-kerroin (sis. Kulttuurihyte)]]*Lisäosat[[#This Row],[Asukasmäärä 31.12.2023]]</f>
        <v>2638.8254038520004</v>
      </c>
      <c r="N119" s="427">
        <f>Lisäosat[[#This Row],[HYTE-kerroin (sis. Kulttuurihyte)]]/$N$7</f>
        <v>0.94971767436219878</v>
      </c>
      <c r="O119" s="439">
        <v>0</v>
      </c>
      <c r="P119" s="197">
        <v>0</v>
      </c>
      <c r="Q119" s="159">
        <v>0</v>
      </c>
      <c r="R119" s="159">
        <v>51234.965807322202</v>
      </c>
      <c r="S119" s="159">
        <v>77791.127780412367</v>
      </c>
      <c r="T119" s="159">
        <v>0</v>
      </c>
      <c r="U119" s="309">
        <f t="shared" si="2"/>
        <v>129026.09358773456</v>
      </c>
      <c r="V119" s="44"/>
      <c r="W119" s="44"/>
      <c r="X119" s="110"/>
      <c r="Y119" s="110"/>
      <c r="Z119" s="111"/>
    </row>
    <row r="120" spans="1:26" s="45" customFormat="1">
      <c r="A120" s="127">
        <v>317</v>
      </c>
      <c r="B120" s="124" t="s">
        <v>124</v>
      </c>
      <c r="C120" s="408">
        <v>2440</v>
      </c>
      <c r="D120" s="412">
        <v>1.2173500000000002</v>
      </c>
      <c r="E120" s="420">
        <v>0</v>
      </c>
      <c r="F120" s="155">
        <v>0</v>
      </c>
      <c r="G120" s="419">
        <v>0</v>
      </c>
      <c r="H120" s="269">
        <v>971</v>
      </c>
      <c r="I120" s="15">
        <v>889</v>
      </c>
      <c r="J120" s="331">
        <v>1.092238470191226</v>
      </c>
      <c r="K120" s="427">
        <v>1.0926992971965428</v>
      </c>
      <c r="L120" s="434">
        <v>0.54592413399999995</v>
      </c>
      <c r="M120" s="14">
        <f>Lisäosat[[#This Row],[HYTE-kerroin (sis. Kulttuurihyte)]]*Lisäosat[[#This Row],[Asukasmäärä 31.12.2023]]</f>
        <v>1332.05488696</v>
      </c>
      <c r="N120" s="427">
        <f>Lisäosat[[#This Row],[HYTE-kerroin (sis. Kulttuurihyte)]]/$N$7</f>
        <v>0.80831464091790173</v>
      </c>
      <c r="O120" s="439">
        <v>0</v>
      </c>
      <c r="P120" s="197">
        <v>287513.47953000001</v>
      </c>
      <c r="Q120" s="159">
        <v>0</v>
      </c>
      <c r="R120" s="159">
        <v>36020.176712505716</v>
      </c>
      <c r="S120" s="159">
        <v>39268.248581648033</v>
      </c>
      <c r="T120" s="159">
        <v>0</v>
      </c>
      <c r="U120" s="309">
        <f t="shared" si="2"/>
        <v>362801.90482415375</v>
      </c>
      <c r="V120" s="44"/>
      <c r="W120" s="44"/>
      <c r="X120" s="110"/>
      <c r="Y120" s="110"/>
      <c r="Z120" s="111"/>
    </row>
    <row r="121" spans="1:26" s="45" customFormat="1">
      <c r="A121" s="127">
        <v>320</v>
      </c>
      <c r="B121" s="124" t="s">
        <v>125</v>
      </c>
      <c r="C121" s="408">
        <v>7030</v>
      </c>
      <c r="D121" s="412">
        <v>1.4655333333333334</v>
      </c>
      <c r="E121" s="420">
        <v>0</v>
      </c>
      <c r="F121" s="155">
        <v>3</v>
      </c>
      <c r="G121" s="419">
        <v>4.2674253200568991E-4</v>
      </c>
      <c r="H121" s="269">
        <v>2118</v>
      </c>
      <c r="I121" s="15">
        <v>2252</v>
      </c>
      <c r="J121" s="331">
        <v>0.94049733570159855</v>
      </c>
      <c r="K121" s="427">
        <v>0.94089414151145423</v>
      </c>
      <c r="L121" s="434">
        <v>0.62194316199999999</v>
      </c>
      <c r="M121" s="14">
        <f>Lisäosat[[#This Row],[HYTE-kerroin (sis. Kulttuurihyte)]]*Lisäosat[[#This Row],[Asukasmäärä 31.12.2023]]</f>
        <v>4372.2604288599996</v>
      </c>
      <c r="N121" s="427">
        <f>Lisäosat[[#This Row],[HYTE-kerroin (sis. Kulttuurihyte)]]/$N$7</f>
        <v>0.92087111075286221</v>
      </c>
      <c r="O121" s="439">
        <v>0</v>
      </c>
      <c r="P121" s="197">
        <v>997249.78197000013</v>
      </c>
      <c r="Q121" s="159">
        <v>0</v>
      </c>
      <c r="R121" s="159">
        <v>89361.703358292827</v>
      </c>
      <c r="S121" s="159">
        <v>128891.84302007909</v>
      </c>
      <c r="T121" s="159">
        <v>0</v>
      </c>
      <c r="U121" s="309">
        <f t="shared" si="2"/>
        <v>1215503.3283483721</v>
      </c>
      <c r="V121" s="44"/>
      <c r="W121" s="44"/>
      <c r="X121" s="110"/>
      <c r="Y121" s="110"/>
      <c r="Z121" s="111"/>
    </row>
    <row r="122" spans="1:26" s="45" customFormat="1">
      <c r="A122" s="127">
        <v>322</v>
      </c>
      <c r="B122" s="124" t="s">
        <v>126</v>
      </c>
      <c r="C122" s="408">
        <v>6462</v>
      </c>
      <c r="D122" s="412">
        <v>1.2882500000000001</v>
      </c>
      <c r="E122" s="420">
        <v>0</v>
      </c>
      <c r="F122" s="155">
        <v>0</v>
      </c>
      <c r="G122" s="419">
        <v>0</v>
      </c>
      <c r="H122" s="269">
        <v>2138</v>
      </c>
      <c r="I122" s="15">
        <v>2530</v>
      </c>
      <c r="J122" s="331">
        <v>0.84505928853754941</v>
      </c>
      <c r="K122" s="427">
        <v>0.84541582802217652</v>
      </c>
      <c r="L122" s="434">
        <v>0.64330505599999999</v>
      </c>
      <c r="M122" s="14">
        <f>Lisäosat[[#This Row],[HYTE-kerroin (sis. Kulttuurihyte)]]*Lisäosat[[#This Row],[Asukasmäärä 31.12.2023]]</f>
        <v>4157.037271872</v>
      </c>
      <c r="N122" s="427">
        <f>Lisäosat[[#This Row],[HYTE-kerroin (sis. Kulttuurihyte)]]/$N$7</f>
        <v>0.95250028887953631</v>
      </c>
      <c r="O122" s="439">
        <v>0</v>
      </c>
      <c r="P122" s="197">
        <v>805786.57784250006</v>
      </c>
      <c r="Q122" s="159">
        <v>0</v>
      </c>
      <c r="R122" s="159">
        <v>73806.171359977394</v>
      </c>
      <c r="S122" s="159">
        <v>122547.18221678471</v>
      </c>
      <c r="T122" s="159">
        <v>0</v>
      </c>
      <c r="U122" s="309">
        <f t="shared" si="2"/>
        <v>1002139.9314192622</v>
      </c>
      <c r="V122" s="44"/>
      <c r="W122" s="44"/>
      <c r="X122" s="110"/>
      <c r="Y122" s="110"/>
      <c r="Z122" s="111"/>
    </row>
    <row r="123" spans="1:26" s="45" customFormat="1">
      <c r="A123" s="127">
        <v>398</v>
      </c>
      <c r="B123" s="124" t="s">
        <v>127</v>
      </c>
      <c r="C123" s="408">
        <v>120693</v>
      </c>
      <c r="D123" s="412">
        <v>0</v>
      </c>
      <c r="E123" s="420">
        <v>0</v>
      </c>
      <c r="F123" s="155">
        <v>19</v>
      </c>
      <c r="G123" s="419">
        <v>1.5742420852907791E-4</v>
      </c>
      <c r="H123" s="269">
        <v>51608</v>
      </c>
      <c r="I123" s="15">
        <v>48752</v>
      </c>
      <c r="J123" s="331">
        <v>1.0585822120118149</v>
      </c>
      <c r="K123" s="427">
        <v>1.0590288390845251</v>
      </c>
      <c r="L123" s="434">
        <v>0.74186849099999996</v>
      </c>
      <c r="M123" s="14">
        <f>Lisäosat[[#This Row],[HYTE-kerroin (sis. Kulttuurihyte)]]*Lisäosat[[#This Row],[Asukasmäärä 31.12.2023]]</f>
        <v>89538.333784262999</v>
      </c>
      <c r="N123" s="427">
        <f>Lisäosat[[#This Row],[HYTE-kerroin (sis. Kulttuurihyte)]]/$N$7</f>
        <v>1.0984368075417794</v>
      </c>
      <c r="O123" s="439">
        <v>0.1967272569353066</v>
      </c>
      <c r="P123" s="197">
        <v>0</v>
      </c>
      <c r="Q123" s="159">
        <v>0</v>
      </c>
      <c r="R123" s="159">
        <v>1726812.6372977421</v>
      </c>
      <c r="S123" s="159">
        <v>2639541.0452276617</v>
      </c>
      <c r="T123" s="159">
        <v>250732.44579285366</v>
      </c>
      <c r="U123" s="309">
        <f t="shared" si="2"/>
        <v>4617086.1283182576</v>
      </c>
      <c r="V123" s="44"/>
      <c r="W123" s="44"/>
      <c r="X123" s="110"/>
      <c r="Y123" s="110"/>
      <c r="Z123" s="111"/>
    </row>
    <row r="124" spans="1:26" s="104" customFormat="1">
      <c r="A124" s="124">
        <v>399</v>
      </c>
      <c r="B124" s="124" t="s">
        <v>128</v>
      </c>
      <c r="C124" s="408">
        <v>7682</v>
      </c>
      <c r="D124" s="412">
        <v>0</v>
      </c>
      <c r="E124" s="420">
        <v>0</v>
      </c>
      <c r="F124" s="155">
        <v>0</v>
      </c>
      <c r="G124" s="419">
        <v>0</v>
      </c>
      <c r="H124" s="269">
        <v>1749</v>
      </c>
      <c r="I124" s="15">
        <v>3384</v>
      </c>
      <c r="J124" s="331">
        <v>0.51684397163120566</v>
      </c>
      <c r="K124" s="427">
        <v>0.51706203358943459</v>
      </c>
      <c r="L124" s="434">
        <v>0.51049184199999997</v>
      </c>
      <c r="M124" s="14">
        <f>Lisäosat[[#This Row],[HYTE-kerroin (sis. Kulttuurihyte)]]*Lisäosat[[#This Row],[Asukasmäärä 31.12.2023]]</f>
        <v>3921.598330244</v>
      </c>
      <c r="N124" s="427">
        <f>Lisäosat[[#This Row],[HYTE-kerroin (sis. Kulttuurihyte)]]/$N$7</f>
        <v>0.75585233232745896</v>
      </c>
      <c r="O124" s="438">
        <v>0</v>
      </c>
      <c r="P124" s="197">
        <v>0</v>
      </c>
      <c r="Q124" s="159">
        <v>0</v>
      </c>
      <c r="R124" s="159">
        <v>53662.673022879833</v>
      </c>
      <c r="S124" s="159">
        <v>115606.57115326624</v>
      </c>
      <c r="T124" s="159">
        <v>0</v>
      </c>
      <c r="U124" s="309">
        <f t="shared" si="2"/>
        <v>169269.24417614608</v>
      </c>
      <c r="V124" s="59"/>
      <c r="W124" s="59"/>
      <c r="X124" s="109"/>
      <c r="Y124" s="110"/>
      <c r="Z124" s="111"/>
    </row>
    <row r="125" spans="1:26" s="45" customFormat="1">
      <c r="A125" s="127">
        <v>400</v>
      </c>
      <c r="B125" s="124" t="s">
        <v>129</v>
      </c>
      <c r="C125" s="408">
        <v>8441</v>
      </c>
      <c r="D125" s="412">
        <v>0</v>
      </c>
      <c r="E125" s="420">
        <v>0</v>
      </c>
      <c r="F125" s="155">
        <v>0</v>
      </c>
      <c r="G125" s="419">
        <v>0</v>
      </c>
      <c r="H125" s="269">
        <v>3610</v>
      </c>
      <c r="I125" s="15">
        <v>3642</v>
      </c>
      <c r="J125" s="331">
        <v>0.99121361889071935</v>
      </c>
      <c r="K125" s="427">
        <v>0.99163182243883519</v>
      </c>
      <c r="L125" s="434">
        <v>0.55592959099999995</v>
      </c>
      <c r="M125" s="14">
        <f>Lisäosat[[#This Row],[HYTE-kerroin (sis. Kulttuurihyte)]]*Lisäosat[[#This Row],[Asukasmäärä 31.12.2023]]</f>
        <v>4692.6016776309998</v>
      </c>
      <c r="N125" s="427">
        <f>Lisäosat[[#This Row],[HYTE-kerroin (sis. Kulttuurihyte)]]/$N$7</f>
        <v>0.82312907552242587</v>
      </c>
      <c r="O125" s="439">
        <v>0</v>
      </c>
      <c r="P125" s="197">
        <v>0</v>
      </c>
      <c r="Q125" s="159">
        <v>0</v>
      </c>
      <c r="R125" s="159">
        <v>113083.62052041588</v>
      </c>
      <c r="S125" s="159">
        <v>138335.32760231232</v>
      </c>
      <c r="T125" s="159">
        <v>0</v>
      </c>
      <c r="U125" s="309">
        <f t="shared" si="2"/>
        <v>251418.94812272821</v>
      </c>
      <c r="V125" s="44"/>
      <c r="W125" s="44"/>
      <c r="X125" s="110"/>
      <c r="Y125" s="110"/>
      <c r="Z125" s="111"/>
    </row>
    <row r="126" spans="1:26" s="45" customFormat="1">
      <c r="A126" s="127">
        <v>402</v>
      </c>
      <c r="B126" s="124" t="s">
        <v>130</v>
      </c>
      <c r="C126" s="408">
        <v>8975</v>
      </c>
      <c r="D126" s="412">
        <v>0.42025000000000001</v>
      </c>
      <c r="E126" s="420">
        <v>0</v>
      </c>
      <c r="F126" s="155">
        <v>0</v>
      </c>
      <c r="G126" s="419">
        <v>0</v>
      </c>
      <c r="H126" s="269">
        <v>2763</v>
      </c>
      <c r="I126" s="15">
        <v>3555</v>
      </c>
      <c r="J126" s="331">
        <v>0.77721518987341776</v>
      </c>
      <c r="K126" s="427">
        <v>0.77754310521261416</v>
      </c>
      <c r="L126" s="434">
        <v>0.63645016499999996</v>
      </c>
      <c r="M126" s="14">
        <f>Lisäosat[[#This Row],[HYTE-kerroin (sis. Kulttuurihyte)]]*Lisäosat[[#This Row],[Asukasmäärä 31.12.2023]]</f>
        <v>5712.1402308749994</v>
      </c>
      <c r="N126" s="427">
        <f>Lisäosat[[#This Row],[HYTE-kerroin (sis. Kulttuurihyte)]]/$N$7</f>
        <v>0.94235069406936001</v>
      </c>
      <c r="O126" s="439">
        <v>0</v>
      </c>
      <c r="P126" s="197">
        <v>243390.62418750001</v>
      </c>
      <c r="Q126" s="159">
        <v>0</v>
      </c>
      <c r="R126" s="159">
        <v>94278.850979016192</v>
      </c>
      <c r="S126" s="159">
        <v>168390.7658123156</v>
      </c>
      <c r="T126" s="159">
        <v>0</v>
      </c>
      <c r="U126" s="309">
        <f t="shared" si="2"/>
        <v>506060.24097883177</v>
      </c>
      <c r="V126" s="44"/>
      <c r="W126" s="44"/>
      <c r="X126" s="110"/>
      <c r="Y126" s="110"/>
      <c r="Z126" s="111"/>
    </row>
    <row r="127" spans="1:26" s="45" customFormat="1">
      <c r="A127" s="127">
        <v>403</v>
      </c>
      <c r="B127" s="124" t="s">
        <v>131</v>
      </c>
      <c r="C127" s="408">
        <v>2789</v>
      </c>
      <c r="D127" s="412">
        <v>0.9875166666666666</v>
      </c>
      <c r="E127" s="420">
        <v>0</v>
      </c>
      <c r="F127" s="155">
        <v>0</v>
      </c>
      <c r="G127" s="419">
        <v>0</v>
      </c>
      <c r="H127" s="269">
        <v>814</v>
      </c>
      <c r="I127" s="15">
        <v>973</v>
      </c>
      <c r="J127" s="331">
        <v>0.83658787255909561</v>
      </c>
      <c r="K127" s="427">
        <v>0.83694083786339246</v>
      </c>
      <c r="L127" s="434">
        <v>0.65336611899999997</v>
      </c>
      <c r="M127" s="14">
        <f>Lisäosat[[#This Row],[HYTE-kerroin (sis. Kulttuurihyte)]]*Lisäosat[[#This Row],[Asukasmäärä 31.12.2023]]</f>
        <v>1822.2381058909998</v>
      </c>
      <c r="N127" s="427">
        <f>Lisäosat[[#This Row],[HYTE-kerroin (sis. Kulttuurihyte)]]/$N$7</f>
        <v>0.96739705570043188</v>
      </c>
      <c r="O127" s="439">
        <v>0</v>
      </c>
      <c r="P127" s="197">
        <v>177727.49244450001</v>
      </c>
      <c r="Q127" s="159">
        <v>0</v>
      </c>
      <c r="R127" s="159">
        <v>31535.420236781531</v>
      </c>
      <c r="S127" s="159">
        <v>53718.58143201872</v>
      </c>
      <c r="T127" s="159">
        <v>0</v>
      </c>
      <c r="U127" s="309">
        <f t="shared" si="2"/>
        <v>262981.49411330023</v>
      </c>
      <c r="V127" s="44"/>
      <c r="W127" s="44"/>
      <c r="X127" s="110"/>
      <c r="Y127" s="110"/>
      <c r="Z127" s="111"/>
    </row>
    <row r="128" spans="1:26" s="45" customFormat="1">
      <c r="A128" s="127">
        <v>405</v>
      </c>
      <c r="B128" s="124" t="s">
        <v>132</v>
      </c>
      <c r="C128" s="408">
        <v>72988</v>
      </c>
      <c r="D128" s="412">
        <v>0</v>
      </c>
      <c r="E128" s="420">
        <v>0</v>
      </c>
      <c r="F128" s="155">
        <v>2</v>
      </c>
      <c r="G128" s="419">
        <v>2.7401764673644982E-5</v>
      </c>
      <c r="H128" s="269">
        <v>31746</v>
      </c>
      <c r="I128" s="15">
        <v>29602</v>
      </c>
      <c r="J128" s="331">
        <v>1.072427538679819</v>
      </c>
      <c r="K128" s="427">
        <v>1.0728800072428266</v>
      </c>
      <c r="L128" s="434">
        <v>0.73969795000000005</v>
      </c>
      <c r="M128" s="14">
        <f>Lisäosat[[#This Row],[HYTE-kerroin (sis. Kulttuurihyte)]]*Lisäosat[[#This Row],[Asukasmäärä 31.12.2023]]</f>
        <v>53989.073974600004</v>
      </c>
      <c r="N128" s="427">
        <f>Lisäosat[[#This Row],[HYTE-kerroin (sis. Kulttuurihyte)]]/$N$7</f>
        <v>1.0952230275314374</v>
      </c>
      <c r="O128" s="439">
        <v>0.14957932951152886</v>
      </c>
      <c r="P128" s="197">
        <v>0</v>
      </c>
      <c r="Q128" s="159">
        <v>0</v>
      </c>
      <c r="R128" s="159">
        <v>1057932.5142363186</v>
      </c>
      <c r="S128" s="159">
        <v>1591568.3342192792</v>
      </c>
      <c r="T128" s="159">
        <v>115288.75884121166</v>
      </c>
      <c r="U128" s="309">
        <f t="shared" si="2"/>
        <v>2764789.6072968091</v>
      </c>
      <c r="V128" s="44"/>
      <c r="W128" s="44"/>
      <c r="X128" s="110"/>
      <c r="Y128" s="110"/>
      <c r="Z128" s="111"/>
    </row>
    <row r="129" spans="1:26" s="45" customFormat="1">
      <c r="A129" s="127">
        <v>407</v>
      </c>
      <c r="B129" s="124" t="s">
        <v>133</v>
      </c>
      <c r="C129" s="408">
        <v>2449</v>
      </c>
      <c r="D129" s="412">
        <v>0.19713333333333333</v>
      </c>
      <c r="E129" s="420">
        <v>0</v>
      </c>
      <c r="F129" s="155">
        <v>0</v>
      </c>
      <c r="G129" s="419">
        <v>0</v>
      </c>
      <c r="H129" s="269">
        <v>786</v>
      </c>
      <c r="I129" s="15">
        <v>1026</v>
      </c>
      <c r="J129" s="331">
        <v>0.76608187134502925</v>
      </c>
      <c r="K129" s="427">
        <v>0.76640508941895191</v>
      </c>
      <c r="L129" s="434">
        <v>0.57666984399999999</v>
      </c>
      <c r="M129" s="14">
        <f>Lisäosat[[#This Row],[HYTE-kerroin (sis. Kulttuurihyte)]]*Lisäosat[[#This Row],[Asukasmäärä 31.12.2023]]</f>
        <v>1412.2644479559999</v>
      </c>
      <c r="N129" s="427">
        <f>Lisäosat[[#This Row],[HYTE-kerroin (sis. Kulttuurihyte)]]/$N$7</f>
        <v>0.85383782993012436</v>
      </c>
      <c r="O129" s="439">
        <v>0</v>
      </c>
      <c r="P129" s="197">
        <v>31153.763285999998</v>
      </c>
      <c r="Q129" s="159">
        <v>0</v>
      </c>
      <c r="R129" s="159">
        <v>25357.271124464551</v>
      </c>
      <c r="S129" s="159">
        <v>41632.782513882594</v>
      </c>
      <c r="T129" s="159">
        <v>0</v>
      </c>
      <c r="U129" s="309">
        <f t="shared" si="2"/>
        <v>98143.816924347135</v>
      </c>
      <c r="V129" s="44"/>
      <c r="W129" s="44"/>
      <c r="X129" s="110"/>
      <c r="Y129" s="110"/>
      <c r="Z129" s="111"/>
    </row>
    <row r="130" spans="1:26" s="45" customFormat="1">
      <c r="A130" s="127">
        <v>408</v>
      </c>
      <c r="B130" s="124" t="s">
        <v>134</v>
      </c>
      <c r="C130" s="408">
        <v>14024</v>
      </c>
      <c r="D130" s="412">
        <v>0</v>
      </c>
      <c r="E130" s="420">
        <v>0</v>
      </c>
      <c r="F130" s="155">
        <v>0</v>
      </c>
      <c r="G130" s="419">
        <v>0</v>
      </c>
      <c r="H130" s="269">
        <v>4588</v>
      </c>
      <c r="I130" s="15">
        <v>5916</v>
      </c>
      <c r="J130" s="331">
        <v>0.77552400270453004</v>
      </c>
      <c r="K130" s="427">
        <v>0.77585120451390688</v>
      </c>
      <c r="L130" s="434">
        <v>0.67112061499999998</v>
      </c>
      <c r="M130" s="14">
        <f>Lisäosat[[#This Row],[HYTE-kerroin (sis. Kulttuurihyte)]]*Lisäosat[[#This Row],[Asukasmäärä 31.12.2023]]</f>
        <v>9411.7955047599989</v>
      </c>
      <c r="N130" s="427">
        <f>Lisäosat[[#This Row],[HYTE-kerroin (sis. Kulttuurihyte)]]/$N$7</f>
        <v>0.9936849923662221</v>
      </c>
      <c r="O130" s="439">
        <v>0</v>
      </c>
      <c r="P130" s="197">
        <v>0</v>
      </c>
      <c r="Q130" s="159">
        <v>0</v>
      </c>
      <c r="R130" s="159">
        <v>146996.05881631194</v>
      </c>
      <c r="S130" s="159">
        <v>277454.57720891305</v>
      </c>
      <c r="T130" s="159">
        <v>0</v>
      </c>
      <c r="U130" s="309">
        <f t="shared" si="2"/>
        <v>424450.63602522499</v>
      </c>
      <c r="V130" s="44"/>
      <c r="W130" s="44"/>
      <c r="X130" s="110"/>
      <c r="Y130" s="110"/>
      <c r="Z130" s="111"/>
    </row>
    <row r="131" spans="1:26" s="45" customFormat="1">
      <c r="A131" s="127">
        <v>410</v>
      </c>
      <c r="B131" s="124" t="s">
        <v>135</v>
      </c>
      <c r="C131" s="408">
        <v>18762</v>
      </c>
      <c r="D131" s="412">
        <v>0</v>
      </c>
      <c r="E131" s="420">
        <v>0</v>
      </c>
      <c r="F131" s="155">
        <v>2</v>
      </c>
      <c r="G131" s="419">
        <v>1.0659844366272253E-4</v>
      </c>
      <c r="H131" s="269">
        <v>5412</v>
      </c>
      <c r="I131" s="15">
        <v>7705</v>
      </c>
      <c r="J131" s="331">
        <v>0.70240103828682676</v>
      </c>
      <c r="K131" s="427">
        <v>0.7026973887412733</v>
      </c>
      <c r="L131" s="434">
        <v>0.61612453199999995</v>
      </c>
      <c r="M131" s="14">
        <f>Lisäosat[[#This Row],[HYTE-kerroin (sis. Kulttuurihyte)]]*Lisäosat[[#This Row],[Asukasmäärä 31.12.2023]]</f>
        <v>11559.728469383999</v>
      </c>
      <c r="N131" s="427">
        <f>Lisäosat[[#This Row],[HYTE-kerroin (sis. Kulttuurihyte)]]/$N$7</f>
        <v>0.91225584074341404</v>
      </c>
      <c r="O131" s="439">
        <v>0</v>
      </c>
      <c r="P131" s="197">
        <v>0</v>
      </c>
      <c r="Q131" s="159">
        <v>0</v>
      </c>
      <c r="R131" s="159">
        <v>178115.95358618652</v>
      </c>
      <c r="S131" s="159">
        <v>340774.46471299615</v>
      </c>
      <c r="T131" s="159">
        <v>0</v>
      </c>
      <c r="U131" s="309">
        <f t="shared" si="2"/>
        <v>518890.41829918267</v>
      </c>
      <c r="V131" s="44"/>
      <c r="W131" s="44"/>
      <c r="X131" s="110"/>
      <c r="Y131" s="110"/>
      <c r="Z131" s="111"/>
    </row>
    <row r="132" spans="1:26" s="45" customFormat="1">
      <c r="A132" s="127">
        <v>416</v>
      </c>
      <c r="B132" s="124" t="s">
        <v>136</v>
      </c>
      <c r="C132" s="408">
        <v>2862</v>
      </c>
      <c r="D132" s="412">
        <v>0</v>
      </c>
      <c r="E132" s="420">
        <v>0</v>
      </c>
      <c r="F132" s="155">
        <v>0</v>
      </c>
      <c r="G132" s="419">
        <v>0</v>
      </c>
      <c r="H132" s="269">
        <v>466</v>
      </c>
      <c r="I132" s="15">
        <v>1198</v>
      </c>
      <c r="J132" s="331">
        <v>0.38898163606010017</v>
      </c>
      <c r="K132" s="427">
        <v>0.38914575154161896</v>
      </c>
      <c r="L132" s="434">
        <v>0.62280496399999996</v>
      </c>
      <c r="M132" s="14">
        <f>Lisäosat[[#This Row],[HYTE-kerroin (sis. Kulttuurihyte)]]*Lisäosat[[#This Row],[Asukasmäärä 31.12.2023]]</f>
        <v>1782.4678069679999</v>
      </c>
      <c r="N132" s="427">
        <f>Lisäosat[[#This Row],[HYTE-kerroin (sis. Kulttuurihyte)]]/$N$7</f>
        <v>0.92214712536879107</v>
      </c>
      <c r="O132" s="439">
        <v>0</v>
      </c>
      <c r="P132" s="197">
        <v>0</v>
      </c>
      <c r="Q132" s="159">
        <v>0</v>
      </c>
      <c r="R132" s="159">
        <v>15046.561753722652</v>
      </c>
      <c r="S132" s="159">
        <v>52546.174799557106</v>
      </c>
      <c r="T132" s="159">
        <v>0</v>
      </c>
      <c r="U132" s="309">
        <f t="shared" si="2"/>
        <v>67592.736553279756</v>
      </c>
      <c r="V132" s="44"/>
      <c r="W132" s="44"/>
      <c r="X132" s="110"/>
      <c r="Y132" s="110"/>
      <c r="Z132" s="111"/>
    </row>
    <row r="133" spans="1:26" s="45" customFormat="1">
      <c r="A133" s="127">
        <v>418</v>
      </c>
      <c r="B133" s="124" t="s">
        <v>137</v>
      </c>
      <c r="C133" s="408">
        <v>24711</v>
      </c>
      <c r="D133" s="412">
        <v>0</v>
      </c>
      <c r="E133" s="420">
        <v>0</v>
      </c>
      <c r="F133" s="155">
        <v>0</v>
      </c>
      <c r="G133" s="419">
        <v>0</v>
      </c>
      <c r="H133" s="269">
        <v>8048</v>
      </c>
      <c r="I133" s="15">
        <v>11416</v>
      </c>
      <c r="J133" s="331">
        <v>0.70497547302032237</v>
      </c>
      <c r="K133" s="427">
        <v>0.705272909656112</v>
      </c>
      <c r="L133" s="434">
        <v>0.74142048999999999</v>
      </c>
      <c r="M133" s="14">
        <f>Lisäosat[[#This Row],[HYTE-kerroin (sis. Kulttuurihyte)]]*Lisäosat[[#This Row],[Asukasmäärä 31.12.2023]]</f>
        <v>18321.241728389999</v>
      </c>
      <c r="N133" s="427">
        <f>Lisäosat[[#This Row],[HYTE-kerroin (sis. Kulttuurihyte)]]/$N$7</f>
        <v>1.0977734813671469</v>
      </c>
      <c r="O133" s="439">
        <v>1.2215428851238681</v>
      </c>
      <c r="P133" s="197">
        <v>0</v>
      </c>
      <c r="Q133" s="159">
        <v>0</v>
      </c>
      <c r="R133" s="159">
        <v>235452.2647406196</v>
      </c>
      <c r="S133" s="159">
        <v>540100.17271644564</v>
      </c>
      <c r="T133" s="159">
        <v>318759.36823416478</v>
      </c>
      <c r="U133" s="309">
        <f t="shared" si="2"/>
        <v>1094311.8056912301</v>
      </c>
      <c r="V133" s="44"/>
      <c r="W133" s="44"/>
      <c r="X133" s="110"/>
      <c r="Y133" s="110"/>
      <c r="Z133" s="111"/>
    </row>
    <row r="134" spans="1:26" s="45" customFormat="1">
      <c r="A134" s="127">
        <v>420</v>
      </c>
      <c r="B134" s="124" t="s">
        <v>138</v>
      </c>
      <c r="C134" s="408">
        <v>9049</v>
      </c>
      <c r="D134" s="412">
        <v>0</v>
      </c>
      <c r="E134" s="420">
        <v>0</v>
      </c>
      <c r="F134" s="155">
        <v>0</v>
      </c>
      <c r="G134" s="419">
        <v>0</v>
      </c>
      <c r="H134" s="269">
        <v>2863</v>
      </c>
      <c r="I134" s="15">
        <v>3562</v>
      </c>
      <c r="J134" s="331">
        <v>0.80376193149915776</v>
      </c>
      <c r="K134" s="427">
        <v>0.80410104719045505</v>
      </c>
      <c r="L134" s="434">
        <v>0.656316173</v>
      </c>
      <c r="M134" s="14">
        <f>Lisäosat[[#This Row],[HYTE-kerroin (sis. Kulttuurihyte)]]*Lisäosat[[#This Row],[Asukasmäärä 31.12.2023]]</f>
        <v>5939.0050494770003</v>
      </c>
      <c r="N134" s="427">
        <f>Lisäosat[[#This Row],[HYTE-kerroin (sis. Kulttuurihyte)]]/$N$7</f>
        <v>0.97176501031388096</v>
      </c>
      <c r="O134" s="439">
        <v>0</v>
      </c>
      <c r="P134" s="197">
        <v>0</v>
      </c>
      <c r="Q134" s="159">
        <v>0</v>
      </c>
      <c r="R134" s="159">
        <v>98302.953180117038</v>
      </c>
      <c r="S134" s="159">
        <v>175078.61642455647</v>
      </c>
      <c r="T134" s="159">
        <v>0</v>
      </c>
      <c r="U134" s="309">
        <f t="shared" si="2"/>
        <v>273381.56960467354</v>
      </c>
      <c r="V134" s="44"/>
      <c r="W134" s="44"/>
      <c r="X134" s="110"/>
      <c r="Y134" s="110"/>
      <c r="Z134" s="111"/>
    </row>
    <row r="135" spans="1:26" s="45" customFormat="1">
      <c r="A135" s="127">
        <v>421</v>
      </c>
      <c r="B135" s="124" t="s">
        <v>139</v>
      </c>
      <c r="C135" s="408">
        <v>682</v>
      </c>
      <c r="D135" s="412">
        <v>1.5782666666666665</v>
      </c>
      <c r="E135" s="420">
        <v>0</v>
      </c>
      <c r="F135" s="155">
        <v>0</v>
      </c>
      <c r="G135" s="419">
        <v>0</v>
      </c>
      <c r="H135" s="269">
        <v>246</v>
      </c>
      <c r="I135" s="15">
        <v>244</v>
      </c>
      <c r="J135" s="331">
        <v>1.0081967213114753</v>
      </c>
      <c r="K135" s="427">
        <v>1.0086220902107879</v>
      </c>
      <c r="L135" s="434">
        <v>0.38715194600000002</v>
      </c>
      <c r="M135" s="14">
        <f>Lisäosat[[#This Row],[HYTE-kerroin (sis. Kulttuurihyte)]]*Lisäosat[[#This Row],[Asukasmäärä 31.12.2023]]</f>
        <v>264.03762717200004</v>
      </c>
      <c r="N135" s="427">
        <f>Lisäosat[[#This Row],[HYTE-kerroin (sis. Kulttuurihyte)]]/$N$7</f>
        <v>0.5732309064974529</v>
      </c>
      <c r="O135" s="439">
        <v>0</v>
      </c>
      <c r="P135" s="197">
        <v>208375.99120799996</v>
      </c>
      <c r="Q135" s="159">
        <v>0</v>
      </c>
      <c r="R135" s="159">
        <v>9293.262387225961</v>
      </c>
      <c r="S135" s="159">
        <v>7783.6846515844436</v>
      </c>
      <c r="T135" s="159">
        <v>0</v>
      </c>
      <c r="U135" s="309">
        <f t="shared" si="2"/>
        <v>225452.93824681037</v>
      </c>
      <c r="V135" s="44"/>
      <c r="W135" s="44"/>
      <c r="X135" s="110"/>
      <c r="Y135" s="110"/>
      <c r="Z135" s="111"/>
    </row>
    <row r="136" spans="1:26" s="45" customFormat="1">
      <c r="A136" s="127">
        <v>422</v>
      </c>
      <c r="B136" s="124" t="s">
        <v>140</v>
      </c>
      <c r="C136" s="408">
        <v>10228</v>
      </c>
      <c r="D136" s="412">
        <v>1.20475</v>
      </c>
      <c r="E136" s="420">
        <v>0</v>
      </c>
      <c r="F136" s="155">
        <v>0</v>
      </c>
      <c r="G136" s="419">
        <v>0</v>
      </c>
      <c r="H136" s="269">
        <v>3257</v>
      </c>
      <c r="I136" s="15">
        <v>3240</v>
      </c>
      <c r="J136" s="331">
        <v>1.0052469135802469</v>
      </c>
      <c r="K136" s="427">
        <v>1.0056710379243639</v>
      </c>
      <c r="L136" s="434">
        <v>0.58640541999999996</v>
      </c>
      <c r="M136" s="14">
        <f>Lisäosat[[#This Row],[HYTE-kerroin (sis. Kulttuurihyte)]]*Lisäosat[[#This Row],[Asukasmäärä 31.12.2023]]</f>
        <v>5997.7546357599995</v>
      </c>
      <c r="N136" s="427">
        <f>Lisäosat[[#This Row],[HYTE-kerroin (sis. Kulttuurihyte)]]/$N$7</f>
        <v>0.86825266915129884</v>
      </c>
      <c r="O136" s="439">
        <v>0</v>
      </c>
      <c r="P136" s="197">
        <v>1192725.7034849999</v>
      </c>
      <c r="Q136" s="159">
        <v>0</v>
      </c>
      <c r="R136" s="159">
        <v>138963.90560827922</v>
      </c>
      <c r="S136" s="159">
        <v>176810.52205458254</v>
      </c>
      <c r="T136" s="159">
        <v>0</v>
      </c>
      <c r="U136" s="309">
        <f t="shared" si="2"/>
        <v>1508500.1311478617</v>
      </c>
      <c r="V136" s="44"/>
      <c r="W136" s="44"/>
      <c r="X136" s="110"/>
      <c r="Y136" s="110"/>
      <c r="Z136" s="111"/>
    </row>
    <row r="137" spans="1:26" s="45" customFormat="1">
      <c r="A137" s="127">
        <v>423</v>
      </c>
      <c r="B137" s="124" t="s">
        <v>141</v>
      </c>
      <c r="C137" s="408">
        <v>20637</v>
      </c>
      <c r="D137" s="412">
        <v>0</v>
      </c>
      <c r="E137" s="420">
        <v>0</v>
      </c>
      <c r="F137" s="155">
        <v>2</v>
      </c>
      <c r="G137" s="419">
        <v>9.6913311043271799E-5</v>
      </c>
      <c r="H137" s="269">
        <v>7002</v>
      </c>
      <c r="I137" s="15">
        <v>9688</v>
      </c>
      <c r="J137" s="331">
        <v>0.72274979355904212</v>
      </c>
      <c r="K137" s="427">
        <v>0.72305472936935178</v>
      </c>
      <c r="L137" s="434">
        <v>0.67139976700000004</v>
      </c>
      <c r="M137" s="14">
        <f>Lisäosat[[#This Row],[HYTE-kerroin (sis. Kulttuurihyte)]]*Lisäosat[[#This Row],[Asukasmäärä 31.12.2023]]</f>
        <v>13855.676991579001</v>
      </c>
      <c r="N137" s="427">
        <f>Lisäosat[[#This Row],[HYTE-kerroin (sis. Kulttuurihyte)]]/$N$7</f>
        <v>0.99409831472108534</v>
      </c>
      <c r="O137" s="439">
        <v>0.8060003553533498</v>
      </c>
      <c r="P137" s="197">
        <v>0</v>
      </c>
      <c r="Q137" s="159">
        <v>0</v>
      </c>
      <c r="R137" s="159">
        <v>201591.90287943667</v>
      </c>
      <c r="S137" s="159">
        <v>408457.76979509986</v>
      </c>
      <c r="T137" s="159">
        <v>175649.01376098997</v>
      </c>
      <c r="U137" s="309">
        <f t="shared" ref="U137:U199" si="3">SUM(P137:T137)</f>
        <v>785698.68643552647</v>
      </c>
      <c r="V137" s="44"/>
      <c r="W137" s="44"/>
      <c r="X137" s="110"/>
      <c r="Y137" s="110"/>
      <c r="Z137" s="111"/>
    </row>
    <row r="138" spans="1:26" s="45" customFormat="1">
      <c r="A138" s="127">
        <v>425</v>
      </c>
      <c r="B138" s="124" t="s">
        <v>142</v>
      </c>
      <c r="C138" s="408">
        <v>10256</v>
      </c>
      <c r="D138" s="412">
        <v>0</v>
      </c>
      <c r="E138" s="420">
        <v>0</v>
      </c>
      <c r="F138" s="155">
        <v>6</v>
      </c>
      <c r="G138" s="419">
        <v>5.8502340093603746E-4</v>
      </c>
      <c r="H138" s="269">
        <v>2625</v>
      </c>
      <c r="I138" s="15">
        <v>4272</v>
      </c>
      <c r="J138" s="331">
        <v>0.6144662921348315</v>
      </c>
      <c r="K138" s="427">
        <v>0.61472554198639828</v>
      </c>
      <c r="L138" s="434">
        <v>0.75045514300000005</v>
      </c>
      <c r="M138" s="14">
        <f>Lisäosat[[#This Row],[HYTE-kerroin (sis. Kulttuurihyte)]]*Lisäosat[[#This Row],[Asukasmäärä 31.12.2023]]</f>
        <v>7696.6679466080004</v>
      </c>
      <c r="N138" s="427">
        <f>Lisäosat[[#This Row],[HYTE-kerroin (sis. Kulttuurihyte)]]/$N$7</f>
        <v>1.111150509127405</v>
      </c>
      <c r="O138" s="439">
        <v>5.8872802642632539E-2</v>
      </c>
      <c r="P138" s="197">
        <v>0</v>
      </c>
      <c r="Q138" s="159">
        <v>0</v>
      </c>
      <c r="R138" s="159">
        <v>85175.485892854878</v>
      </c>
      <c r="S138" s="159">
        <v>226893.55606626836</v>
      </c>
      <c r="T138" s="159">
        <v>6376.1223388139833</v>
      </c>
      <c r="U138" s="309">
        <f t="shared" si="3"/>
        <v>318445.16429793718</v>
      </c>
      <c r="V138" s="44"/>
      <c r="W138" s="44"/>
      <c r="X138" s="110"/>
      <c r="Y138" s="110"/>
      <c r="Z138" s="111"/>
    </row>
    <row r="139" spans="1:26" s="45" customFormat="1">
      <c r="A139" s="127">
        <v>426</v>
      </c>
      <c r="B139" s="124" t="s">
        <v>143</v>
      </c>
      <c r="C139" s="408">
        <v>11969</v>
      </c>
      <c r="D139" s="412">
        <v>0</v>
      </c>
      <c r="E139" s="420">
        <v>0</v>
      </c>
      <c r="F139" s="155">
        <v>0</v>
      </c>
      <c r="G139" s="419">
        <v>0</v>
      </c>
      <c r="H139" s="269">
        <v>3369</v>
      </c>
      <c r="I139" s="15">
        <v>5004</v>
      </c>
      <c r="J139" s="331">
        <v>0.6732613908872902</v>
      </c>
      <c r="K139" s="427">
        <v>0.67354544701516461</v>
      </c>
      <c r="L139" s="434">
        <v>0.66019825300000001</v>
      </c>
      <c r="M139" s="14">
        <f>Lisäosat[[#This Row],[HYTE-kerroin (sis. Kulttuurihyte)]]*Lisäosat[[#This Row],[Asukasmäärä 31.12.2023]]</f>
        <v>7901.9128901570002</v>
      </c>
      <c r="N139" s="427">
        <f>Lisäosat[[#This Row],[HYTE-kerroin (sis. Kulttuurihyte)]]/$N$7</f>
        <v>0.97751295568904284</v>
      </c>
      <c r="O139" s="439">
        <v>0</v>
      </c>
      <c r="P139" s="197">
        <v>0</v>
      </c>
      <c r="Q139" s="159">
        <v>0</v>
      </c>
      <c r="R139" s="159">
        <v>108913.10030143407</v>
      </c>
      <c r="S139" s="159">
        <v>232944.06460184528</v>
      </c>
      <c r="T139" s="159">
        <v>0</v>
      </c>
      <c r="U139" s="309">
        <f t="shared" si="3"/>
        <v>341857.16490327934</v>
      </c>
      <c r="V139" s="44"/>
      <c r="W139" s="44"/>
      <c r="X139" s="110"/>
      <c r="Y139" s="110"/>
      <c r="Z139" s="111"/>
    </row>
    <row r="140" spans="1:26" s="45" customFormat="1">
      <c r="A140" s="127">
        <v>430</v>
      </c>
      <c r="B140" s="124" t="s">
        <v>144</v>
      </c>
      <c r="C140" s="408">
        <v>15420</v>
      </c>
      <c r="D140" s="412">
        <v>0</v>
      </c>
      <c r="E140" s="420">
        <v>0</v>
      </c>
      <c r="F140" s="155">
        <v>0</v>
      </c>
      <c r="G140" s="419">
        <v>0</v>
      </c>
      <c r="H140" s="269">
        <v>6177</v>
      </c>
      <c r="I140" s="15">
        <v>5983</v>
      </c>
      <c r="J140" s="331">
        <v>1.0324252047467826</v>
      </c>
      <c r="K140" s="427">
        <v>1.0328607959004559</v>
      </c>
      <c r="L140" s="434">
        <v>0.68756144299999999</v>
      </c>
      <c r="M140" s="14">
        <f>Lisäosat[[#This Row],[HYTE-kerroin (sis. Kulttuurihyte)]]*Lisäosat[[#This Row],[Asukasmäärä 31.12.2023]]</f>
        <v>10602.197451059999</v>
      </c>
      <c r="N140" s="427">
        <f>Lisäosat[[#This Row],[HYTE-kerroin (sis. Kulttuurihyte)]]/$N$7</f>
        <v>1.0180278655853294</v>
      </c>
      <c r="O140" s="439">
        <v>0</v>
      </c>
      <c r="P140" s="197">
        <v>0</v>
      </c>
      <c r="Q140" s="159">
        <v>0</v>
      </c>
      <c r="R140" s="159">
        <v>215169.89901732575</v>
      </c>
      <c r="S140" s="159">
        <v>312546.97467465629</v>
      </c>
      <c r="T140" s="159">
        <v>0</v>
      </c>
      <c r="U140" s="309">
        <f t="shared" si="3"/>
        <v>527716.87369198201</v>
      </c>
      <c r="V140" s="44"/>
      <c r="W140" s="44"/>
      <c r="X140" s="110"/>
      <c r="Y140" s="110"/>
      <c r="Z140" s="111"/>
    </row>
    <row r="141" spans="1:26" s="45" customFormat="1">
      <c r="A141" s="127">
        <v>433</v>
      </c>
      <c r="B141" s="124" t="s">
        <v>145</v>
      </c>
      <c r="C141" s="408">
        <v>7692</v>
      </c>
      <c r="D141" s="412">
        <v>0</v>
      </c>
      <c r="E141" s="420">
        <v>0</v>
      </c>
      <c r="F141" s="155">
        <v>0</v>
      </c>
      <c r="G141" s="419">
        <v>0</v>
      </c>
      <c r="H141" s="269">
        <v>1951</v>
      </c>
      <c r="I141" s="15">
        <v>3349</v>
      </c>
      <c r="J141" s="331">
        <v>0.58256195879366979</v>
      </c>
      <c r="K141" s="427">
        <v>0.58280774786831702</v>
      </c>
      <c r="L141" s="434">
        <v>0.56975860899999997</v>
      </c>
      <c r="M141" s="14">
        <f>Lisäosat[[#This Row],[HYTE-kerroin (sis. Kulttuurihyte)]]*Lisäosat[[#This Row],[Asukasmäärä 31.12.2023]]</f>
        <v>4382.5832204279995</v>
      </c>
      <c r="N141" s="427">
        <f>Lisäosat[[#This Row],[HYTE-kerroin (sis. Kulttuurihyte)]]/$N$7</f>
        <v>0.8436048101945941</v>
      </c>
      <c r="O141" s="439">
        <v>0</v>
      </c>
      <c r="P141" s="197">
        <v>0</v>
      </c>
      <c r="Q141" s="159">
        <v>0</v>
      </c>
      <c r="R141" s="159">
        <v>60564.751726107803</v>
      </c>
      <c r="S141" s="159">
        <v>129196.15326233485</v>
      </c>
      <c r="T141" s="159">
        <v>0</v>
      </c>
      <c r="U141" s="309">
        <f t="shared" si="3"/>
        <v>189760.90498844266</v>
      </c>
      <c r="V141" s="44"/>
      <c r="W141" s="44"/>
      <c r="X141" s="110"/>
      <c r="Y141" s="110"/>
      <c r="Z141" s="111"/>
    </row>
    <row r="142" spans="1:26" s="45" customFormat="1">
      <c r="A142" s="127">
        <v>434</v>
      </c>
      <c r="B142" s="124" t="s">
        <v>146</v>
      </c>
      <c r="C142" s="408">
        <v>14458</v>
      </c>
      <c r="D142" s="412">
        <v>0</v>
      </c>
      <c r="E142" s="420">
        <v>0</v>
      </c>
      <c r="F142" s="155">
        <v>0</v>
      </c>
      <c r="G142" s="419">
        <v>0</v>
      </c>
      <c r="H142" s="269">
        <v>4889</v>
      </c>
      <c r="I142" s="15">
        <v>5958</v>
      </c>
      <c r="J142" s="331">
        <v>0.82057737495803962</v>
      </c>
      <c r="K142" s="427">
        <v>0.82092358526343789</v>
      </c>
      <c r="L142" s="434">
        <v>0.56762039799999997</v>
      </c>
      <c r="M142" s="14">
        <f>Lisäosat[[#This Row],[HYTE-kerroin (sis. Kulttuurihyte)]]*Lisäosat[[#This Row],[Asukasmäärä 31.12.2023]]</f>
        <v>8206.6557142839993</v>
      </c>
      <c r="N142" s="427">
        <f>Lisäosat[[#This Row],[HYTE-kerroin (sis. Kulttuurihyte)]]/$N$7</f>
        <v>0.84043889912924508</v>
      </c>
      <c r="O142" s="439">
        <v>0</v>
      </c>
      <c r="P142" s="197">
        <v>0</v>
      </c>
      <c r="Q142" s="159">
        <v>0</v>
      </c>
      <c r="R142" s="159">
        <v>160349.01727443098</v>
      </c>
      <c r="S142" s="159">
        <v>241927.71616788753</v>
      </c>
      <c r="T142" s="159">
        <v>0</v>
      </c>
      <c r="U142" s="309">
        <f t="shared" si="3"/>
        <v>402276.73344231851</v>
      </c>
      <c r="V142" s="44"/>
      <c r="W142" s="44"/>
      <c r="X142" s="110"/>
      <c r="Y142" s="110"/>
      <c r="Z142" s="111"/>
    </row>
    <row r="143" spans="1:26" s="45" customFormat="1">
      <c r="A143" s="127">
        <v>435</v>
      </c>
      <c r="B143" s="124" t="s">
        <v>147</v>
      </c>
      <c r="C143" s="408">
        <v>702</v>
      </c>
      <c r="D143" s="412">
        <v>1.5087833333333334</v>
      </c>
      <c r="E143" s="420">
        <v>0</v>
      </c>
      <c r="F143" s="155">
        <v>0</v>
      </c>
      <c r="G143" s="419">
        <v>0</v>
      </c>
      <c r="H143" s="269">
        <v>161</v>
      </c>
      <c r="I143" s="15">
        <v>247</v>
      </c>
      <c r="J143" s="331">
        <v>0.65182186234817818</v>
      </c>
      <c r="K143" s="427">
        <v>0.65209687291136897</v>
      </c>
      <c r="L143" s="434">
        <v>0.424762523</v>
      </c>
      <c r="M143" s="14">
        <f>Lisäosat[[#This Row],[HYTE-kerroin (sis. Kulttuurihyte)]]*Lisäosat[[#This Row],[Asukasmäärä 31.12.2023]]</f>
        <v>298.18329114599999</v>
      </c>
      <c r="N143" s="427">
        <f>Lisäosat[[#This Row],[HYTE-kerroin (sis. Kulttuurihyte)]]/$N$7</f>
        <v>0.62891846113937688</v>
      </c>
      <c r="O143" s="439">
        <v>0.15087005121880623</v>
      </c>
      <c r="P143" s="197">
        <v>205043.92658100001</v>
      </c>
      <c r="Q143" s="159">
        <v>0</v>
      </c>
      <c r="R143" s="159">
        <v>6184.4997846288816</v>
      </c>
      <c r="S143" s="159">
        <v>8790.2801260220658</v>
      </c>
      <c r="T143" s="159">
        <v>1118.417794091157</v>
      </c>
      <c r="U143" s="309">
        <f t="shared" si="3"/>
        <v>221137.12428574212</v>
      </c>
      <c r="V143" s="44"/>
      <c r="W143" s="44"/>
      <c r="X143" s="110"/>
      <c r="Y143" s="110"/>
      <c r="Z143" s="111"/>
    </row>
    <row r="144" spans="1:26" s="45" customFormat="1">
      <c r="A144" s="127">
        <v>436</v>
      </c>
      <c r="B144" s="124" t="s">
        <v>148</v>
      </c>
      <c r="C144" s="408">
        <v>2033</v>
      </c>
      <c r="D144" s="412">
        <v>6.2333333333333331E-2</v>
      </c>
      <c r="E144" s="420">
        <v>0</v>
      </c>
      <c r="F144" s="155">
        <v>0</v>
      </c>
      <c r="G144" s="419">
        <v>0</v>
      </c>
      <c r="H144" s="269">
        <v>482</v>
      </c>
      <c r="I144" s="15">
        <v>780</v>
      </c>
      <c r="J144" s="331">
        <v>0.61794871794871797</v>
      </c>
      <c r="K144" s="427">
        <v>0.61820943707270359</v>
      </c>
      <c r="L144" s="434">
        <v>0.56448595099999999</v>
      </c>
      <c r="M144" s="14">
        <f>Lisäosat[[#This Row],[HYTE-kerroin (sis. Kulttuurihyte)]]*Lisäosat[[#This Row],[Asukasmäärä 31.12.2023]]</f>
        <v>1147.5999383829999</v>
      </c>
      <c r="N144" s="427">
        <f>Lisäosat[[#This Row],[HYTE-kerroin (sis. Kulttuurihyte)]]/$N$7</f>
        <v>0.83579792569816169</v>
      </c>
      <c r="O144" s="439">
        <v>0</v>
      </c>
      <c r="P144" s="197">
        <v>8177.4782099999993</v>
      </c>
      <c r="Q144" s="159">
        <v>0</v>
      </c>
      <c r="R144" s="159">
        <v>16979.635303034574</v>
      </c>
      <c r="S144" s="159">
        <v>33830.617712422267</v>
      </c>
      <c r="T144" s="159">
        <v>0</v>
      </c>
      <c r="U144" s="309">
        <f t="shared" si="3"/>
        <v>58987.731225456839</v>
      </c>
      <c r="V144" s="44"/>
      <c r="W144" s="44"/>
      <c r="X144" s="110"/>
      <c r="Y144" s="110"/>
      <c r="Z144" s="111"/>
    </row>
    <row r="145" spans="1:26" s="45" customFormat="1">
      <c r="A145" s="127">
        <v>440</v>
      </c>
      <c r="B145" s="124" t="s">
        <v>149</v>
      </c>
      <c r="C145" s="408">
        <v>5843</v>
      </c>
      <c r="D145" s="412">
        <v>0</v>
      </c>
      <c r="E145" s="420">
        <v>0</v>
      </c>
      <c r="F145" s="155">
        <v>0</v>
      </c>
      <c r="G145" s="419">
        <v>0</v>
      </c>
      <c r="H145" s="269">
        <v>1220</v>
      </c>
      <c r="I145" s="15">
        <v>2524</v>
      </c>
      <c r="J145" s="331">
        <v>0.48335974643423135</v>
      </c>
      <c r="K145" s="427">
        <v>0.48356368104239522</v>
      </c>
      <c r="L145" s="434">
        <v>0.70866036499999996</v>
      </c>
      <c r="M145" s="14">
        <f>Lisäosat[[#This Row],[HYTE-kerroin (sis. Kulttuurihyte)]]*Lisäosat[[#This Row],[Asukasmäärä 31.12.2023]]</f>
        <v>4140.7025126949993</v>
      </c>
      <c r="N145" s="427">
        <f>Lisäosat[[#This Row],[HYTE-kerroin (sis. Kulttuurihyte)]]/$N$7</f>
        <v>1.049267678039169</v>
      </c>
      <c r="O145" s="439">
        <v>1.8277552646167372</v>
      </c>
      <c r="P145" s="197">
        <v>0</v>
      </c>
      <c r="Q145" s="159">
        <v>0</v>
      </c>
      <c r="R145" s="159">
        <v>38171.999568347965</v>
      </c>
      <c r="S145" s="159">
        <v>122065.64246180684</v>
      </c>
      <c r="T145" s="159">
        <v>112776.30155780309</v>
      </c>
      <c r="U145" s="309">
        <f t="shared" si="3"/>
        <v>273013.94358795788</v>
      </c>
      <c r="V145" s="44"/>
      <c r="W145" s="44"/>
      <c r="X145" s="110"/>
      <c r="Y145" s="110"/>
      <c r="Z145" s="111"/>
    </row>
    <row r="146" spans="1:26" s="45" customFormat="1">
      <c r="A146" s="127">
        <v>441</v>
      </c>
      <c r="B146" s="124" t="s">
        <v>150</v>
      </c>
      <c r="C146" s="408">
        <v>4396</v>
      </c>
      <c r="D146" s="412">
        <v>0.6498666666666667</v>
      </c>
      <c r="E146" s="420">
        <v>0</v>
      </c>
      <c r="F146" s="155">
        <v>0</v>
      </c>
      <c r="G146" s="419">
        <v>0</v>
      </c>
      <c r="H146" s="269">
        <v>1172</v>
      </c>
      <c r="I146" s="15">
        <v>1659</v>
      </c>
      <c r="J146" s="331">
        <v>0.70644966847498492</v>
      </c>
      <c r="K146" s="427">
        <v>0.70674772708948641</v>
      </c>
      <c r="L146" s="434">
        <v>0.68107540600000005</v>
      </c>
      <c r="M146" s="14">
        <f>Lisäosat[[#This Row],[HYTE-kerroin (sis. Kulttuurihyte)]]*Lisäosat[[#This Row],[Asukasmäärä 31.12.2023]]</f>
        <v>2994.0074847760002</v>
      </c>
      <c r="N146" s="427">
        <f>Lisäosat[[#This Row],[HYTE-kerroin (sis. Kulttuurihyte)]]/$N$7</f>
        <v>1.0084244090936347</v>
      </c>
      <c r="O146" s="439">
        <v>0</v>
      </c>
      <c r="P146" s="197">
        <v>184350.19881600002</v>
      </c>
      <c r="Q146" s="159">
        <v>0</v>
      </c>
      <c r="R146" s="159">
        <v>41973.719241935512</v>
      </c>
      <c r="S146" s="159">
        <v>88261.701014298567</v>
      </c>
      <c r="T146" s="159">
        <v>0</v>
      </c>
      <c r="U146" s="309">
        <f t="shared" si="3"/>
        <v>314585.61907223414</v>
      </c>
      <c r="V146" s="44"/>
      <c r="W146" s="44"/>
      <c r="X146" s="110"/>
      <c r="Y146" s="110"/>
      <c r="Z146" s="111"/>
    </row>
    <row r="147" spans="1:26" s="45" customFormat="1">
      <c r="A147" s="127">
        <v>444</v>
      </c>
      <c r="B147" s="124" t="s">
        <v>151</v>
      </c>
      <c r="C147" s="408">
        <v>45645</v>
      </c>
      <c r="D147" s="412">
        <v>0</v>
      </c>
      <c r="E147" s="420">
        <v>0</v>
      </c>
      <c r="F147" s="155">
        <v>2</v>
      </c>
      <c r="G147" s="419">
        <v>4.3816409245262348E-5</v>
      </c>
      <c r="H147" s="269">
        <v>15577</v>
      </c>
      <c r="I147" s="15">
        <v>19548</v>
      </c>
      <c r="J147" s="331">
        <v>0.79685901370984247</v>
      </c>
      <c r="K147" s="427">
        <v>0.79719521698684603</v>
      </c>
      <c r="L147" s="434">
        <v>0.60385820099999998</v>
      </c>
      <c r="M147" s="14">
        <f>Lisäosat[[#This Row],[HYTE-kerroin (sis. Kulttuurihyte)]]*Lisäosat[[#This Row],[Asukasmäärä 31.12.2023]]</f>
        <v>27563.107584645</v>
      </c>
      <c r="N147" s="427">
        <f>Lisäosat[[#This Row],[HYTE-kerroin (sis. Kulttuurihyte)]]/$N$7</f>
        <v>0.89409387588394318</v>
      </c>
      <c r="O147" s="439">
        <v>0</v>
      </c>
      <c r="P147" s="197">
        <v>0</v>
      </c>
      <c r="Q147" s="159">
        <v>0</v>
      </c>
      <c r="R147" s="159">
        <v>491601.55142821558</v>
      </c>
      <c r="S147" s="159">
        <v>812545.31694762665</v>
      </c>
      <c r="T147" s="159">
        <v>0</v>
      </c>
      <c r="U147" s="309">
        <f t="shared" si="3"/>
        <v>1304146.8683758422</v>
      </c>
      <c r="V147" s="44"/>
      <c r="W147" s="44"/>
      <c r="X147" s="110"/>
      <c r="Y147" s="110"/>
      <c r="Z147" s="111"/>
    </row>
    <row r="148" spans="1:26" s="45" customFormat="1">
      <c r="A148" s="127">
        <v>445</v>
      </c>
      <c r="B148" s="124" t="s">
        <v>152</v>
      </c>
      <c r="C148" s="408">
        <v>14999</v>
      </c>
      <c r="D148" s="412">
        <v>0</v>
      </c>
      <c r="E148" s="420">
        <v>0</v>
      </c>
      <c r="F148" s="155">
        <v>0</v>
      </c>
      <c r="G148" s="419">
        <v>0</v>
      </c>
      <c r="H148" s="269">
        <v>5088</v>
      </c>
      <c r="I148" s="15">
        <v>6412</v>
      </c>
      <c r="J148" s="331">
        <v>0.793512164691204</v>
      </c>
      <c r="K148" s="427">
        <v>0.79384695589707777</v>
      </c>
      <c r="L148" s="434">
        <v>0.62649842200000005</v>
      </c>
      <c r="M148" s="14">
        <f>Lisäosat[[#This Row],[HYTE-kerroin (sis. Kulttuurihyte)]]*Lisäosat[[#This Row],[Asukasmäärä 31.12.2023]]</f>
        <v>9396.8498315780016</v>
      </c>
      <c r="N148" s="427">
        <f>Lisäosat[[#This Row],[HYTE-kerroin (sis. Kulttuurihyte)]]/$N$7</f>
        <v>0.92761579031888364</v>
      </c>
      <c r="O148" s="439">
        <v>0</v>
      </c>
      <c r="P148" s="197">
        <v>0</v>
      </c>
      <c r="Q148" s="159">
        <v>0</v>
      </c>
      <c r="R148" s="159">
        <v>160862.36074016863</v>
      </c>
      <c r="S148" s="159">
        <v>277013.98694834934</v>
      </c>
      <c r="T148" s="159">
        <v>0</v>
      </c>
      <c r="U148" s="309">
        <f t="shared" si="3"/>
        <v>437876.347688518</v>
      </c>
      <c r="V148" s="44"/>
      <c r="W148" s="44"/>
      <c r="X148" s="110"/>
      <c r="Y148" s="110"/>
      <c r="Z148" s="111"/>
    </row>
    <row r="149" spans="1:26" s="45" customFormat="1">
      <c r="A149" s="127">
        <v>475</v>
      </c>
      <c r="B149" s="124" t="s">
        <v>153</v>
      </c>
      <c r="C149" s="408">
        <v>5456</v>
      </c>
      <c r="D149" s="412">
        <v>8.0533333333333332E-2</v>
      </c>
      <c r="E149" s="420">
        <v>0</v>
      </c>
      <c r="F149" s="155">
        <v>0</v>
      </c>
      <c r="G149" s="419">
        <v>0</v>
      </c>
      <c r="H149" s="269">
        <v>1779</v>
      </c>
      <c r="I149" s="15">
        <v>2476</v>
      </c>
      <c r="J149" s="331">
        <v>0.71849757673667203</v>
      </c>
      <c r="K149" s="427">
        <v>0.71880071849156457</v>
      </c>
      <c r="L149" s="434">
        <v>0.70287529900000001</v>
      </c>
      <c r="M149" s="14">
        <f>Lisäosat[[#This Row],[HYTE-kerroin (sis. Kulttuurihyte)]]*Lisäosat[[#This Row],[Asukasmäärä 31.12.2023]]</f>
        <v>3834.8876313440001</v>
      </c>
      <c r="N149" s="427">
        <f>Lisäosat[[#This Row],[HYTE-kerroin (sis. Kulttuurihyte)]]/$N$7</f>
        <v>1.0407021040788935</v>
      </c>
      <c r="O149" s="439">
        <v>3.1615161714793061E-2</v>
      </c>
      <c r="P149" s="197">
        <v>28353.828096000001</v>
      </c>
      <c r="Q149" s="159">
        <v>0</v>
      </c>
      <c r="R149" s="159">
        <v>52983.20348841558</v>
      </c>
      <c r="S149" s="159">
        <v>113050.38723590197</v>
      </c>
      <c r="T149" s="159">
        <v>1821.5189236560195</v>
      </c>
      <c r="U149" s="309">
        <f t="shared" si="3"/>
        <v>196208.93774397357</v>
      </c>
      <c r="V149" s="44"/>
      <c r="W149" s="44"/>
      <c r="X149" s="110"/>
      <c r="Y149" s="110"/>
      <c r="Z149" s="111"/>
    </row>
    <row r="150" spans="1:26" s="45" customFormat="1">
      <c r="A150" s="127">
        <v>480</v>
      </c>
      <c r="B150" s="124" t="s">
        <v>154</v>
      </c>
      <c r="C150" s="408">
        <v>1930</v>
      </c>
      <c r="D150" s="412">
        <v>0</v>
      </c>
      <c r="E150" s="420">
        <v>0</v>
      </c>
      <c r="F150" s="155">
        <v>0</v>
      </c>
      <c r="G150" s="419">
        <v>0</v>
      </c>
      <c r="H150" s="269">
        <v>476</v>
      </c>
      <c r="I150" s="15">
        <v>813</v>
      </c>
      <c r="J150" s="331">
        <v>0.58548585485854854</v>
      </c>
      <c r="K150" s="427">
        <v>0.58573287755598435</v>
      </c>
      <c r="L150" s="434">
        <v>0.52605916500000005</v>
      </c>
      <c r="M150" s="14">
        <f>Lisäosat[[#This Row],[HYTE-kerroin (sis. Kulttuurihyte)]]*Lisäosat[[#This Row],[Asukasmäärä 31.12.2023]]</f>
        <v>1015.2941884500001</v>
      </c>
      <c r="N150" s="427">
        <f>Lisäosat[[#This Row],[HYTE-kerroin (sis. Kulttuurihyte)]]/$N$7</f>
        <v>0.77890186305364228</v>
      </c>
      <c r="O150" s="439">
        <v>0</v>
      </c>
      <c r="P150" s="197">
        <v>0</v>
      </c>
      <c r="Q150" s="159">
        <v>0</v>
      </c>
      <c r="R150" s="159">
        <v>15272.574769258004</v>
      </c>
      <c r="S150" s="159">
        <v>29930.316660258177</v>
      </c>
      <c r="T150" s="159">
        <v>0</v>
      </c>
      <c r="U150" s="309">
        <f t="shared" si="3"/>
        <v>45202.891429516181</v>
      </c>
      <c r="V150" s="44"/>
      <c r="W150" s="44"/>
      <c r="X150" s="110"/>
      <c r="Y150" s="110"/>
      <c r="Z150" s="111"/>
    </row>
    <row r="151" spans="1:26" s="45" customFormat="1">
      <c r="A151" s="127">
        <v>481</v>
      </c>
      <c r="B151" s="124" t="s">
        <v>155</v>
      </c>
      <c r="C151" s="408">
        <v>9619</v>
      </c>
      <c r="D151" s="412">
        <v>0</v>
      </c>
      <c r="E151" s="420">
        <v>0</v>
      </c>
      <c r="F151" s="155">
        <v>0</v>
      </c>
      <c r="G151" s="419">
        <v>0</v>
      </c>
      <c r="H151" s="269">
        <v>2460</v>
      </c>
      <c r="I151" s="15">
        <v>4614</v>
      </c>
      <c r="J151" s="331">
        <v>0.53315994798439537</v>
      </c>
      <c r="K151" s="427">
        <v>0.53338489382625121</v>
      </c>
      <c r="L151" s="434">
        <v>0.70780330000000002</v>
      </c>
      <c r="M151" s="14">
        <f>Lisäosat[[#This Row],[HYTE-kerroin (sis. Kulttuurihyte)]]*Lisäosat[[#This Row],[Asukasmäärä 31.12.2023]]</f>
        <v>6808.3599426999999</v>
      </c>
      <c r="N151" s="427">
        <f>Lisäosat[[#This Row],[HYTE-kerroin (sis. Kulttuurihyte)]]/$N$7</f>
        <v>1.0479986771934979</v>
      </c>
      <c r="O151" s="439">
        <v>0.26553773627993787</v>
      </c>
      <c r="P151" s="197">
        <v>0</v>
      </c>
      <c r="Q151" s="159">
        <v>0</v>
      </c>
      <c r="R151" s="159">
        <v>69314.801758085727</v>
      </c>
      <c r="S151" s="159">
        <v>200706.72258365195</v>
      </c>
      <c r="T151" s="159">
        <v>26972.431044522189</v>
      </c>
      <c r="U151" s="309">
        <f t="shared" si="3"/>
        <v>296993.95538625988</v>
      </c>
      <c r="V151" s="44"/>
      <c r="W151" s="44"/>
      <c r="X151" s="110"/>
      <c r="Y151" s="110"/>
      <c r="Z151" s="111"/>
    </row>
    <row r="152" spans="1:26" s="45" customFormat="1">
      <c r="A152" s="127">
        <v>483</v>
      </c>
      <c r="B152" s="124" t="s">
        <v>156</v>
      </c>
      <c r="C152" s="408">
        <v>1055</v>
      </c>
      <c r="D152" s="412">
        <v>0.44555</v>
      </c>
      <c r="E152" s="420">
        <v>0</v>
      </c>
      <c r="F152" s="155">
        <v>0</v>
      </c>
      <c r="G152" s="419">
        <v>0</v>
      </c>
      <c r="H152" s="269">
        <v>269</v>
      </c>
      <c r="I152" s="15">
        <v>387</v>
      </c>
      <c r="J152" s="331">
        <v>0.69509043927648584</v>
      </c>
      <c r="K152" s="427">
        <v>0.69538370531160365</v>
      </c>
      <c r="L152" s="434">
        <v>0.42269958600000002</v>
      </c>
      <c r="M152" s="14">
        <f>Lisäosat[[#This Row],[HYTE-kerroin (sis. Kulttuurihyte)]]*Lisäosat[[#This Row],[Asukasmäärä 31.12.2023]]</f>
        <v>445.94806323</v>
      </c>
      <c r="N152" s="427">
        <f>Lisäosat[[#This Row],[HYTE-kerroin (sis. Kulttuurihyte)]]/$N$7</f>
        <v>0.62586400342897419</v>
      </c>
      <c r="O152" s="439">
        <v>0</v>
      </c>
      <c r="P152" s="197">
        <v>30332.665282500002</v>
      </c>
      <c r="Q152" s="159">
        <v>0</v>
      </c>
      <c r="R152" s="159">
        <v>9911.3387209915527</v>
      </c>
      <c r="S152" s="159">
        <v>13146.304685225776</v>
      </c>
      <c r="T152" s="159">
        <v>0</v>
      </c>
      <c r="U152" s="309">
        <f t="shared" si="3"/>
        <v>53390.308688717334</v>
      </c>
      <c r="V152" s="44"/>
      <c r="W152" s="44"/>
      <c r="X152" s="110"/>
      <c r="Y152" s="110"/>
      <c r="Z152" s="111"/>
    </row>
    <row r="153" spans="1:26" s="45" customFormat="1">
      <c r="A153" s="127">
        <v>484</v>
      </c>
      <c r="B153" s="124" t="s">
        <v>157</v>
      </c>
      <c r="C153" s="408">
        <v>2966</v>
      </c>
      <c r="D153" s="412">
        <v>0.84028333333333327</v>
      </c>
      <c r="E153" s="420">
        <v>0</v>
      </c>
      <c r="F153" s="155">
        <v>0</v>
      </c>
      <c r="G153" s="419">
        <v>0</v>
      </c>
      <c r="H153" s="269">
        <v>927</v>
      </c>
      <c r="I153" s="15">
        <v>1031</v>
      </c>
      <c r="J153" s="331">
        <v>0.8991270611057226</v>
      </c>
      <c r="K153" s="427">
        <v>0.89950641235755691</v>
      </c>
      <c r="L153" s="434">
        <v>0.45776500199999998</v>
      </c>
      <c r="M153" s="14">
        <f>Lisäosat[[#This Row],[HYTE-kerroin (sis. Kulttuurihyte)]]*Lisäosat[[#This Row],[Asukasmäärä 31.12.2023]]</f>
        <v>1357.730995932</v>
      </c>
      <c r="N153" s="427">
        <f>Lisäosat[[#This Row],[HYTE-kerroin (sis. Kulttuurihyte)]]/$N$7</f>
        <v>0.6777831023979104</v>
      </c>
      <c r="O153" s="439">
        <v>0</v>
      </c>
      <c r="P153" s="197">
        <v>160826.85206099998</v>
      </c>
      <c r="Q153" s="159">
        <v>0</v>
      </c>
      <c r="R153" s="159">
        <v>36043.815617399465</v>
      </c>
      <c r="S153" s="159">
        <v>40025.166212889948</v>
      </c>
      <c r="T153" s="159">
        <v>0</v>
      </c>
      <c r="U153" s="309">
        <f t="shared" si="3"/>
        <v>236895.8338912894</v>
      </c>
      <c r="V153" s="44"/>
      <c r="W153" s="44"/>
      <c r="X153" s="110"/>
      <c r="Y153" s="110"/>
      <c r="Z153" s="111"/>
    </row>
    <row r="154" spans="1:26" s="45" customFormat="1">
      <c r="A154" s="127">
        <v>489</v>
      </c>
      <c r="B154" s="124" t="s">
        <v>158</v>
      </c>
      <c r="C154" s="408">
        <v>1752</v>
      </c>
      <c r="D154" s="412">
        <v>1.1574333333333333</v>
      </c>
      <c r="E154" s="420">
        <v>0</v>
      </c>
      <c r="F154" s="155">
        <v>0</v>
      </c>
      <c r="G154" s="419">
        <v>0</v>
      </c>
      <c r="H154" s="269">
        <v>450</v>
      </c>
      <c r="I154" s="15">
        <v>633</v>
      </c>
      <c r="J154" s="331">
        <v>0.7109004739336493</v>
      </c>
      <c r="K154" s="427">
        <v>0.71120041039022164</v>
      </c>
      <c r="L154" s="434">
        <v>0.47244665800000002</v>
      </c>
      <c r="M154" s="14">
        <f>Lisäosat[[#This Row],[HYTE-kerroin (sis. Kulttuurihyte)]]*Lisäosat[[#This Row],[Asukasmäärä 31.12.2023]]</f>
        <v>827.726544816</v>
      </c>
      <c r="N154" s="427">
        <f>Lisäosat[[#This Row],[HYTE-kerroin (sis. Kulttuurihyte)]]/$N$7</f>
        <v>0.69952128314249018</v>
      </c>
      <c r="O154" s="439">
        <v>0</v>
      </c>
      <c r="P154" s="197">
        <v>196283.14664399999</v>
      </c>
      <c r="Q154" s="159">
        <v>0</v>
      </c>
      <c r="R154" s="159">
        <v>16833.77233773956</v>
      </c>
      <c r="S154" s="159">
        <v>24400.925245386949</v>
      </c>
      <c r="T154" s="159">
        <v>0</v>
      </c>
      <c r="U154" s="309">
        <f t="shared" si="3"/>
        <v>237517.84422712651</v>
      </c>
      <c r="V154" s="44"/>
      <c r="W154" s="44"/>
      <c r="X154" s="110"/>
      <c r="Y154" s="110"/>
      <c r="Z154" s="111"/>
    </row>
    <row r="155" spans="1:26" s="45" customFormat="1">
      <c r="A155" s="127">
        <v>491</v>
      </c>
      <c r="B155" s="124" t="s">
        <v>159</v>
      </c>
      <c r="C155" s="408">
        <v>51919</v>
      </c>
      <c r="D155" s="412">
        <v>0</v>
      </c>
      <c r="E155" s="420">
        <v>0</v>
      </c>
      <c r="F155" s="155">
        <v>0</v>
      </c>
      <c r="G155" s="419">
        <v>0</v>
      </c>
      <c r="H155" s="269">
        <v>21966</v>
      </c>
      <c r="I155" s="15">
        <v>21256</v>
      </c>
      <c r="J155" s="331">
        <v>1.0334023334587881</v>
      </c>
      <c r="K155" s="427">
        <v>1.0338383368734378</v>
      </c>
      <c r="L155" s="434">
        <v>0.71873453399999998</v>
      </c>
      <c r="M155" s="14">
        <f>Lisäosat[[#This Row],[HYTE-kerroin (sis. Kulttuurihyte)]]*Lisäosat[[#This Row],[Asukasmäärä 31.12.2023]]</f>
        <v>37315.978270745996</v>
      </c>
      <c r="N155" s="427">
        <f>Lisäosat[[#This Row],[HYTE-kerroin (sis. Kulttuurihyte)]]/$N$7</f>
        <v>1.0641838500686351</v>
      </c>
      <c r="O155" s="439">
        <v>0</v>
      </c>
      <c r="P155" s="197">
        <v>0</v>
      </c>
      <c r="Q155" s="159">
        <v>0</v>
      </c>
      <c r="R155" s="159">
        <v>725160.76878990349</v>
      </c>
      <c r="S155" s="159">
        <v>1100054.6037162151</v>
      </c>
      <c r="T155" s="159">
        <v>0</v>
      </c>
      <c r="U155" s="309">
        <f t="shared" si="3"/>
        <v>1825215.3725061186</v>
      </c>
      <c r="V155" s="44"/>
      <c r="W155" s="44"/>
      <c r="X155" s="110"/>
      <c r="Y155" s="110"/>
      <c r="Z155" s="111"/>
    </row>
    <row r="156" spans="1:26" s="45" customFormat="1">
      <c r="A156" s="127">
        <v>494</v>
      </c>
      <c r="B156" s="124" t="s">
        <v>160</v>
      </c>
      <c r="C156" s="408">
        <v>8827</v>
      </c>
      <c r="D156" s="412">
        <v>0.19033333333333333</v>
      </c>
      <c r="E156" s="420">
        <v>0</v>
      </c>
      <c r="F156" s="155">
        <v>0</v>
      </c>
      <c r="G156" s="419">
        <v>0</v>
      </c>
      <c r="H156" s="269">
        <v>2571</v>
      </c>
      <c r="I156" s="15">
        <v>3518</v>
      </c>
      <c r="J156" s="331">
        <v>0.7308129619101762</v>
      </c>
      <c r="K156" s="427">
        <v>0.73112129965680839</v>
      </c>
      <c r="L156" s="434">
        <v>0.53040572699999999</v>
      </c>
      <c r="M156" s="14">
        <f>Lisäosat[[#This Row],[HYTE-kerroin (sis. Kulttuurihyte)]]*Lisäosat[[#This Row],[Asukasmäärä 31.12.2023]]</f>
        <v>4681.8913522289995</v>
      </c>
      <c r="N156" s="427">
        <f>Lisäosat[[#This Row],[HYTE-kerroin (sis. Kulttuurihyte)]]/$N$7</f>
        <v>0.78533753695674435</v>
      </c>
      <c r="O156" s="439">
        <v>0</v>
      </c>
      <c r="P156" s="197">
        <v>108415.06767</v>
      </c>
      <c r="Q156" s="159">
        <v>0</v>
      </c>
      <c r="R156" s="159">
        <v>87188.240190074444</v>
      </c>
      <c r="S156" s="159">
        <v>138019.59307485909</v>
      </c>
      <c r="T156" s="159">
        <v>0</v>
      </c>
      <c r="U156" s="309">
        <f t="shared" si="3"/>
        <v>333622.90093493357</v>
      </c>
      <c r="V156" s="44"/>
      <c r="W156" s="44"/>
      <c r="X156" s="110"/>
      <c r="Y156" s="110"/>
      <c r="Z156" s="111"/>
    </row>
    <row r="157" spans="1:26" s="45" customFormat="1">
      <c r="A157" s="127">
        <v>495</v>
      </c>
      <c r="B157" s="124" t="s">
        <v>161</v>
      </c>
      <c r="C157" s="408">
        <v>1430</v>
      </c>
      <c r="D157" s="412">
        <v>0.85261666666666658</v>
      </c>
      <c r="E157" s="420">
        <v>0</v>
      </c>
      <c r="F157" s="155">
        <v>0</v>
      </c>
      <c r="G157" s="419">
        <v>0</v>
      </c>
      <c r="H157" s="269">
        <v>536</v>
      </c>
      <c r="I157" s="15">
        <v>508</v>
      </c>
      <c r="J157" s="331">
        <v>1.0551181102362204</v>
      </c>
      <c r="K157" s="427">
        <v>1.0555632757676181</v>
      </c>
      <c r="L157" s="434">
        <v>0.59203978999999995</v>
      </c>
      <c r="M157" s="14">
        <f>Lisäosat[[#This Row],[HYTE-kerroin (sis. Kulttuurihyte)]]*Lisäosat[[#This Row],[Asukasmäärä 31.12.2023]]</f>
        <v>846.61689969999998</v>
      </c>
      <c r="N157" s="427">
        <f>Lisäosat[[#This Row],[HYTE-kerroin (sis. Kulttuurihyte)]]/$N$7</f>
        <v>0.87659511726763106</v>
      </c>
      <c r="O157" s="439">
        <v>0</v>
      </c>
      <c r="P157" s="197">
        <v>78677.675504999992</v>
      </c>
      <c r="Q157" s="159">
        <v>0</v>
      </c>
      <c r="R157" s="159">
        <v>20392.743593537347</v>
      </c>
      <c r="S157" s="159">
        <v>24957.802562261902</v>
      </c>
      <c r="T157" s="159">
        <v>0</v>
      </c>
      <c r="U157" s="309">
        <f t="shared" si="3"/>
        <v>124028.22166079925</v>
      </c>
      <c r="V157" s="44"/>
      <c r="W157" s="44"/>
      <c r="X157" s="110"/>
      <c r="Y157" s="110"/>
      <c r="Z157" s="111"/>
    </row>
    <row r="158" spans="1:26" s="45" customFormat="1">
      <c r="A158" s="127">
        <v>498</v>
      </c>
      <c r="B158" s="124" t="s">
        <v>162</v>
      </c>
      <c r="C158" s="408">
        <v>2325</v>
      </c>
      <c r="D158" s="412">
        <v>1.8335333333333335</v>
      </c>
      <c r="E158" s="420">
        <v>0</v>
      </c>
      <c r="F158" s="155">
        <v>9</v>
      </c>
      <c r="G158" s="419">
        <v>3.8709677419354839E-3</v>
      </c>
      <c r="H158" s="269">
        <v>1050</v>
      </c>
      <c r="I158" s="15">
        <v>988</v>
      </c>
      <c r="J158" s="331">
        <v>1.0627530364372471</v>
      </c>
      <c r="K158" s="427">
        <v>1.0632014232250582</v>
      </c>
      <c r="L158" s="434">
        <v>0.64032521499999995</v>
      </c>
      <c r="M158" s="14">
        <f>Lisäosat[[#This Row],[HYTE-kerroin (sis. Kulttuurihyte)]]*Lisäosat[[#This Row],[Asukasmäärä 31.12.2023]]</f>
        <v>1488.7561248749998</v>
      </c>
      <c r="N158" s="427">
        <f>Lisäosat[[#This Row],[HYTE-kerroin (sis. Kulttuurihyte)]]/$N$7</f>
        <v>0.94808823057711389</v>
      </c>
      <c r="O158" s="439">
        <v>0.41680817565098077</v>
      </c>
      <c r="P158" s="197">
        <v>825267.39434999996</v>
      </c>
      <c r="Q158" s="159">
        <v>0</v>
      </c>
      <c r="R158" s="159">
        <v>33395.954104566496</v>
      </c>
      <c r="S158" s="159">
        <v>43887.715259587538</v>
      </c>
      <c r="T158" s="159">
        <v>10233.474328582881</v>
      </c>
      <c r="U158" s="309">
        <f t="shared" si="3"/>
        <v>912784.53804273682</v>
      </c>
      <c r="V158" s="44"/>
      <c r="W158" s="44"/>
      <c r="X158" s="110"/>
      <c r="Y158" s="110"/>
      <c r="Z158" s="111"/>
    </row>
    <row r="159" spans="1:26" s="45" customFormat="1">
      <c r="A159" s="127">
        <v>499</v>
      </c>
      <c r="B159" s="124" t="s">
        <v>163</v>
      </c>
      <c r="C159" s="408">
        <v>19763</v>
      </c>
      <c r="D159" s="412">
        <v>0</v>
      </c>
      <c r="E159" s="420">
        <v>0</v>
      </c>
      <c r="F159" s="155">
        <v>0</v>
      </c>
      <c r="G159" s="419">
        <v>0</v>
      </c>
      <c r="H159" s="269">
        <v>5284</v>
      </c>
      <c r="I159" s="15">
        <v>9303</v>
      </c>
      <c r="J159" s="331">
        <v>0.56798882081049129</v>
      </c>
      <c r="K159" s="427">
        <v>0.56822846132352112</v>
      </c>
      <c r="L159" s="434">
        <v>0.63985026599999995</v>
      </c>
      <c r="M159" s="14">
        <f>Lisäosat[[#This Row],[HYTE-kerroin (sis. Kulttuurihyte)]]*Lisäosat[[#This Row],[Asukasmäärä 31.12.2023]]</f>
        <v>12645.360806957999</v>
      </c>
      <c r="N159" s="427">
        <f>Lisäosat[[#This Row],[HYTE-kerroin (sis. Kulttuurihyte)]]/$N$7</f>
        <v>0.94738500423762895</v>
      </c>
      <c r="O159" s="439">
        <v>0.52843792192390404</v>
      </c>
      <c r="P159" s="197">
        <v>0</v>
      </c>
      <c r="Q159" s="159">
        <v>0</v>
      </c>
      <c r="R159" s="159">
        <v>151715.93658615745</v>
      </c>
      <c r="S159" s="159">
        <v>372778.31148947787</v>
      </c>
      <c r="T159" s="159">
        <v>110283.55695437115</v>
      </c>
      <c r="U159" s="309">
        <f t="shared" si="3"/>
        <v>634777.80503000645</v>
      </c>
      <c r="V159" s="44"/>
      <c r="W159" s="44"/>
      <c r="X159" s="110"/>
      <c r="Y159" s="110"/>
      <c r="Z159" s="111"/>
    </row>
    <row r="160" spans="1:26" s="45" customFormat="1">
      <c r="A160" s="127">
        <v>500</v>
      </c>
      <c r="B160" s="124" t="s">
        <v>164</v>
      </c>
      <c r="C160" s="408">
        <v>10551</v>
      </c>
      <c r="D160" s="412">
        <v>0</v>
      </c>
      <c r="E160" s="420">
        <v>0</v>
      </c>
      <c r="F160" s="155">
        <v>0</v>
      </c>
      <c r="G160" s="419">
        <v>0</v>
      </c>
      <c r="H160" s="269">
        <v>2854</v>
      </c>
      <c r="I160" s="15">
        <v>4622</v>
      </c>
      <c r="J160" s="331">
        <v>0.61748160969277366</v>
      </c>
      <c r="K160" s="427">
        <v>0.61774213173882753</v>
      </c>
      <c r="L160" s="434">
        <v>0.69476783399999997</v>
      </c>
      <c r="M160" s="14">
        <f>Lisäosat[[#This Row],[HYTE-kerroin (sis. Kulttuurihyte)]]*Lisäosat[[#This Row],[Asukasmäärä 31.12.2023]]</f>
        <v>7330.4954165339996</v>
      </c>
      <c r="N160" s="427">
        <f>Lisäosat[[#This Row],[HYTE-kerroin (sis. Kulttuurihyte)]]/$N$7</f>
        <v>1.0286979037659074</v>
      </c>
      <c r="O160" s="439">
        <v>0.91466983390119749</v>
      </c>
      <c r="P160" s="197">
        <v>0</v>
      </c>
      <c r="Q160" s="159">
        <v>0</v>
      </c>
      <c r="R160" s="159">
        <v>88055.440604000745</v>
      </c>
      <c r="S160" s="159">
        <v>216098.9904102447</v>
      </c>
      <c r="T160" s="159">
        <v>101911.1957687106</v>
      </c>
      <c r="U160" s="309">
        <f t="shared" si="3"/>
        <v>406065.62678295607</v>
      </c>
      <c r="V160" s="44"/>
      <c r="W160" s="44"/>
      <c r="X160" s="110"/>
      <c r="Y160" s="110"/>
      <c r="Z160" s="111"/>
    </row>
    <row r="161" spans="1:26" s="45" customFormat="1">
      <c r="A161" s="127">
        <v>503</v>
      </c>
      <c r="B161" s="124" t="s">
        <v>165</v>
      </c>
      <c r="C161" s="408">
        <v>7515</v>
      </c>
      <c r="D161" s="412">
        <v>0</v>
      </c>
      <c r="E161" s="420">
        <v>0</v>
      </c>
      <c r="F161" s="155">
        <v>0</v>
      </c>
      <c r="G161" s="419">
        <v>0</v>
      </c>
      <c r="H161" s="269">
        <v>1918</v>
      </c>
      <c r="I161" s="15">
        <v>3262</v>
      </c>
      <c r="J161" s="331">
        <v>0.58798283261802575</v>
      </c>
      <c r="K161" s="427">
        <v>0.58823090881688511</v>
      </c>
      <c r="L161" s="434">
        <v>0.67900359899999996</v>
      </c>
      <c r="M161" s="14">
        <f>Lisäosat[[#This Row],[HYTE-kerroin (sis. Kulttuurihyte)]]*Lisäosat[[#This Row],[Asukasmäärä 31.12.2023]]</f>
        <v>5102.7120464849995</v>
      </c>
      <c r="N161" s="427">
        <f>Lisäosat[[#This Row],[HYTE-kerroin (sis. Kulttuurihyte)]]/$N$7</f>
        <v>1.0053568181465449</v>
      </c>
      <c r="O161" s="439">
        <v>0</v>
      </c>
      <c r="P161" s="197">
        <v>0</v>
      </c>
      <c r="Q161" s="159">
        <v>0</v>
      </c>
      <c r="R161" s="159">
        <v>59721.701829542624</v>
      </c>
      <c r="S161" s="159">
        <v>150425.15668347228</v>
      </c>
      <c r="T161" s="159">
        <v>0</v>
      </c>
      <c r="U161" s="309">
        <f t="shared" si="3"/>
        <v>210146.85851301491</v>
      </c>
      <c r="V161" s="44"/>
      <c r="W161" s="44"/>
      <c r="X161" s="110"/>
      <c r="Y161" s="110"/>
      <c r="Z161" s="111"/>
    </row>
    <row r="162" spans="1:26" s="45" customFormat="1">
      <c r="A162" s="127">
        <v>504</v>
      </c>
      <c r="B162" s="124" t="s">
        <v>166</v>
      </c>
      <c r="C162" s="408">
        <v>1715</v>
      </c>
      <c r="D162" s="412">
        <v>0</v>
      </c>
      <c r="E162" s="420">
        <v>0</v>
      </c>
      <c r="F162" s="155">
        <v>0</v>
      </c>
      <c r="G162" s="419">
        <v>0</v>
      </c>
      <c r="H162" s="269">
        <v>470</v>
      </c>
      <c r="I162" s="15">
        <v>705</v>
      </c>
      <c r="J162" s="331">
        <v>0.66666666666666663</v>
      </c>
      <c r="K162" s="427">
        <v>0.66694794041038552</v>
      </c>
      <c r="L162" s="434">
        <v>0.67034924699999998</v>
      </c>
      <c r="M162" s="14">
        <f>Lisäosat[[#This Row],[HYTE-kerroin (sis. Kulttuurihyte)]]*Lisäosat[[#This Row],[Asukasmäärä 31.12.2023]]</f>
        <v>1149.648958605</v>
      </c>
      <c r="N162" s="427">
        <f>Lisäosat[[#This Row],[HYTE-kerroin (sis. Kulttuurihyte)]]/$N$7</f>
        <v>0.99254287753908099</v>
      </c>
      <c r="O162" s="439">
        <v>0</v>
      </c>
      <c r="P162" s="197">
        <v>0</v>
      </c>
      <c r="Q162" s="159">
        <v>0</v>
      </c>
      <c r="R162" s="159">
        <v>15452.950347529488</v>
      </c>
      <c r="S162" s="159">
        <v>33891.02170644232</v>
      </c>
      <c r="T162" s="159">
        <v>0</v>
      </c>
      <c r="U162" s="309">
        <f t="shared" si="3"/>
        <v>49343.972053971811</v>
      </c>
      <c r="V162" s="44"/>
      <c r="W162" s="44"/>
      <c r="X162" s="110"/>
      <c r="Y162" s="110"/>
      <c r="Z162" s="111"/>
    </row>
    <row r="163" spans="1:26" s="45" customFormat="1">
      <c r="A163" s="127">
        <v>505</v>
      </c>
      <c r="B163" s="124" t="s">
        <v>167</v>
      </c>
      <c r="C163" s="408">
        <v>20957</v>
      </c>
      <c r="D163" s="412">
        <v>0</v>
      </c>
      <c r="E163" s="420">
        <v>0</v>
      </c>
      <c r="F163" s="155">
        <v>4</v>
      </c>
      <c r="G163" s="419">
        <v>1.9086701340840769E-4</v>
      </c>
      <c r="H163" s="269">
        <v>6372</v>
      </c>
      <c r="I163" s="15">
        <v>9695</v>
      </c>
      <c r="J163" s="331">
        <v>0.65724600309437853</v>
      </c>
      <c r="K163" s="427">
        <v>0.65752330216013055</v>
      </c>
      <c r="L163" s="434">
        <v>0.66598341800000005</v>
      </c>
      <c r="M163" s="14">
        <f>Lisäosat[[#This Row],[HYTE-kerroin (sis. Kulttuurihyte)]]*Lisäosat[[#This Row],[Asukasmäärä 31.12.2023]]</f>
        <v>13957.014491026001</v>
      </c>
      <c r="N163" s="427">
        <f>Lisäosat[[#This Row],[HYTE-kerroin (sis. Kulttuurihyte)]]/$N$7</f>
        <v>0.98607867623223067</v>
      </c>
      <c r="O163" s="439">
        <v>0.27831728238634962</v>
      </c>
      <c r="P163" s="197">
        <v>0</v>
      </c>
      <c r="Q163" s="159">
        <v>0</v>
      </c>
      <c r="R163" s="159">
        <v>186163.96104392674</v>
      </c>
      <c r="S163" s="159">
        <v>411445.14378237526</v>
      </c>
      <c r="T163" s="159">
        <v>61593.262230410903</v>
      </c>
      <c r="U163" s="309">
        <f t="shared" si="3"/>
        <v>659202.36705671297</v>
      </c>
      <c r="V163" s="44"/>
      <c r="W163" s="44"/>
      <c r="X163" s="110"/>
      <c r="Y163" s="110"/>
      <c r="Z163" s="111"/>
    </row>
    <row r="164" spans="1:26" s="45" customFormat="1">
      <c r="A164" s="127">
        <v>507</v>
      </c>
      <c r="B164" s="124" t="s">
        <v>168</v>
      </c>
      <c r="C164" s="408">
        <v>7099</v>
      </c>
      <c r="D164" s="412">
        <v>0.68535000000000001</v>
      </c>
      <c r="E164" s="420">
        <v>0</v>
      </c>
      <c r="F164" s="155">
        <v>0</v>
      </c>
      <c r="G164" s="419">
        <v>0</v>
      </c>
      <c r="H164" s="269">
        <v>2439</v>
      </c>
      <c r="I164" s="15">
        <v>2498</v>
      </c>
      <c r="J164" s="331">
        <v>0.97638110488390717</v>
      </c>
      <c r="K164" s="427">
        <v>0.97679305043690789</v>
      </c>
      <c r="L164" s="434">
        <v>0.68539146799999995</v>
      </c>
      <c r="M164" s="14">
        <f>Lisäosat[[#This Row],[HYTE-kerroin (sis. Kulttuurihyte)]]*Lisäosat[[#This Row],[Asukasmäärä 31.12.2023]]</f>
        <v>4865.5940313319998</v>
      </c>
      <c r="N164" s="427">
        <f>Lisäosat[[#This Row],[HYTE-kerroin (sis. Kulttuurihyte)]]/$N$7</f>
        <v>1.0148149236146675</v>
      </c>
      <c r="O164" s="439">
        <v>0</v>
      </c>
      <c r="P164" s="197">
        <v>313957.78641449998</v>
      </c>
      <c r="Q164" s="159">
        <v>0</v>
      </c>
      <c r="R164" s="159">
        <v>93681.769716847237</v>
      </c>
      <c r="S164" s="159">
        <v>143435.04745196385</v>
      </c>
      <c r="T164" s="159">
        <v>0</v>
      </c>
      <c r="U164" s="309">
        <f t="shared" si="3"/>
        <v>551074.60358331108</v>
      </c>
      <c r="V164" s="44"/>
      <c r="W164" s="44"/>
      <c r="X164" s="110"/>
      <c r="Y164" s="110"/>
      <c r="Z164" s="111"/>
    </row>
    <row r="165" spans="1:26" s="45" customFormat="1">
      <c r="A165" s="127">
        <v>508</v>
      </c>
      <c r="B165" s="124" t="s">
        <v>169</v>
      </c>
      <c r="C165" s="408">
        <v>9271</v>
      </c>
      <c r="D165" s="412">
        <v>0.56678333333333331</v>
      </c>
      <c r="E165" s="420">
        <v>0</v>
      </c>
      <c r="F165" s="155">
        <v>1</v>
      </c>
      <c r="G165" s="419">
        <v>1.0786322942508899E-4</v>
      </c>
      <c r="H165" s="269">
        <v>3604</v>
      </c>
      <c r="I165" s="15">
        <v>3347</v>
      </c>
      <c r="J165" s="331">
        <v>1.0767851807588886</v>
      </c>
      <c r="K165" s="427">
        <v>1.0772394878573484</v>
      </c>
      <c r="L165" s="434">
        <v>0.63700926999999996</v>
      </c>
      <c r="M165" s="14">
        <f>Lisäosat[[#This Row],[HYTE-kerroin (sis. Kulttuurihyte)]]*Lisäosat[[#This Row],[Asukasmäärä 31.12.2023]]</f>
        <v>5905.7129421699992</v>
      </c>
      <c r="N165" s="427">
        <f>Lisäosat[[#This Row],[HYTE-kerroin (sis. Kulttuurihyte)]]/$N$7</f>
        <v>0.94317852476810393</v>
      </c>
      <c r="O165" s="439">
        <v>0</v>
      </c>
      <c r="P165" s="197">
        <v>339082.45372349996</v>
      </c>
      <c r="Q165" s="159">
        <v>0</v>
      </c>
      <c r="R165" s="159">
        <v>134925.54931391319</v>
      </c>
      <c r="S165" s="159">
        <v>174097.18333322057</v>
      </c>
      <c r="T165" s="159">
        <v>0</v>
      </c>
      <c r="U165" s="309">
        <f t="shared" si="3"/>
        <v>648105.18637063366</v>
      </c>
      <c r="V165" s="44"/>
      <c r="W165" s="44"/>
      <c r="X165" s="110"/>
      <c r="Y165" s="110"/>
      <c r="Z165" s="111"/>
    </row>
    <row r="166" spans="1:26" s="45" customFormat="1">
      <c r="A166" s="127">
        <v>529</v>
      </c>
      <c r="B166" s="124" t="s">
        <v>170</v>
      </c>
      <c r="C166" s="408">
        <v>19999</v>
      </c>
      <c r="D166" s="412">
        <v>0</v>
      </c>
      <c r="E166" s="420">
        <v>0</v>
      </c>
      <c r="F166" s="155">
        <v>1</v>
      </c>
      <c r="G166" s="419">
        <v>5.0002500125006248E-5</v>
      </c>
      <c r="H166" s="269">
        <v>5417</v>
      </c>
      <c r="I166" s="15">
        <v>8668</v>
      </c>
      <c r="J166" s="331">
        <v>0.62494231656668209</v>
      </c>
      <c r="K166" s="427">
        <v>0.62520598636416569</v>
      </c>
      <c r="L166" s="434">
        <v>0.73503381300000004</v>
      </c>
      <c r="M166" s="14">
        <f>Lisäosat[[#This Row],[HYTE-kerroin (sis. Kulttuurihyte)]]*Lisäosat[[#This Row],[Asukasmäärä 31.12.2023]]</f>
        <v>14699.941226187</v>
      </c>
      <c r="N166" s="427">
        <f>Lisäosat[[#This Row],[HYTE-kerroin (sis. Kulttuurihyte)]]/$N$7</f>
        <v>1.0883171408165135</v>
      </c>
      <c r="O166" s="439">
        <v>0.97239400397133302</v>
      </c>
      <c r="P166" s="197">
        <v>0</v>
      </c>
      <c r="Q166" s="159">
        <v>0</v>
      </c>
      <c r="R166" s="159">
        <v>168922.21098272176</v>
      </c>
      <c r="S166" s="159">
        <v>433346.21707886201</v>
      </c>
      <c r="T166" s="159">
        <v>205359.3451580636</v>
      </c>
      <c r="U166" s="309">
        <f t="shared" si="3"/>
        <v>807627.77321964735</v>
      </c>
      <c r="V166" s="44"/>
      <c r="W166" s="44"/>
      <c r="X166" s="110"/>
      <c r="Y166" s="110"/>
      <c r="Z166" s="111"/>
    </row>
    <row r="167" spans="1:26" s="45" customFormat="1">
      <c r="A167" s="127">
        <v>531</v>
      </c>
      <c r="B167" s="124" t="s">
        <v>171</v>
      </c>
      <c r="C167" s="408">
        <v>4966</v>
      </c>
      <c r="D167" s="412">
        <v>0</v>
      </c>
      <c r="E167" s="420">
        <v>0</v>
      </c>
      <c r="F167" s="155">
        <v>0</v>
      </c>
      <c r="G167" s="419">
        <v>0</v>
      </c>
      <c r="H167" s="269">
        <v>1408</v>
      </c>
      <c r="I167" s="15">
        <v>2037</v>
      </c>
      <c r="J167" s="331">
        <v>0.69121256750122728</v>
      </c>
      <c r="K167" s="427">
        <v>0.69150419742107727</v>
      </c>
      <c r="L167" s="434">
        <v>0.61040810999999995</v>
      </c>
      <c r="M167" s="14">
        <f>Lisäosat[[#This Row],[HYTE-kerroin (sis. Kulttuurihyte)]]*Lisäosat[[#This Row],[Asukasmäärä 31.12.2023]]</f>
        <v>3031.2866742599999</v>
      </c>
      <c r="N167" s="427">
        <f>Lisäosat[[#This Row],[HYTE-kerroin (sis. Kulttuurihyte)]]/$N$7</f>
        <v>0.90379190352486793</v>
      </c>
      <c r="O167" s="439">
        <v>0</v>
      </c>
      <c r="P167" s="197">
        <v>0</v>
      </c>
      <c r="Q167" s="159">
        <v>0</v>
      </c>
      <c r="R167" s="159">
        <v>46393.472997750374</v>
      </c>
      <c r="S167" s="159">
        <v>89360.671104728477</v>
      </c>
      <c r="T167" s="159">
        <v>0</v>
      </c>
      <c r="U167" s="309">
        <f t="shared" si="3"/>
        <v>135754.14410247887</v>
      </c>
      <c r="V167" s="44"/>
      <c r="W167" s="44"/>
      <c r="X167" s="110"/>
      <c r="Y167" s="110"/>
      <c r="Z167" s="111"/>
    </row>
    <row r="168" spans="1:26" s="45" customFormat="1">
      <c r="A168" s="127">
        <v>535</v>
      </c>
      <c r="B168" s="124" t="s">
        <v>172</v>
      </c>
      <c r="C168" s="408">
        <v>10454</v>
      </c>
      <c r="D168" s="412">
        <v>8.7833333333333333E-2</v>
      </c>
      <c r="E168" s="420">
        <v>0</v>
      </c>
      <c r="F168" s="155">
        <v>0</v>
      </c>
      <c r="G168" s="419">
        <v>0</v>
      </c>
      <c r="H168" s="269">
        <v>3815</v>
      </c>
      <c r="I168" s="15">
        <v>4062</v>
      </c>
      <c r="J168" s="331">
        <v>0.93919251600196951</v>
      </c>
      <c r="K168" s="427">
        <v>0.93958877129454255</v>
      </c>
      <c r="L168" s="434">
        <v>0.65975034200000005</v>
      </c>
      <c r="M168" s="14">
        <f>Lisäosat[[#This Row],[HYTE-kerroin (sis. Kulttuurihyte)]]*Lisäosat[[#This Row],[Asukasmäärä 31.12.2023]]</f>
        <v>6897.0300752680005</v>
      </c>
      <c r="N168" s="427">
        <f>Lisäosat[[#This Row],[HYTE-kerroin (sis. Kulttuurihyte)]]/$N$7</f>
        <v>0.97684976277160318</v>
      </c>
      <c r="O168" s="439">
        <v>0</v>
      </c>
      <c r="P168" s="197">
        <v>59252.069790000001</v>
      </c>
      <c r="Q168" s="159">
        <v>0</v>
      </c>
      <c r="R168" s="159">
        <v>132701.44831417862</v>
      </c>
      <c r="S168" s="159">
        <v>203320.66953248551</v>
      </c>
      <c r="T168" s="159">
        <v>0</v>
      </c>
      <c r="U168" s="309">
        <f t="shared" si="3"/>
        <v>395274.18763666414</v>
      </c>
      <c r="V168" s="44"/>
      <c r="W168" s="44"/>
      <c r="X168" s="110"/>
      <c r="Y168" s="110"/>
      <c r="Z168" s="111"/>
    </row>
    <row r="169" spans="1:26" s="45" customFormat="1">
      <c r="A169" s="127">
        <v>536</v>
      </c>
      <c r="B169" s="124" t="s">
        <v>173</v>
      </c>
      <c r="C169" s="408">
        <v>35647</v>
      </c>
      <c r="D169" s="412">
        <v>0</v>
      </c>
      <c r="E169" s="420">
        <v>0</v>
      </c>
      <c r="F169" s="155">
        <v>4</v>
      </c>
      <c r="G169" s="419">
        <v>1.1221140628944932E-4</v>
      </c>
      <c r="H169" s="269">
        <v>12564</v>
      </c>
      <c r="I169" s="15">
        <v>16081</v>
      </c>
      <c r="J169" s="331">
        <v>0.78129469560350728</v>
      </c>
      <c r="K169" s="427">
        <v>0.78162433212947746</v>
      </c>
      <c r="L169" s="434">
        <v>0.74038503300000003</v>
      </c>
      <c r="M169" s="14">
        <f>Lisäosat[[#This Row],[HYTE-kerroin (sis. Kulttuurihyte)]]*Lisäosat[[#This Row],[Asukasmäärä 31.12.2023]]</f>
        <v>26392.505271351001</v>
      </c>
      <c r="N169" s="427">
        <f>Lisäosat[[#This Row],[HYTE-kerroin (sis. Kulttuurihyte)]]/$N$7</f>
        <v>1.0962403469973427</v>
      </c>
      <c r="O169" s="439">
        <v>1.1198009553544293</v>
      </c>
      <c r="P169" s="197">
        <v>0</v>
      </c>
      <c r="Q169" s="159">
        <v>0</v>
      </c>
      <c r="R169" s="159">
        <v>376423.22028583719</v>
      </c>
      <c r="S169" s="159">
        <v>778036.60181983828</v>
      </c>
      <c r="T169" s="159">
        <v>421529.27156228427</v>
      </c>
      <c r="U169" s="309">
        <f t="shared" si="3"/>
        <v>1575989.0936679598</v>
      </c>
      <c r="V169" s="44"/>
      <c r="W169" s="44"/>
      <c r="X169" s="110"/>
      <c r="Y169" s="110"/>
      <c r="Z169" s="111"/>
    </row>
    <row r="170" spans="1:26" s="45" customFormat="1">
      <c r="A170" s="127">
        <v>538</v>
      </c>
      <c r="B170" s="124" t="s">
        <v>174</v>
      </c>
      <c r="C170" s="408">
        <v>4695</v>
      </c>
      <c r="D170" s="412">
        <v>0</v>
      </c>
      <c r="E170" s="420">
        <v>0</v>
      </c>
      <c r="F170" s="155">
        <v>1</v>
      </c>
      <c r="G170" s="419">
        <v>2.1299254526091586E-4</v>
      </c>
      <c r="H170" s="269">
        <v>927</v>
      </c>
      <c r="I170" s="15">
        <v>2142</v>
      </c>
      <c r="J170" s="331">
        <v>0.4327731092436975</v>
      </c>
      <c r="K170" s="427">
        <v>0.4329557008126243</v>
      </c>
      <c r="L170" s="434">
        <v>0.53660179200000002</v>
      </c>
      <c r="M170" s="14">
        <f>Lisäosat[[#This Row],[HYTE-kerroin (sis. Kulttuurihyte)]]*Lisäosat[[#This Row],[Asukasmäärä 31.12.2023]]</f>
        <v>2519.3454134399999</v>
      </c>
      <c r="N170" s="427">
        <f>Lisäosat[[#This Row],[HYTE-kerroin (sis. Kulttuurihyte)]]/$N$7</f>
        <v>0.79451165061770768</v>
      </c>
      <c r="O170" s="439">
        <v>1.7754996655720372E-2</v>
      </c>
      <c r="P170" s="197">
        <v>0</v>
      </c>
      <c r="Q170" s="159">
        <v>0</v>
      </c>
      <c r="R170" s="159">
        <v>27462.141976909312</v>
      </c>
      <c r="S170" s="159">
        <v>74268.923095034232</v>
      </c>
      <c r="T170" s="159">
        <v>880.27853019329143</v>
      </c>
      <c r="U170" s="309">
        <f t="shared" si="3"/>
        <v>102611.34360213683</v>
      </c>
      <c r="V170" s="44"/>
      <c r="W170" s="44"/>
      <c r="X170" s="110"/>
      <c r="Y170" s="110"/>
      <c r="Z170" s="111"/>
    </row>
    <row r="171" spans="1:26" s="45" customFormat="1">
      <c r="A171" s="127">
        <v>541</v>
      </c>
      <c r="B171" s="124" t="s">
        <v>175</v>
      </c>
      <c r="C171" s="408">
        <v>9130</v>
      </c>
      <c r="D171" s="412">
        <v>1.181</v>
      </c>
      <c r="E171" s="420">
        <v>0</v>
      </c>
      <c r="F171" s="155">
        <v>0</v>
      </c>
      <c r="G171" s="419">
        <v>0</v>
      </c>
      <c r="H171" s="269">
        <v>3200</v>
      </c>
      <c r="I171" s="15">
        <v>3192</v>
      </c>
      <c r="J171" s="331">
        <v>1.0025062656641603</v>
      </c>
      <c r="K171" s="427">
        <v>1.0029292336998279</v>
      </c>
      <c r="L171" s="434">
        <v>0.56511702500000005</v>
      </c>
      <c r="M171" s="14">
        <f>Lisäosat[[#This Row],[HYTE-kerroin (sis. Kulttuurihyte)]]*Lisäosat[[#This Row],[Asukasmäärä 31.12.2023]]</f>
        <v>5159.5184382500001</v>
      </c>
      <c r="N171" s="427">
        <f>Lisäosat[[#This Row],[HYTE-kerroin (sis. Kulttuurihyte)]]/$N$7</f>
        <v>0.83673231625159838</v>
      </c>
      <c r="O171" s="439">
        <v>0</v>
      </c>
      <c r="P171" s="197">
        <v>1043694.99135</v>
      </c>
      <c r="Q171" s="159">
        <v>0</v>
      </c>
      <c r="R171" s="159">
        <v>123707.61013870909</v>
      </c>
      <c r="S171" s="159">
        <v>152099.77800327793</v>
      </c>
      <c r="T171" s="159">
        <v>0</v>
      </c>
      <c r="U171" s="309">
        <f t="shared" si="3"/>
        <v>1319502.3794919872</v>
      </c>
      <c r="V171" s="44"/>
      <c r="W171" s="44"/>
      <c r="X171" s="110"/>
      <c r="Y171" s="110"/>
      <c r="Z171" s="111"/>
    </row>
    <row r="172" spans="1:26" s="45" customFormat="1">
      <c r="A172" s="127">
        <v>543</v>
      </c>
      <c r="B172" s="124" t="s">
        <v>176</v>
      </c>
      <c r="C172" s="408">
        <v>44785</v>
      </c>
      <c r="D172" s="412">
        <v>0</v>
      </c>
      <c r="E172" s="420">
        <v>0</v>
      </c>
      <c r="F172" s="155">
        <v>1</v>
      </c>
      <c r="G172" s="419">
        <v>2.2328904767221169E-5</v>
      </c>
      <c r="H172" s="269">
        <v>12367</v>
      </c>
      <c r="I172" s="15">
        <v>21431</v>
      </c>
      <c r="J172" s="331">
        <v>0.57706126638980915</v>
      </c>
      <c r="K172" s="427">
        <v>0.57730473466393817</v>
      </c>
      <c r="L172" s="434">
        <v>0.69027291499999999</v>
      </c>
      <c r="M172" s="14">
        <f>Lisäosat[[#This Row],[HYTE-kerroin (sis. Kulttuurihyte)]]*Lisäosat[[#This Row],[Asukasmäärä 31.12.2023]]</f>
        <v>30913.872498274999</v>
      </c>
      <c r="N172" s="427">
        <f>Lisäosat[[#This Row],[HYTE-kerroin (sis. Kulttuurihyte)]]/$N$7</f>
        <v>1.0220425672252444</v>
      </c>
      <c r="O172" s="439">
        <v>0.84943932047608273</v>
      </c>
      <c r="P172" s="197">
        <v>0</v>
      </c>
      <c r="Q172" s="159">
        <v>0</v>
      </c>
      <c r="R172" s="159">
        <v>349295.54524139961</v>
      </c>
      <c r="S172" s="159">
        <v>911324.03159006499</v>
      </c>
      <c r="T172" s="159">
        <v>401724.9980570256</v>
      </c>
      <c r="U172" s="309">
        <f t="shared" si="3"/>
        <v>1662344.5748884901</v>
      </c>
      <c r="V172" s="44"/>
      <c r="W172" s="44"/>
      <c r="X172" s="110"/>
      <c r="Y172" s="110"/>
      <c r="Z172" s="111"/>
    </row>
    <row r="173" spans="1:26" s="45" customFormat="1">
      <c r="A173" s="127">
        <v>545</v>
      </c>
      <c r="B173" s="124" t="s">
        <v>177</v>
      </c>
      <c r="C173" s="408">
        <v>9621</v>
      </c>
      <c r="D173" s="412">
        <v>0.75511666666666666</v>
      </c>
      <c r="E173" s="420">
        <v>0</v>
      </c>
      <c r="F173" s="155">
        <v>0</v>
      </c>
      <c r="G173" s="419">
        <v>0</v>
      </c>
      <c r="H173" s="269">
        <v>4513</v>
      </c>
      <c r="I173" s="15">
        <v>4209</v>
      </c>
      <c r="J173" s="331">
        <v>1.0722261819909717</v>
      </c>
      <c r="K173" s="427">
        <v>1.0726785655994548</v>
      </c>
      <c r="L173" s="434">
        <v>0.52258419599999995</v>
      </c>
      <c r="M173" s="14">
        <f>Lisäosat[[#This Row],[HYTE-kerroin (sis. Kulttuurihyte)]]*Lisäosat[[#This Row],[Asukasmäärä 31.12.2023]]</f>
        <v>5027.7825497159993</v>
      </c>
      <c r="N173" s="427">
        <f>Lisäosat[[#This Row],[HYTE-kerroin (sis. Kulttuurihyte)]]/$N$7</f>
        <v>0.77375670066843094</v>
      </c>
      <c r="O173" s="439">
        <v>0.21932908306608509</v>
      </c>
      <c r="P173" s="197">
        <v>468808.99484850001</v>
      </c>
      <c r="Q173" s="159">
        <v>0</v>
      </c>
      <c r="R173" s="159">
        <v>139426.44887983313</v>
      </c>
      <c r="S173" s="159">
        <v>148216.27615307769</v>
      </c>
      <c r="T173" s="159">
        <v>22283.343542368177</v>
      </c>
      <c r="U173" s="309">
        <f t="shared" si="3"/>
        <v>778735.06342377898</v>
      </c>
      <c r="V173" s="44"/>
      <c r="W173" s="44"/>
      <c r="X173" s="110"/>
      <c r="Y173" s="110"/>
      <c r="Z173" s="111"/>
    </row>
    <row r="174" spans="1:26" s="45" customFormat="1">
      <c r="A174" s="127">
        <v>560</v>
      </c>
      <c r="B174" s="124" t="s">
        <v>178</v>
      </c>
      <c r="C174" s="408">
        <v>15669</v>
      </c>
      <c r="D174" s="412">
        <v>0</v>
      </c>
      <c r="E174" s="420">
        <v>0</v>
      </c>
      <c r="F174" s="155">
        <v>5</v>
      </c>
      <c r="G174" s="419">
        <v>3.1910141042823412E-4</v>
      </c>
      <c r="H174" s="269">
        <v>4663</v>
      </c>
      <c r="I174" s="15">
        <v>6501</v>
      </c>
      <c r="J174" s="331">
        <v>0.71727426549761575</v>
      </c>
      <c r="K174" s="427">
        <v>0.7175768911245104</v>
      </c>
      <c r="L174" s="434">
        <v>0.556929856</v>
      </c>
      <c r="M174" s="14">
        <f>Lisäosat[[#This Row],[HYTE-kerroin (sis. Kulttuurihyte)]]*Lisäosat[[#This Row],[Asukasmäärä 31.12.2023]]</f>
        <v>8726.5339136639996</v>
      </c>
      <c r="N174" s="427">
        <f>Lisäosat[[#This Row],[HYTE-kerroin (sis. Kulttuurihyte)]]/$N$7</f>
        <v>0.82461010336849982</v>
      </c>
      <c r="O174" s="439">
        <v>0</v>
      </c>
      <c r="P174" s="197">
        <v>0</v>
      </c>
      <c r="Q174" s="159">
        <v>0</v>
      </c>
      <c r="R174" s="159">
        <v>151902.55326797467</v>
      </c>
      <c r="S174" s="159">
        <v>257253.44077974919</v>
      </c>
      <c r="T174" s="159">
        <v>0</v>
      </c>
      <c r="U174" s="309">
        <f t="shared" si="3"/>
        <v>409155.99404772383</v>
      </c>
      <c r="V174" s="44"/>
      <c r="W174" s="44"/>
      <c r="X174" s="110"/>
      <c r="Y174" s="110"/>
      <c r="Z174" s="111"/>
    </row>
    <row r="175" spans="1:26" s="45" customFormat="1">
      <c r="A175" s="127">
        <v>561</v>
      </c>
      <c r="B175" s="124" t="s">
        <v>179</v>
      </c>
      <c r="C175" s="408">
        <v>1315</v>
      </c>
      <c r="D175" s="412">
        <v>0</v>
      </c>
      <c r="E175" s="420">
        <v>0</v>
      </c>
      <c r="F175" s="155">
        <v>0</v>
      </c>
      <c r="G175" s="419">
        <v>0</v>
      </c>
      <c r="H175" s="269">
        <v>455</v>
      </c>
      <c r="I175" s="15">
        <v>534</v>
      </c>
      <c r="J175" s="331">
        <v>0.85205992509363293</v>
      </c>
      <c r="K175" s="427">
        <v>0.85241941822113887</v>
      </c>
      <c r="L175" s="434">
        <v>0.43154433199999997</v>
      </c>
      <c r="M175" s="14">
        <f>Lisäosat[[#This Row],[HYTE-kerroin (sis. Kulttuurihyte)]]*Lisäosat[[#This Row],[Asukasmäärä 31.12.2023]]</f>
        <v>567.48079657999995</v>
      </c>
      <c r="N175" s="427">
        <f>Lisäosat[[#This Row],[HYTE-kerroin (sis. Kulttuurihyte)]]/$N$7</f>
        <v>0.63895984814757389</v>
      </c>
      <c r="O175" s="439">
        <v>0</v>
      </c>
      <c r="P175" s="197">
        <v>0</v>
      </c>
      <c r="Q175" s="159">
        <v>0</v>
      </c>
      <c r="R175" s="159">
        <v>15143.785037320375</v>
      </c>
      <c r="S175" s="159">
        <v>16729.023108252928</v>
      </c>
      <c r="T175" s="159">
        <v>0</v>
      </c>
      <c r="U175" s="309">
        <f t="shared" si="3"/>
        <v>31872.808145573305</v>
      </c>
      <c r="V175" s="44"/>
      <c r="W175" s="44"/>
      <c r="X175" s="110"/>
      <c r="Y175" s="110"/>
      <c r="Z175" s="111"/>
    </row>
    <row r="176" spans="1:26" s="45" customFormat="1">
      <c r="A176" s="127">
        <v>562</v>
      </c>
      <c r="B176" s="124" t="s">
        <v>180</v>
      </c>
      <c r="C176" s="408">
        <v>8839</v>
      </c>
      <c r="D176" s="412">
        <v>0.28939999999999999</v>
      </c>
      <c r="E176" s="420">
        <v>0</v>
      </c>
      <c r="F176" s="155">
        <v>0</v>
      </c>
      <c r="G176" s="419">
        <v>0</v>
      </c>
      <c r="H176" s="269">
        <v>2403</v>
      </c>
      <c r="I176" s="15">
        <v>3481</v>
      </c>
      <c r="J176" s="331">
        <v>0.69031887388681412</v>
      </c>
      <c r="K176" s="427">
        <v>0.69061012674784106</v>
      </c>
      <c r="L176" s="434">
        <v>0.66621946799999998</v>
      </c>
      <c r="M176" s="14">
        <f>Lisäosat[[#This Row],[HYTE-kerroin (sis. Kulttuurihyte)]]*Lisäosat[[#This Row],[Asukasmäärä 31.12.2023]]</f>
        <v>5888.7138776519996</v>
      </c>
      <c r="N176" s="427">
        <f>Lisäosat[[#This Row],[HYTE-kerroin (sis. Kulttuurihyte)]]/$N$7</f>
        <v>0.98642818023673517</v>
      </c>
      <c r="O176" s="439">
        <v>0</v>
      </c>
      <c r="P176" s="197">
        <v>165068.16589799998</v>
      </c>
      <c r="Q176" s="159">
        <v>0</v>
      </c>
      <c r="R176" s="159">
        <v>82469.132318479489</v>
      </c>
      <c r="S176" s="159">
        <v>173596.06022058992</v>
      </c>
      <c r="T176" s="159">
        <v>0</v>
      </c>
      <c r="U176" s="309">
        <f t="shared" si="3"/>
        <v>421133.3584370694</v>
      </c>
      <c r="V176" s="44"/>
      <c r="W176" s="44"/>
      <c r="X176" s="110"/>
      <c r="Y176" s="110"/>
      <c r="Z176" s="111"/>
    </row>
    <row r="177" spans="1:26" s="45" customFormat="1">
      <c r="A177" s="127">
        <v>563</v>
      </c>
      <c r="B177" s="124" t="s">
        <v>181</v>
      </c>
      <c r="C177" s="408">
        <v>6978</v>
      </c>
      <c r="D177" s="412">
        <v>0.48</v>
      </c>
      <c r="E177" s="420">
        <v>0</v>
      </c>
      <c r="F177" s="155">
        <v>0</v>
      </c>
      <c r="G177" s="419">
        <v>0</v>
      </c>
      <c r="H177" s="269">
        <v>2728</v>
      </c>
      <c r="I177" s="15">
        <v>2634</v>
      </c>
      <c r="J177" s="331">
        <v>1.0356871678056188</v>
      </c>
      <c r="K177" s="427">
        <v>1.0361241352161343</v>
      </c>
      <c r="L177" s="434">
        <v>0.54168783099999995</v>
      </c>
      <c r="M177" s="14">
        <f>Lisäosat[[#This Row],[HYTE-kerroin (sis. Kulttuurihyte)]]*Lisäosat[[#This Row],[Asukasmäärä 31.12.2023]]</f>
        <v>3779.8976847179997</v>
      </c>
      <c r="N177" s="427">
        <f>Lisäosat[[#This Row],[HYTE-kerroin (sis. Kulttuurihyte)]]/$N$7</f>
        <v>0.80204222040193229</v>
      </c>
      <c r="O177" s="439">
        <v>0</v>
      </c>
      <c r="P177" s="197">
        <v>216139.36320000002</v>
      </c>
      <c r="Q177" s="159">
        <v>0</v>
      </c>
      <c r="R177" s="159">
        <v>97678.30265192088</v>
      </c>
      <c r="S177" s="159">
        <v>111429.31372403685</v>
      </c>
      <c r="T177" s="159">
        <v>0</v>
      </c>
      <c r="U177" s="309">
        <f t="shared" si="3"/>
        <v>425246.97957595775</v>
      </c>
      <c r="V177" s="44"/>
      <c r="W177" s="44"/>
      <c r="X177" s="110"/>
      <c r="Y177" s="110"/>
      <c r="Z177" s="111"/>
    </row>
    <row r="178" spans="1:26" s="45" customFormat="1">
      <c r="A178" s="127">
        <v>564</v>
      </c>
      <c r="B178" s="124" t="s">
        <v>182</v>
      </c>
      <c r="C178" s="408">
        <v>214633</v>
      </c>
      <c r="D178" s="412">
        <v>0</v>
      </c>
      <c r="E178" s="420">
        <v>0</v>
      </c>
      <c r="F178" s="155">
        <v>155</v>
      </c>
      <c r="G178" s="419">
        <v>7.2216294791574453E-4</v>
      </c>
      <c r="H178" s="269">
        <v>97459</v>
      </c>
      <c r="I178" s="15">
        <v>93276</v>
      </c>
      <c r="J178" s="331">
        <v>1.0448454050345213</v>
      </c>
      <c r="K178" s="427">
        <v>1.0452862364025437</v>
      </c>
      <c r="L178" s="434">
        <v>0.68416401500000001</v>
      </c>
      <c r="M178" s="14">
        <f>Lisäosat[[#This Row],[HYTE-kerroin (sis. Kulttuurihyte)]]*Lisäosat[[#This Row],[Asukasmäärä 31.12.2023]]</f>
        <v>146844.17503149499</v>
      </c>
      <c r="N178" s="427">
        <f>Lisäosat[[#This Row],[HYTE-kerroin (sis. Kulttuurihyte)]]/$N$7</f>
        <v>1.0129975131556923</v>
      </c>
      <c r="O178" s="439">
        <v>1.1611588619227102</v>
      </c>
      <c r="P178" s="197">
        <v>0</v>
      </c>
      <c r="Q178" s="159">
        <v>0</v>
      </c>
      <c r="R178" s="159">
        <v>3031007.9597079046</v>
      </c>
      <c r="S178" s="159">
        <v>4328885.862251211</v>
      </c>
      <c r="T178" s="159">
        <v>2631794.985716763</v>
      </c>
      <c r="U178" s="309">
        <f t="shared" si="3"/>
        <v>9991688.8076758794</v>
      </c>
      <c r="V178" s="44"/>
      <c r="W178" s="44"/>
      <c r="X178" s="110"/>
      <c r="Y178" s="110"/>
      <c r="Z178" s="111"/>
    </row>
    <row r="179" spans="1:26" s="45" customFormat="1">
      <c r="A179" s="127">
        <v>576</v>
      </c>
      <c r="B179" s="124" t="s">
        <v>183</v>
      </c>
      <c r="C179" s="408">
        <v>2726</v>
      </c>
      <c r="D179" s="412">
        <v>1.1095333333333333</v>
      </c>
      <c r="E179" s="420">
        <v>0</v>
      </c>
      <c r="F179" s="155">
        <v>0</v>
      </c>
      <c r="G179" s="419">
        <v>0</v>
      </c>
      <c r="H179" s="269">
        <v>712</v>
      </c>
      <c r="I179" s="15">
        <v>915</v>
      </c>
      <c r="J179" s="331">
        <v>0.77814207650273226</v>
      </c>
      <c r="K179" s="427">
        <v>0.77847038290523696</v>
      </c>
      <c r="L179" s="434">
        <v>0.62968950700000004</v>
      </c>
      <c r="M179" s="14">
        <f>Lisäosat[[#This Row],[HYTE-kerroin (sis. Kulttuurihyte)]]*Lisäosat[[#This Row],[Asukasmäärä 31.12.2023]]</f>
        <v>1716.533596082</v>
      </c>
      <c r="N179" s="427">
        <f>Lisäosat[[#This Row],[HYTE-kerroin (sis. Kulttuurihyte)]]/$N$7</f>
        <v>0.93234062398215134</v>
      </c>
      <c r="O179" s="439">
        <v>0</v>
      </c>
      <c r="P179" s="197">
        <v>292764.98255399999</v>
      </c>
      <c r="Q179" s="159">
        <v>0</v>
      </c>
      <c r="R179" s="159">
        <v>28669.709663933623</v>
      </c>
      <c r="S179" s="159">
        <v>50602.470370819108</v>
      </c>
      <c r="T179" s="159">
        <v>0</v>
      </c>
      <c r="U179" s="309">
        <f t="shared" si="3"/>
        <v>372037.16258875269</v>
      </c>
      <c r="V179" s="44"/>
      <c r="W179" s="44"/>
      <c r="X179" s="110"/>
      <c r="Y179" s="110"/>
      <c r="Z179" s="111"/>
    </row>
    <row r="180" spans="1:26" s="45" customFormat="1">
      <c r="A180" s="127">
        <v>577</v>
      </c>
      <c r="B180" s="124" t="s">
        <v>184</v>
      </c>
      <c r="C180" s="408">
        <v>11236</v>
      </c>
      <c r="D180" s="412">
        <v>0</v>
      </c>
      <c r="E180" s="420">
        <v>0</v>
      </c>
      <c r="F180" s="155">
        <v>1</v>
      </c>
      <c r="G180" s="419">
        <v>8.8999644001423999E-5</v>
      </c>
      <c r="H180" s="269">
        <v>3186</v>
      </c>
      <c r="I180" s="15">
        <v>4986</v>
      </c>
      <c r="J180" s="331">
        <v>0.63898916967509023</v>
      </c>
      <c r="K180" s="427">
        <v>0.63925876598901576</v>
      </c>
      <c r="L180" s="434">
        <v>0.65967855200000003</v>
      </c>
      <c r="M180" s="14">
        <f>Lisäosat[[#This Row],[HYTE-kerroin (sis. Kulttuurihyte)]]*Lisäosat[[#This Row],[Asukasmäärä 31.12.2023]]</f>
        <v>7412.1482102720001</v>
      </c>
      <c r="N180" s="427">
        <f>Lisäosat[[#This Row],[HYTE-kerroin (sis. Kulttuurihyte)]]/$N$7</f>
        <v>0.97674346795066114</v>
      </c>
      <c r="O180" s="439">
        <v>0.94931945420275721</v>
      </c>
      <c r="P180" s="197">
        <v>0</v>
      </c>
      <c r="Q180" s="159">
        <v>0</v>
      </c>
      <c r="R180" s="159">
        <v>97038.432292756363</v>
      </c>
      <c r="S180" s="159">
        <v>218506.07005334215</v>
      </c>
      <c r="T180" s="159">
        <v>112638.80377117822</v>
      </c>
      <c r="U180" s="309">
        <f t="shared" si="3"/>
        <v>428183.30611727678</v>
      </c>
      <c r="V180" s="44"/>
      <c r="W180" s="44"/>
      <c r="X180" s="110"/>
      <c r="Y180" s="110"/>
      <c r="Z180" s="111"/>
    </row>
    <row r="181" spans="1:26" s="45" customFormat="1">
      <c r="A181" s="127">
        <v>578</v>
      </c>
      <c r="B181" s="124" t="s">
        <v>185</v>
      </c>
      <c r="C181" s="408">
        <v>3037</v>
      </c>
      <c r="D181" s="412">
        <v>0.96758333333333335</v>
      </c>
      <c r="E181" s="420">
        <v>0</v>
      </c>
      <c r="F181" s="155">
        <v>0</v>
      </c>
      <c r="G181" s="419">
        <v>0</v>
      </c>
      <c r="H181" s="269">
        <v>848</v>
      </c>
      <c r="I181" s="15">
        <v>1078</v>
      </c>
      <c r="J181" s="331">
        <v>0.7866419294990723</v>
      </c>
      <c r="K181" s="427">
        <v>0.78697382207978706</v>
      </c>
      <c r="L181" s="434">
        <v>0.71631143500000005</v>
      </c>
      <c r="M181" s="14">
        <f>Lisäosat[[#This Row],[HYTE-kerroin (sis. Kulttuurihyte)]]*Lisäosat[[#This Row],[Asukasmäärä 31.12.2023]]</f>
        <v>2175.437828095</v>
      </c>
      <c r="N181" s="427">
        <f>Lisäosat[[#This Row],[HYTE-kerroin (sis. Kulttuurihyte)]]/$N$7</f>
        <v>1.060596123723323</v>
      </c>
      <c r="O181" s="439">
        <v>0</v>
      </c>
      <c r="P181" s="197">
        <v>189624.6691425</v>
      </c>
      <c r="Q181" s="159">
        <v>0</v>
      </c>
      <c r="R181" s="159">
        <v>32289.433613336794</v>
      </c>
      <c r="S181" s="159">
        <v>64130.715816457348</v>
      </c>
      <c r="T181" s="159">
        <v>0</v>
      </c>
      <c r="U181" s="309">
        <f t="shared" si="3"/>
        <v>286044.81857229414</v>
      </c>
      <c r="V181" s="44"/>
      <c r="W181" s="44"/>
      <c r="X181" s="110"/>
      <c r="Y181" s="110"/>
      <c r="Z181" s="111"/>
    </row>
    <row r="182" spans="1:26" s="45" customFormat="1">
      <c r="A182" s="127">
        <v>580</v>
      </c>
      <c r="B182" s="124" t="s">
        <v>186</v>
      </c>
      <c r="C182" s="408">
        <v>4366</v>
      </c>
      <c r="D182" s="412">
        <v>1.3523166666666668</v>
      </c>
      <c r="E182" s="420">
        <v>0</v>
      </c>
      <c r="F182" s="155">
        <v>0</v>
      </c>
      <c r="G182" s="419">
        <v>0</v>
      </c>
      <c r="H182" s="269">
        <v>1157</v>
      </c>
      <c r="I182" s="15">
        <v>1466</v>
      </c>
      <c r="J182" s="331">
        <v>0.78922237380627558</v>
      </c>
      <c r="K182" s="427">
        <v>0.78955535510383645</v>
      </c>
      <c r="L182" s="434">
        <v>0.61470040699999995</v>
      </c>
      <c r="M182" s="14">
        <f>Lisäosat[[#This Row],[HYTE-kerroin (sis. Kulttuurihyte)]]*Lisäosat[[#This Row],[Asukasmäärä 31.12.2023]]</f>
        <v>2683.7819769619996</v>
      </c>
      <c r="N182" s="427">
        <f>Lisäosat[[#This Row],[HYTE-kerroin (sis. Kulttuurihyte)]]/$N$7</f>
        <v>0.91014723074377402</v>
      </c>
      <c r="O182" s="439">
        <v>0</v>
      </c>
      <c r="P182" s="197">
        <v>571498.44898049999</v>
      </c>
      <c r="Q182" s="159">
        <v>0</v>
      </c>
      <c r="R182" s="159">
        <v>46571.654171979062</v>
      </c>
      <c r="S182" s="159">
        <v>79116.42293569789</v>
      </c>
      <c r="T182" s="159">
        <v>0</v>
      </c>
      <c r="U182" s="309">
        <f t="shared" si="3"/>
        <v>697186.52608817699</v>
      </c>
      <c r="V182" s="44"/>
      <c r="W182" s="44"/>
      <c r="X182" s="110"/>
      <c r="Y182" s="110"/>
      <c r="Z182" s="111"/>
    </row>
    <row r="183" spans="1:26" s="45" customFormat="1">
      <c r="A183" s="127">
        <v>581</v>
      </c>
      <c r="B183" s="124" t="s">
        <v>187</v>
      </c>
      <c r="C183" s="408">
        <v>6123</v>
      </c>
      <c r="D183" s="412">
        <v>0.81511666666666671</v>
      </c>
      <c r="E183" s="420">
        <v>0</v>
      </c>
      <c r="F183" s="155">
        <v>0</v>
      </c>
      <c r="G183" s="419">
        <v>0</v>
      </c>
      <c r="H183" s="269">
        <v>2383</v>
      </c>
      <c r="I183" s="15">
        <v>2240</v>
      </c>
      <c r="J183" s="331">
        <v>1.0638392857142858</v>
      </c>
      <c r="K183" s="427">
        <v>1.0642881308021979</v>
      </c>
      <c r="L183" s="434">
        <v>0.54475588200000002</v>
      </c>
      <c r="M183" s="14">
        <f>Lisäosat[[#This Row],[HYTE-kerroin (sis. Kulttuurihyte)]]*Lisäosat[[#This Row],[Asukasmäärä 31.12.2023]]</f>
        <v>3335.540265486</v>
      </c>
      <c r="N183" s="427">
        <f>Lisäosat[[#This Row],[HYTE-kerroin (sis. Kulttuurihyte)]]/$N$7</f>
        <v>0.8065848855598402</v>
      </c>
      <c r="O183" s="439">
        <v>0</v>
      </c>
      <c r="P183" s="197">
        <v>322066.60685550002</v>
      </c>
      <c r="Q183" s="159">
        <v>0</v>
      </c>
      <c r="R183" s="159">
        <v>88039.755398424095</v>
      </c>
      <c r="S183" s="159">
        <v>98329.900352772573</v>
      </c>
      <c r="T183" s="159">
        <v>0</v>
      </c>
      <c r="U183" s="309">
        <f t="shared" si="3"/>
        <v>508436.26260669669</v>
      </c>
      <c r="V183" s="44"/>
      <c r="W183" s="44"/>
      <c r="X183" s="110"/>
      <c r="Y183" s="110"/>
      <c r="Z183" s="111"/>
    </row>
    <row r="184" spans="1:26" s="45" customFormat="1">
      <c r="A184" s="127">
        <v>583</v>
      </c>
      <c r="B184" s="124" t="s">
        <v>188</v>
      </c>
      <c r="C184" s="408">
        <v>912</v>
      </c>
      <c r="D184" s="412">
        <v>1.8659666666666666</v>
      </c>
      <c r="E184" s="420">
        <v>0</v>
      </c>
      <c r="F184" s="155">
        <v>0</v>
      </c>
      <c r="G184" s="419">
        <v>0</v>
      </c>
      <c r="H184" s="269">
        <v>422</v>
      </c>
      <c r="I184" s="15">
        <v>364</v>
      </c>
      <c r="J184" s="331">
        <v>1.1593406593406594</v>
      </c>
      <c r="K184" s="427">
        <v>1.159829797471907</v>
      </c>
      <c r="L184" s="434">
        <v>0.58077553199999998</v>
      </c>
      <c r="M184" s="14">
        <f>Lisäosat[[#This Row],[HYTE-kerroin (sis. Kulttuurihyte)]]*Lisäosat[[#This Row],[Asukasmäärä 31.12.2023]]</f>
        <v>529.66728518399998</v>
      </c>
      <c r="N184" s="427">
        <f>Lisäosat[[#This Row],[HYTE-kerroin (sis. Kulttuurihyte)]]/$N$7</f>
        <v>0.85991685724317757</v>
      </c>
      <c r="O184" s="439">
        <v>0</v>
      </c>
      <c r="P184" s="197">
        <v>329444.02814399998</v>
      </c>
      <c r="Q184" s="159">
        <v>0</v>
      </c>
      <c r="R184" s="159">
        <v>14290.402114227063</v>
      </c>
      <c r="S184" s="159">
        <v>15614.301500473039</v>
      </c>
      <c r="T184" s="159">
        <v>0</v>
      </c>
      <c r="U184" s="309">
        <f t="shared" si="3"/>
        <v>359348.7317587001</v>
      </c>
      <c r="V184" s="44"/>
      <c r="W184" s="44"/>
      <c r="X184" s="110"/>
      <c r="Y184" s="110"/>
      <c r="Z184" s="111"/>
    </row>
    <row r="185" spans="1:26" s="45" customFormat="1">
      <c r="A185" s="127">
        <v>584</v>
      </c>
      <c r="B185" s="124" t="s">
        <v>189</v>
      </c>
      <c r="C185" s="408">
        <v>2578</v>
      </c>
      <c r="D185" s="412">
        <v>1.371</v>
      </c>
      <c r="E185" s="420">
        <v>0</v>
      </c>
      <c r="F185" s="155">
        <v>0</v>
      </c>
      <c r="G185" s="419">
        <v>0</v>
      </c>
      <c r="H185" s="269">
        <v>864</v>
      </c>
      <c r="I185" s="15">
        <v>894</v>
      </c>
      <c r="J185" s="331">
        <v>0.96644295302013428</v>
      </c>
      <c r="K185" s="427">
        <v>0.96685070556136443</v>
      </c>
      <c r="L185" s="434">
        <v>0.46746925499999997</v>
      </c>
      <c r="M185" s="14">
        <f>Lisäosat[[#This Row],[HYTE-kerroin (sis. Kulttuurihyte)]]*Lisäosat[[#This Row],[Asukasmäärä 31.12.2023]]</f>
        <v>1205.13573939</v>
      </c>
      <c r="N185" s="427">
        <f>Lisäosat[[#This Row],[HYTE-kerroin (sis. Kulttuurihyte)]]/$N$7</f>
        <v>0.69215156367401787</v>
      </c>
      <c r="O185" s="439">
        <v>0</v>
      </c>
      <c r="P185" s="197">
        <v>342115.92621000001</v>
      </c>
      <c r="Q185" s="159">
        <v>0</v>
      </c>
      <c r="R185" s="159">
        <v>33674.230516841541</v>
      </c>
      <c r="S185" s="159">
        <v>35526.741617228719</v>
      </c>
      <c r="T185" s="159">
        <v>0</v>
      </c>
      <c r="U185" s="309">
        <f t="shared" si="3"/>
        <v>411316.89834407024</v>
      </c>
      <c r="V185" s="44"/>
      <c r="W185" s="44"/>
      <c r="X185" s="110"/>
      <c r="Y185" s="110"/>
      <c r="Z185" s="111"/>
    </row>
    <row r="186" spans="1:26" s="45" customFormat="1">
      <c r="A186" s="127">
        <v>592</v>
      </c>
      <c r="B186" s="124" t="s">
        <v>191</v>
      </c>
      <c r="C186" s="408">
        <v>3596</v>
      </c>
      <c r="D186" s="412">
        <v>0.49086666666666667</v>
      </c>
      <c r="E186" s="420">
        <v>0</v>
      </c>
      <c r="F186" s="155">
        <v>1</v>
      </c>
      <c r="G186" s="419">
        <v>2.7808676307007786E-4</v>
      </c>
      <c r="H186" s="269">
        <v>794</v>
      </c>
      <c r="I186" s="15">
        <v>1477</v>
      </c>
      <c r="J186" s="331">
        <v>0.53757616790792151</v>
      </c>
      <c r="K186" s="427">
        <v>0.53780297699984381</v>
      </c>
      <c r="L186" s="434">
        <v>0.54338660900000002</v>
      </c>
      <c r="M186" s="14">
        <f>Lisäosat[[#This Row],[HYTE-kerroin (sis. Kulttuurihyte)]]*Lisäosat[[#This Row],[Asukasmäärä 31.12.2023]]</f>
        <v>1954.018245964</v>
      </c>
      <c r="N186" s="427">
        <f>Lisäosat[[#This Row],[HYTE-kerroin (sis. Kulttuurihyte)]]/$N$7</f>
        <v>0.8045574913774215</v>
      </c>
      <c r="O186" s="439">
        <v>0</v>
      </c>
      <c r="P186" s="197">
        <v>113905.551096</v>
      </c>
      <c r="Q186" s="159">
        <v>0</v>
      </c>
      <c r="R186" s="159">
        <v>26127.522716487332</v>
      </c>
      <c r="S186" s="159">
        <v>57603.387793354763</v>
      </c>
      <c r="T186" s="159">
        <v>0</v>
      </c>
      <c r="U186" s="309">
        <f t="shared" si="3"/>
        <v>197636.46160584211</v>
      </c>
      <c r="V186" s="44"/>
      <c r="W186" s="44"/>
      <c r="X186" s="110"/>
      <c r="Y186" s="110"/>
      <c r="Z186" s="111"/>
    </row>
    <row r="187" spans="1:26" s="45" customFormat="1">
      <c r="A187" s="127">
        <v>593</v>
      </c>
      <c r="B187" s="124" t="s">
        <v>192</v>
      </c>
      <c r="C187" s="408">
        <v>17050</v>
      </c>
      <c r="D187" s="412">
        <v>0</v>
      </c>
      <c r="E187" s="420">
        <v>0</v>
      </c>
      <c r="F187" s="155">
        <v>1</v>
      </c>
      <c r="G187" s="419">
        <v>5.8651026392961877E-5</v>
      </c>
      <c r="H187" s="269">
        <v>6454</v>
      </c>
      <c r="I187" s="15">
        <v>6305</v>
      </c>
      <c r="J187" s="331">
        <v>1.0236320380650277</v>
      </c>
      <c r="K187" s="427">
        <v>1.0240639192883334</v>
      </c>
      <c r="L187" s="434">
        <v>0.68598811999999998</v>
      </c>
      <c r="M187" s="14">
        <f>Lisäosat[[#This Row],[HYTE-kerroin (sis. Kulttuurihyte)]]*Lisäosat[[#This Row],[Asukasmäärä 31.12.2023]]</f>
        <v>11696.097446</v>
      </c>
      <c r="N187" s="427">
        <f>Lisäosat[[#This Row],[HYTE-kerroin (sis. Kulttuurihyte)]]/$N$7</f>
        <v>1.0156983477336916</v>
      </c>
      <c r="O187" s="439">
        <v>0</v>
      </c>
      <c r="P187" s="197">
        <v>0</v>
      </c>
      <c r="Q187" s="159">
        <v>0</v>
      </c>
      <c r="R187" s="159">
        <v>235888.51552043081</v>
      </c>
      <c r="S187" s="159">
        <v>344794.54746259149</v>
      </c>
      <c r="T187" s="159">
        <v>0</v>
      </c>
      <c r="U187" s="309">
        <f t="shared" si="3"/>
        <v>580683.0629830223</v>
      </c>
      <c r="V187" s="44"/>
      <c r="W187" s="44"/>
      <c r="X187" s="110"/>
      <c r="Y187" s="110"/>
      <c r="Z187" s="111"/>
    </row>
    <row r="188" spans="1:26" s="45" customFormat="1">
      <c r="A188" s="127">
        <v>595</v>
      </c>
      <c r="B188" s="124" t="s">
        <v>193</v>
      </c>
      <c r="C188" s="408">
        <v>4073</v>
      </c>
      <c r="D188" s="412">
        <v>1.3087</v>
      </c>
      <c r="E188" s="420">
        <v>0</v>
      </c>
      <c r="F188" s="155">
        <v>0</v>
      </c>
      <c r="G188" s="419">
        <v>0</v>
      </c>
      <c r="H188" s="269">
        <v>1146</v>
      </c>
      <c r="I188" s="15">
        <v>1350</v>
      </c>
      <c r="J188" s="331">
        <v>0.84888888888888892</v>
      </c>
      <c r="K188" s="427">
        <v>0.84924704412255769</v>
      </c>
      <c r="L188" s="434">
        <v>0.64897342300000005</v>
      </c>
      <c r="M188" s="14">
        <f>Lisäosat[[#This Row],[HYTE-kerroin (sis. Kulttuurihyte)]]*Lisäosat[[#This Row],[Asukasmäärä 31.12.2023]]</f>
        <v>2643.2687518790003</v>
      </c>
      <c r="N188" s="427">
        <f>Lisäosat[[#This Row],[HYTE-kerroin (sis. Kulttuurihyte)]]/$N$7</f>
        <v>0.96089307416020309</v>
      </c>
      <c r="O188" s="439">
        <v>0</v>
      </c>
      <c r="P188" s="197">
        <v>515949.7860045</v>
      </c>
      <c r="Q188" s="159">
        <v>0</v>
      </c>
      <c r="R188" s="159">
        <v>46730.863176708008</v>
      </c>
      <c r="S188" s="159">
        <v>77922.115246895235</v>
      </c>
      <c r="T188" s="159">
        <v>0</v>
      </c>
      <c r="U188" s="309">
        <f t="shared" si="3"/>
        <v>640602.76442810323</v>
      </c>
      <c r="V188" s="44"/>
      <c r="W188" s="44"/>
      <c r="X188" s="110"/>
      <c r="Y188" s="110"/>
      <c r="Z188" s="111"/>
    </row>
    <row r="189" spans="1:26" s="45" customFormat="1">
      <c r="A189" s="127">
        <v>598</v>
      </c>
      <c r="B189" s="124" t="s">
        <v>194</v>
      </c>
      <c r="C189" s="408">
        <v>19475</v>
      </c>
      <c r="D189" s="412">
        <v>0</v>
      </c>
      <c r="E189" s="420">
        <v>0</v>
      </c>
      <c r="F189" s="155">
        <v>1</v>
      </c>
      <c r="G189" s="419">
        <v>5.1347881899871633E-5</v>
      </c>
      <c r="H189" s="269">
        <v>11158</v>
      </c>
      <c r="I189" s="15">
        <v>8158</v>
      </c>
      <c r="J189" s="331">
        <v>1.3677371904878646</v>
      </c>
      <c r="K189" s="427">
        <v>1.3683142533278527</v>
      </c>
      <c r="L189" s="434">
        <v>0.48874512799999997</v>
      </c>
      <c r="M189" s="14">
        <f>Lisäosat[[#This Row],[HYTE-kerroin (sis. Kulttuurihyte)]]*Lisäosat[[#This Row],[Asukasmäärä 31.12.2023]]</f>
        <v>9518.3113677999991</v>
      </c>
      <c r="N189" s="427">
        <f>Lisäosat[[#This Row],[HYTE-kerroin (sis. Kulttuurihyte)]]/$N$7</f>
        <v>0.72365337605626701</v>
      </c>
      <c r="O189" s="439">
        <v>0.71130814050535118</v>
      </c>
      <c r="P189" s="197">
        <v>0</v>
      </c>
      <c r="Q189" s="159">
        <v>0</v>
      </c>
      <c r="R189" s="159">
        <v>360013.40032889467</v>
      </c>
      <c r="S189" s="159">
        <v>280594.60651903338</v>
      </c>
      <c r="T189" s="159">
        <v>146284.7869437685</v>
      </c>
      <c r="U189" s="309">
        <f t="shared" si="3"/>
        <v>786892.79379169655</v>
      </c>
      <c r="V189" s="44"/>
      <c r="W189" s="44"/>
      <c r="X189" s="110"/>
      <c r="Y189" s="110"/>
      <c r="Z189" s="111"/>
    </row>
    <row r="190" spans="1:26" s="45" customFormat="1">
      <c r="A190" s="127">
        <v>599</v>
      </c>
      <c r="B190" s="124" t="s">
        <v>195</v>
      </c>
      <c r="C190" s="408">
        <v>11225</v>
      </c>
      <c r="D190" s="412">
        <v>0</v>
      </c>
      <c r="E190" s="420">
        <v>0</v>
      </c>
      <c r="F190" s="155">
        <v>0</v>
      </c>
      <c r="G190" s="419">
        <v>0</v>
      </c>
      <c r="H190" s="269">
        <v>4493</v>
      </c>
      <c r="I190" s="15">
        <v>5194</v>
      </c>
      <c r="J190" s="331">
        <v>0.86503658067000389</v>
      </c>
      <c r="K190" s="427">
        <v>0.86540154878625219</v>
      </c>
      <c r="L190" s="434">
        <v>0.67202247199999998</v>
      </c>
      <c r="M190" s="14">
        <f>Lisäosat[[#This Row],[HYTE-kerroin (sis. Kulttuurihyte)]]*Lisäosat[[#This Row],[Asukasmäärä 31.12.2023]]</f>
        <v>7543.4522482000002</v>
      </c>
      <c r="N190" s="427">
        <f>Lisäosat[[#This Row],[HYTE-kerroin (sis. Kulttuurihyte)]]/$N$7</f>
        <v>0.99502031383620915</v>
      </c>
      <c r="O190" s="439">
        <v>0.1519951971748775</v>
      </c>
      <c r="P190" s="197">
        <v>0</v>
      </c>
      <c r="Q190" s="159">
        <v>0</v>
      </c>
      <c r="R190" s="159">
        <v>131237.92852304794</v>
      </c>
      <c r="S190" s="159">
        <v>222376.84118417592</v>
      </c>
      <c r="T190" s="159">
        <v>18016.90269232128</v>
      </c>
      <c r="U190" s="309">
        <f t="shared" si="3"/>
        <v>371631.67239954515</v>
      </c>
      <c r="V190" s="44"/>
      <c r="W190" s="44"/>
      <c r="X190" s="110"/>
      <c r="Y190" s="110"/>
      <c r="Z190" s="111"/>
    </row>
    <row r="191" spans="1:26" s="45" customFormat="1">
      <c r="A191" s="127">
        <v>601</v>
      </c>
      <c r="B191" s="124" t="s">
        <v>196</v>
      </c>
      <c r="C191" s="408">
        <v>3739</v>
      </c>
      <c r="D191" s="412">
        <v>1.4822833333333334</v>
      </c>
      <c r="E191" s="420">
        <v>0</v>
      </c>
      <c r="F191" s="155">
        <v>0</v>
      </c>
      <c r="G191" s="419">
        <v>0</v>
      </c>
      <c r="H191" s="269">
        <v>1268</v>
      </c>
      <c r="I191" s="15">
        <v>1374</v>
      </c>
      <c r="J191" s="331">
        <v>0.92285298398835514</v>
      </c>
      <c r="K191" s="427">
        <v>0.92324234545891803</v>
      </c>
      <c r="L191" s="434">
        <v>0.49410011399999998</v>
      </c>
      <c r="M191" s="14">
        <f>Lisäosat[[#This Row],[HYTE-kerroin (sis. Kulttuurihyte)]]*Lisäosat[[#This Row],[Asukasmäärä 31.12.2023]]</f>
        <v>1847.4403262459998</v>
      </c>
      <c r="N191" s="427">
        <f>Lisäosat[[#This Row],[HYTE-kerroin (sis. Kulttuurihyte)]]/$N$7</f>
        <v>0.73158215831030526</v>
      </c>
      <c r="O191" s="439">
        <v>0</v>
      </c>
      <c r="P191" s="197">
        <v>536462.80341974995</v>
      </c>
      <c r="Q191" s="159">
        <v>0</v>
      </c>
      <c r="R191" s="159">
        <v>46636.562281853781</v>
      </c>
      <c r="S191" s="159">
        <v>54461.529086351627</v>
      </c>
      <c r="T191" s="159">
        <v>0</v>
      </c>
      <c r="U191" s="309">
        <f t="shared" si="3"/>
        <v>637560.89478795533</v>
      </c>
      <c r="V191" s="44"/>
      <c r="W191" s="44"/>
      <c r="X191" s="110"/>
      <c r="Y191" s="110"/>
      <c r="Z191" s="111"/>
    </row>
    <row r="192" spans="1:26" s="45" customFormat="1">
      <c r="A192" s="127">
        <v>604</v>
      </c>
      <c r="B192" s="124" t="s">
        <v>197</v>
      </c>
      <c r="C192" s="408">
        <v>20763</v>
      </c>
      <c r="D192" s="412">
        <v>0</v>
      </c>
      <c r="E192" s="420">
        <v>0</v>
      </c>
      <c r="F192" s="155">
        <v>2</v>
      </c>
      <c r="G192" s="419">
        <v>9.6325193854452629E-5</v>
      </c>
      <c r="H192" s="269">
        <v>9966</v>
      </c>
      <c r="I192" s="15">
        <v>9844</v>
      </c>
      <c r="J192" s="331">
        <v>1.0123933360422592</v>
      </c>
      <c r="K192" s="427">
        <v>1.0128204755378762</v>
      </c>
      <c r="L192" s="434">
        <v>0.78346932199999997</v>
      </c>
      <c r="M192" s="14">
        <f>Lisäosat[[#This Row],[HYTE-kerroin (sis. Kulttuurihyte)]]*Lisäosat[[#This Row],[Asukasmäärä 31.12.2023]]</f>
        <v>16267.173532686</v>
      </c>
      <c r="N192" s="427">
        <f>Lisäosat[[#This Row],[HYTE-kerroin (sis. Kulttuurihyte)]]/$N$7</f>
        <v>1.1600324738210273</v>
      </c>
      <c r="O192" s="439">
        <v>1.5914577072316434</v>
      </c>
      <c r="P192" s="197">
        <v>0</v>
      </c>
      <c r="Q192" s="159">
        <v>0</v>
      </c>
      <c r="R192" s="159">
        <v>284104.37761884043</v>
      </c>
      <c r="S192" s="159">
        <v>479547.36719606468</v>
      </c>
      <c r="T192" s="159">
        <v>348938.68812264648</v>
      </c>
      <c r="U192" s="309">
        <f t="shared" si="3"/>
        <v>1112590.4329375515</v>
      </c>
      <c r="V192" s="44"/>
      <c r="W192" s="44"/>
      <c r="X192" s="110"/>
      <c r="Y192" s="110"/>
      <c r="Z192" s="111"/>
    </row>
    <row r="193" spans="1:26" s="45" customFormat="1">
      <c r="A193" s="127">
        <v>607</v>
      </c>
      <c r="B193" s="124" t="s">
        <v>198</v>
      </c>
      <c r="C193" s="408">
        <v>4064</v>
      </c>
      <c r="D193" s="412">
        <v>0.61786666666666668</v>
      </c>
      <c r="E193" s="420">
        <v>0</v>
      </c>
      <c r="F193" s="155">
        <v>0</v>
      </c>
      <c r="G193" s="419">
        <v>0</v>
      </c>
      <c r="H193" s="269">
        <v>1008</v>
      </c>
      <c r="I193" s="15">
        <v>1396</v>
      </c>
      <c r="J193" s="331">
        <v>0.72206303724928367</v>
      </c>
      <c r="K193" s="427">
        <v>0.72236768330981593</v>
      </c>
      <c r="L193" s="434">
        <v>0.66681154399999998</v>
      </c>
      <c r="M193" s="14">
        <f>Lisäosat[[#This Row],[HYTE-kerroin (sis. Kulttuurihyte)]]*Lisäosat[[#This Row],[Asukasmäärä 31.12.2023]]</f>
        <v>2709.922114816</v>
      </c>
      <c r="N193" s="427">
        <f>Lisäosat[[#This Row],[HYTE-kerroin (sis. Kulttuurihyte)]]/$N$7</f>
        <v>0.98730482896781335</v>
      </c>
      <c r="O193" s="439">
        <v>0</v>
      </c>
      <c r="P193" s="197">
        <v>162035.48390399999</v>
      </c>
      <c r="Q193" s="159">
        <v>0</v>
      </c>
      <c r="R193" s="159">
        <v>39661.337599759456</v>
      </c>
      <c r="S193" s="159">
        <v>79887.019884260604</v>
      </c>
      <c r="T193" s="159">
        <v>0</v>
      </c>
      <c r="U193" s="309">
        <f t="shared" si="3"/>
        <v>281583.84138802008</v>
      </c>
      <c r="V193" s="44"/>
      <c r="W193" s="44"/>
      <c r="X193" s="110"/>
      <c r="Y193" s="110"/>
      <c r="Z193" s="111"/>
    </row>
    <row r="194" spans="1:26" s="45" customFormat="1">
      <c r="A194" s="127">
        <v>608</v>
      </c>
      <c r="B194" s="124" t="s">
        <v>199</v>
      </c>
      <c r="C194" s="408">
        <v>1943</v>
      </c>
      <c r="D194" s="412">
        <v>0.1082</v>
      </c>
      <c r="E194" s="420">
        <v>0</v>
      </c>
      <c r="F194" s="155">
        <v>0</v>
      </c>
      <c r="G194" s="419">
        <v>0</v>
      </c>
      <c r="H194" s="269">
        <v>528</v>
      </c>
      <c r="I194" s="15">
        <v>720</v>
      </c>
      <c r="J194" s="331">
        <v>0.73333333333333328</v>
      </c>
      <c r="K194" s="427">
        <v>0.73364273445142414</v>
      </c>
      <c r="L194" s="434">
        <v>0.51160756200000002</v>
      </c>
      <c r="M194" s="14">
        <f>Lisäosat[[#This Row],[HYTE-kerroin (sis. Kulttuurihyte)]]*Lisäosat[[#This Row],[Asukasmäärä 31.12.2023]]</f>
        <v>994.05349296600002</v>
      </c>
      <c r="N194" s="427">
        <f>Lisäosat[[#This Row],[HYTE-kerroin (sis. Kulttuurihyte)]]/$N$7</f>
        <v>0.75750430694260751</v>
      </c>
      <c r="O194" s="439">
        <v>0</v>
      </c>
      <c r="P194" s="197">
        <v>13566.309678000001</v>
      </c>
      <c r="Q194" s="159">
        <v>0</v>
      </c>
      <c r="R194" s="159">
        <v>19258.07042435847</v>
      </c>
      <c r="S194" s="159">
        <v>29304.152589634672</v>
      </c>
      <c r="T194" s="159">
        <v>0</v>
      </c>
      <c r="U194" s="309">
        <f t="shared" si="3"/>
        <v>62128.532691993139</v>
      </c>
      <c r="V194" s="44"/>
      <c r="W194" s="44"/>
      <c r="X194" s="110"/>
      <c r="Y194" s="110"/>
      <c r="Z194" s="111"/>
    </row>
    <row r="195" spans="1:26" s="45" customFormat="1">
      <c r="A195" s="127">
        <v>609</v>
      </c>
      <c r="B195" s="124" t="s">
        <v>200</v>
      </c>
      <c r="C195" s="408">
        <v>83106</v>
      </c>
      <c r="D195" s="412">
        <v>0</v>
      </c>
      <c r="E195" s="420">
        <v>0</v>
      </c>
      <c r="F195" s="155">
        <v>1</v>
      </c>
      <c r="G195" s="419">
        <v>1.2032825548095204E-5</v>
      </c>
      <c r="H195" s="269">
        <v>34715</v>
      </c>
      <c r="I195" s="15">
        <v>33806</v>
      </c>
      <c r="J195" s="331">
        <v>1.0268887179790569</v>
      </c>
      <c r="K195" s="427">
        <v>1.0273219732301899</v>
      </c>
      <c r="L195" s="434">
        <v>0.69292275400000003</v>
      </c>
      <c r="M195" s="14">
        <f>Lisäosat[[#This Row],[HYTE-kerroin (sis. Kulttuurihyte)]]*Lisäosat[[#This Row],[Asukasmäärä 31.12.2023]]</f>
        <v>57586.038393924006</v>
      </c>
      <c r="N195" s="427">
        <f>Lisäosat[[#This Row],[HYTE-kerroin (sis. Kulttuurihyte)]]/$N$7</f>
        <v>1.025966012858764</v>
      </c>
      <c r="O195" s="439">
        <v>0</v>
      </c>
      <c r="P195" s="197">
        <v>0</v>
      </c>
      <c r="Q195" s="159">
        <v>0</v>
      </c>
      <c r="R195" s="159">
        <v>1153438.1349471929</v>
      </c>
      <c r="S195" s="159">
        <v>1697604.8754609912</v>
      </c>
      <c r="T195" s="159">
        <v>0</v>
      </c>
      <c r="U195" s="309">
        <f t="shared" si="3"/>
        <v>2851043.010408184</v>
      </c>
      <c r="V195" s="44"/>
      <c r="W195" s="44"/>
      <c r="X195" s="110"/>
      <c r="Y195" s="110"/>
      <c r="Z195" s="111"/>
    </row>
    <row r="196" spans="1:26" s="45" customFormat="1">
      <c r="A196" s="127">
        <v>611</v>
      </c>
      <c r="B196" s="124" t="s">
        <v>201</v>
      </c>
      <c r="C196" s="408">
        <v>4973</v>
      </c>
      <c r="D196" s="412">
        <v>0</v>
      </c>
      <c r="E196" s="420">
        <v>0</v>
      </c>
      <c r="F196" s="155">
        <v>0</v>
      </c>
      <c r="G196" s="419">
        <v>0</v>
      </c>
      <c r="H196" s="269">
        <v>1036</v>
      </c>
      <c r="I196" s="15">
        <v>2479</v>
      </c>
      <c r="J196" s="331">
        <v>0.41791044776119401</v>
      </c>
      <c r="K196" s="427">
        <v>0.41808676861546556</v>
      </c>
      <c r="L196" s="434">
        <v>0.59921815199999995</v>
      </c>
      <c r="M196" s="14">
        <f>Lisäosat[[#This Row],[HYTE-kerroin (sis. Kulttuurihyte)]]*Lisäosat[[#This Row],[Asukasmäärä 31.12.2023]]</f>
        <v>2979.9118698959996</v>
      </c>
      <c r="N196" s="427">
        <f>Lisäosat[[#This Row],[HYTE-kerroin (sis. Kulttuurihyte)]]/$N$7</f>
        <v>0.88722365471640541</v>
      </c>
      <c r="O196" s="439">
        <v>0</v>
      </c>
      <c r="P196" s="197">
        <v>0</v>
      </c>
      <c r="Q196" s="159">
        <v>0</v>
      </c>
      <c r="R196" s="159">
        <v>28089.255709386834</v>
      </c>
      <c r="S196" s="159">
        <v>87846.170006952263</v>
      </c>
      <c r="T196" s="159">
        <v>0</v>
      </c>
      <c r="U196" s="309">
        <f t="shared" si="3"/>
        <v>115935.4257163391</v>
      </c>
      <c r="V196" s="44"/>
      <c r="W196" s="44"/>
      <c r="X196" s="110"/>
      <c r="Y196" s="110"/>
      <c r="Z196" s="111"/>
    </row>
    <row r="197" spans="1:26" s="45" customFormat="1">
      <c r="A197" s="127">
        <v>614</v>
      </c>
      <c r="B197" s="124" t="s">
        <v>202</v>
      </c>
      <c r="C197" s="408">
        <v>2923</v>
      </c>
      <c r="D197" s="412">
        <v>1.8032166666666667</v>
      </c>
      <c r="E197" s="420">
        <v>0</v>
      </c>
      <c r="F197" s="155">
        <v>0</v>
      </c>
      <c r="G197" s="419">
        <v>0</v>
      </c>
      <c r="H197" s="269">
        <v>863</v>
      </c>
      <c r="I197" s="15">
        <v>982</v>
      </c>
      <c r="J197" s="331">
        <v>0.87881873727087578</v>
      </c>
      <c r="K197" s="427">
        <v>0.87918952022529961</v>
      </c>
      <c r="L197" s="434">
        <v>0.67133908899999994</v>
      </c>
      <c r="M197" s="14">
        <f>Lisäosat[[#This Row],[HYTE-kerroin (sis. Kulttuurihyte)]]*Lisäosat[[#This Row],[Asukasmäärä 31.12.2023]]</f>
        <v>1962.3241571469998</v>
      </c>
      <c r="N197" s="427">
        <f>Lisäosat[[#This Row],[HYTE-kerroin (sis. Kulttuurihyte)]]/$N$7</f>
        <v>0.994008472721571</v>
      </c>
      <c r="O197" s="439">
        <v>0</v>
      </c>
      <c r="P197" s="197">
        <v>1020374.6204835002</v>
      </c>
      <c r="Q197" s="159">
        <v>0</v>
      </c>
      <c r="R197" s="159">
        <v>34718.956772526624</v>
      </c>
      <c r="S197" s="159">
        <v>57848.241506384176</v>
      </c>
      <c r="T197" s="159">
        <v>0</v>
      </c>
      <c r="U197" s="309">
        <f t="shared" si="3"/>
        <v>1112941.8187624111</v>
      </c>
      <c r="V197" s="44"/>
      <c r="W197" s="44"/>
      <c r="X197" s="110"/>
      <c r="Y197" s="110"/>
      <c r="Z197" s="111"/>
    </row>
    <row r="198" spans="1:26" s="45" customFormat="1">
      <c r="A198" s="127">
        <v>615</v>
      </c>
      <c r="B198" s="124" t="s">
        <v>203</v>
      </c>
      <c r="C198" s="408">
        <v>7479</v>
      </c>
      <c r="D198" s="412">
        <v>1.5287166666666667</v>
      </c>
      <c r="E198" s="420">
        <v>0</v>
      </c>
      <c r="F198" s="155">
        <v>1</v>
      </c>
      <c r="G198" s="419">
        <v>1.3370771493515177E-4</v>
      </c>
      <c r="H198" s="269">
        <v>2463</v>
      </c>
      <c r="I198" s="15">
        <v>2409</v>
      </c>
      <c r="J198" s="331">
        <v>1.0224159402241595</v>
      </c>
      <c r="K198" s="427">
        <v>1.0228473083628766</v>
      </c>
      <c r="L198" s="434">
        <v>0.50317453300000003</v>
      </c>
      <c r="M198" s="14">
        <f>Lisäosat[[#This Row],[HYTE-kerroin (sis. Kulttuurihyte)]]*Lisäosat[[#This Row],[Asukasmäärä 31.12.2023]]</f>
        <v>3763.2423323070002</v>
      </c>
      <c r="N198" s="427">
        <f>Lisäosat[[#This Row],[HYTE-kerroin (sis. Kulttuurihyte)]]/$N$7</f>
        <v>0.74501806502096857</v>
      </c>
      <c r="O198" s="439">
        <v>0</v>
      </c>
      <c r="P198" s="197">
        <v>2213367.1168005001</v>
      </c>
      <c r="Q198" s="159">
        <v>0</v>
      </c>
      <c r="R198" s="159">
        <v>103349.81151001285</v>
      </c>
      <c r="S198" s="159">
        <v>110938.32305609022</v>
      </c>
      <c r="T198" s="159">
        <v>0</v>
      </c>
      <c r="U198" s="309">
        <f t="shared" si="3"/>
        <v>2427655.2513666032</v>
      </c>
      <c r="V198" s="44"/>
      <c r="W198" s="44"/>
      <c r="X198" s="110"/>
      <c r="Y198" s="110"/>
      <c r="Z198" s="111"/>
    </row>
    <row r="199" spans="1:26" s="45" customFormat="1">
      <c r="A199" s="127">
        <v>616</v>
      </c>
      <c r="B199" s="124" t="s">
        <v>204</v>
      </c>
      <c r="C199" s="408">
        <v>1781</v>
      </c>
      <c r="D199" s="412">
        <v>0</v>
      </c>
      <c r="E199" s="420">
        <v>0</v>
      </c>
      <c r="F199" s="155">
        <v>0</v>
      </c>
      <c r="G199" s="419">
        <v>0</v>
      </c>
      <c r="H199" s="269">
        <v>490</v>
      </c>
      <c r="I199" s="15">
        <v>817</v>
      </c>
      <c r="J199" s="331">
        <v>0.59975520195838439</v>
      </c>
      <c r="K199" s="427">
        <v>0.60000824504483896</v>
      </c>
      <c r="L199" s="434">
        <v>0.60515138300000004</v>
      </c>
      <c r="M199" s="14">
        <f>Lisäosat[[#This Row],[HYTE-kerroin (sis. Kulttuurihyte)]]*Lisäosat[[#This Row],[Asukasmäärä 31.12.2023]]</f>
        <v>1077.7746131230001</v>
      </c>
      <c r="N199" s="427">
        <f>Lisäosat[[#This Row],[HYTE-kerroin (sis. Kulttuurihyte)]]/$N$7</f>
        <v>0.8960086070322304</v>
      </c>
      <c r="O199" s="439">
        <v>0</v>
      </c>
      <c r="P199" s="197">
        <v>0</v>
      </c>
      <c r="Q199" s="159">
        <v>0</v>
      </c>
      <c r="R199" s="159">
        <v>14436.984386579836</v>
      </c>
      <c r="S199" s="159">
        <v>31772.205362866851</v>
      </c>
      <c r="T199" s="159">
        <v>0</v>
      </c>
      <c r="U199" s="309">
        <f t="shared" si="3"/>
        <v>46209.189749446683</v>
      </c>
      <c r="V199" s="44"/>
      <c r="W199" s="44"/>
      <c r="X199" s="110"/>
      <c r="Y199" s="110"/>
      <c r="Z199" s="111"/>
    </row>
    <row r="200" spans="1:26" s="45" customFormat="1">
      <c r="A200" s="127">
        <v>619</v>
      </c>
      <c r="B200" s="124" t="s">
        <v>205</v>
      </c>
      <c r="C200" s="408">
        <v>2650</v>
      </c>
      <c r="D200" s="412">
        <v>0.47946666666666665</v>
      </c>
      <c r="E200" s="420">
        <v>0</v>
      </c>
      <c r="F200" s="155">
        <v>0</v>
      </c>
      <c r="G200" s="419">
        <v>0</v>
      </c>
      <c r="H200" s="269">
        <v>734</v>
      </c>
      <c r="I200" s="15">
        <v>950</v>
      </c>
      <c r="J200" s="331">
        <v>0.77263157894736845</v>
      </c>
      <c r="K200" s="427">
        <v>0.77295756041245745</v>
      </c>
      <c r="L200" s="434">
        <v>0.61993547100000002</v>
      </c>
      <c r="M200" s="14">
        <f>Lisäosat[[#This Row],[HYTE-kerroin (sis. Kulttuurihyte)]]*Lisäosat[[#This Row],[Asukasmäärä 31.12.2023]]</f>
        <v>1642.82899815</v>
      </c>
      <c r="N200" s="427">
        <f>Lisäosat[[#This Row],[HYTE-kerroin (sis. Kulttuurihyte)]]/$N$7</f>
        <v>0.91789845223005895</v>
      </c>
      <c r="O200" s="439">
        <v>0</v>
      </c>
      <c r="P200" s="197">
        <v>81990.957599999994</v>
      </c>
      <c r="Q200" s="159">
        <v>0</v>
      </c>
      <c r="R200" s="159">
        <v>27673.040099106594</v>
      </c>
      <c r="S200" s="159">
        <v>48429.699187336249</v>
      </c>
      <c r="T200" s="159">
        <v>0</v>
      </c>
      <c r="U200" s="309">
        <f t="shared" ref="U200:U263" si="4">SUM(P200:T200)</f>
        <v>158093.69688644283</v>
      </c>
      <c r="V200" s="44"/>
      <c r="W200" s="44"/>
      <c r="X200" s="110"/>
      <c r="Y200" s="110"/>
      <c r="Z200" s="111"/>
    </row>
    <row r="201" spans="1:26" s="45" customFormat="1">
      <c r="A201" s="127">
        <v>620</v>
      </c>
      <c r="B201" s="124" t="s">
        <v>206</v>
      </c>
      <c r="C201" s="408">
        <v>2359</v>
      </c>
      <c r="D201" s="412">
        <v>1.79895</v>
      </c>
      <c r="E201" s="420">
        <v>0</v>
      </c>
      <c r="F201" s="155">
        <v>1</v>
      </c>
      <c r="G201" s="419">
        <v>4.2390843577787198E-4</v>
      </c>
      <c r="H201" s="269">
        <v>609</v>
      </c>
      <c r="I201" s="15">
        <v>680</v>
      </c>
      <c r="J201" s="331">
        <v>0.89558823529411768</v>
      </c>
      <c r="K201" s="427">
        <v>0.89596609347777545</v>
      </c>
      <c r="L201" s="434">
        <v>0.46472745100000001</v>
      </c>
      <c r="M201" s="14">
        <f>Lisäosat[[#This Row],[HYTE-kerroin (sis. Kulttuurihyte)]]*Lisäosat[[#This Row],[Asukasmäärä 31.12.2023]]</f>
        <v>1096.2920569089999</v>
      </c>
      <c r="N201" s="427">
        <f>Lisäosat[[#This Row],[HYTE-kerroin (sis. Kulttuurihyte)]]/$N$7</f>
        <v>0.6880919513987942</v>
      </c>
      <c r="O201" s="439">
        <v>0</v>
      </c>
      <c r="P201" s="197">
        <v>821542.34524950013</v>
      </c>
      <c r="Q201" s="159">
        <v>0</v>
      </c>
      <c r="R201" s="159">
        <v>28554.520036085116</v>
      </c>
      <c r="S201" s="159">
        <v>32318.089464793633</v>
      </c>
      <c r="T201" s="159">
        <v>0</v>
      </c>
      <c r="U201" s="309">
        <f t="shared" si="4"/>
        <v>882414.95475037897</v>
      </c>
      <c r="V201" s="44"/>
      <c r="W201" s="44"/>
      <c r="X201" s="110"/>
      <c r="Y201" s="110"/>
      <c r="Z201" s="111"/>
    </row>
    <row r="202" spans="1:26" s="45" customFormat="1">
      <c r="A202" s="127">
        <v>623</v>
      </c>
      <c r="B202" s="124" t="s">
        <v>207</v>
      </c>
      <c r="C202" s="408">
        <v>2108</v>
      </c>
      <c r="D202" s="412">
        <v>1.7429666666666668</v>
      </c>
      <c r="E202" s="420">
        <v>0</v>
      </c>
      <c r="F202" s="155">
        <v>0</v>
      </c>
      <c r="G202" s="419">
        <v>0</v>
      </c>
      <c r="H202" s="269">
        <v>597</v>
      </c>
      <c r="I202" s="15">
        <v>755</v>
      </c>
      <c r="J202" s="331">
        <v>0.79072847682119207</v>
      </c>
      <c r="K202" s="427">
        <v>0.79106209355960311</v>
      </c>
      <c r="L202" s="434">
        <v>0.53641602899999996</v>
      </c>
      <c r="M202" s="14">
        <f>Lisäosat[[#This Row],[HYTE-kerroin (sis. Kulttuurihyte)]]*Lisäosat[[#This Row],[Asukasmäärä 31.12.2023]]</f>
        <v>1130.764989132</v>
      </c>
      <c r="N202" s="427">
        <f>Lisäosat[[#This Row],[HYTE-kerroin (sis. Kulttuurihyte)]]/$N$7</f>
        <v>0.79423660332946877</v>
      </c>
      <c r="O202" s="439">
        <v>0</v>
      </c>
      <c r="P202" s="197">
        <v>711283.2930360001</v>
      </c>
      <c r="Q202" s="159">
        <v>0</v>
      </c>
      <c r="R202" s="159">
        <v>22528.720647451421</v>
      </c>
      <c r="S202" s="159">
        <v>33334.33262798674</v>
      </c>
      <c r="T202" s="159">
        <v>0</v>
      </c>
      <c r="U202" s="309">
        <f t="shared" si="4"/>
        <v>767146.34631143836</v>
      </c>
      <c r="V202" s="44"/>
      <c r="W202" s="44"/>
      <c r="X202" s="110"/>
      <c r="Y202" s="110"/>
      <c r="Z202" s="111"/>
    </row>
    <row r="203" spans="1:26" s="45" customFormat="1">
      <c r="A203" s="127">
        <v>624</v>
      </c>
      <c r="B203" s="124" t="s">
        <v>208</v>
      </c>
      <c r="C203" s="408">
        <v>5065</v>
      </c>
      <c r="D203" s="412">
        <v>0</v>
      </c>
      <c r="E203" s="420">
        <v>0</v>
      </c>
      <c r="F203" s="155">
        <v>0</v>
      </c>
      <c r="G203" s="419">
        <v>0</v>
      </c>
      <c r="H203" s="269">
        <v>1007</v>
      </c>
      <c r="I203" s="15">
        <v>2126</v>
      </c>
      <c r="J203" s="331">
        <v>0.47365945437441204</v>
      </c>
      <c r="K203" s="427">
        <v>0.47385929632638168</v>
      </c>
      <c r="L203" s="434">
        <v>0.66424201299999996</v>
      </c>
      <c r="M203" s="14">
        <f>Lisäosat[[#This Row],[HYTE-kerroin (sis. Kulttuurihyte)]]*Lisäosat[[#This Row],[Asukasmäärä 31.12.2023]]</f>
        <v>3364.3857958449998</v>
      </c>
      <c r="N203" s="427">
        <f>Lisäosat[[#This Row],[HYTE-kerroin (sis. Kulttuurihyte)]]/$N$7</f>
        <v>0.98350029020823471</v>
      </c>
      <c r="O203" s="439">
        <v>0</v>
      </c>
      <c r="P203" s="197">
        <v>0</v>
      </c>
      <c r="Q203" s="159">
        <v>0</v>
      </c>
      <c r="R203" s="159">
        <v>32425.315007916095</v>
      </c>
      <c r="S203" s="159">
        <v>99180.250790802747</v>
      </c>
      <c r="T203" s="159">
        <v>0</v>
      </c>
      <c r="U203" s="309">
        <f t="shared" si="4"/>
        <v>131605.56579871883</v>
      </c>
      <c r="V203" s="44"/>
      <c r="W203" s="44"/>
      <c r="X203" s="110"/>
      <c r="Y203" s="110"/>
      <c r="Z203" s="111"/>
    </row>
    <row r="204" spans="1:26" s="45" customFormat="1">
      <c r="A204" s="127">
        <v>625</v>
      </c>
      <c r="B204" s="124" t="s">
        <v>209</v>
      </c>
      <c r="C204" s="408">
        <v>2980</v>
      </c>
      <c r="D204" s="412">
        <v>0.87180000000000002</v>
      </c>
      <c r="E204" s="420">
        <v>0</v>
      </c>
      <c r="F204" s="155">
        <v>0</v>
      </c>
      <c r="G204" s="419">
        <v>0</v>
      </c>
      <c r="H204" s="269">
        <v>783</v>
      </c>
      <c r="I204" s="15">
        <v>1114</v>
      </c>
      <c r="J204" s="331">
        <v>0.70287253141831241</v>
      </c>
      <c r="K204" s="427">
        <v>0.70316908080071627</v>
      </c>
      <c r="L204" s="434">
        <v>0.50847589800000004</v>
      </c>
      <c r="M204" s="14">
        <f>Lisäosat[[#This Row],[HYTE-kerroin (sis. Kulttuurihyte)]]*Lisäosat[[#This Row],[Asukasmäärä 31.12.2023]]</f>
        <v>1515.2581760400001</v>
      </c>
      <c r="N204" s="427">
        <f>Lisäosat[[#This Row],[HYTE-kerroin (sis. Kulttuurihyte)]]/$N$7</f>
        <v>0.75286745412005851</v>
      </c>
      <c r="O204" s="439">
        <v>0</v>
      </c>
      <c r="P204" s="197">
        <v>167646.61692</v>
      </c>
      <c r="Q204" s="159">
        <v>0</v>
      </c>
      <c r="R204" s="159">
        <v>28309.446559220676</v>
      </c>
      <c r="S204" s="159">
        <v>44668.981214360487</v>
      </c>
      <c r="T204" s="159">
        <v>0</v>
      </c>
      <c r="U204" s="309">
        <f t="shared" si="4"/>
        <v>240625.04469358115</v>
      </c>
      <c r="V204" s="44"/>
      <c r="W204" s="44"/>
      <c r="X204" s="110"/>
      <c r="Y204" s="110"/>
      <c r="Z204" s="111"/>
    </row>
    <row r="205" spans="1:26" s="45" customFormat="1">
      <c r="A205" s="127">
        <v>626</v>
      </c>
      <c r="B205" s="124" t="s">
        <v>210</v>
      </c>
      <c r="C205" s="408">
        <v>4756</v>
      </c>
      <c r="D205" s="412">
        <v>1.2624333333333335</v>
      </c>
      <c r="E205" s="420">
        <v>0</v>
      </c>
      <c r="F205" s="155">
        <v>0</v>
      </c>
      <c r="G205" s="419">
        <v>0</v>
      </c>
      <c r="H205" s="269">
        <v>1445</v>
      </c>
      <c r="I205" s="15">
        <v>1572</v>
      </c>
      <c r="J205" s="331">
        <v>0.91921119592875322</v>
      </c>
      <c r="K205" s="427">
        <v>0.91959902089027412</v>
      </c>
      <c r="L205" s="434">
        <v>0.73196713199999996</v>
      </c>
      <c r="M205" s="14">
        <f>Lisäosat[[#This Row],[HYTE-kerroin (sis. Kulttuurihyte)]]*Lisäosat[[#This Row],[Asukasmäärä 31.12.2023]]</f>
        <v>3481.2356797919997</v>
      </c>
      <c r="N205" s="427">
        <f>Lisäosat[[#This Row],[HYTE-kerroin (sis. Kulttuurihyte)]]/$N$7</f>
        <v>1.08377650412921</v>
      </c>
      <c r="O205" s="439">
        <v>0</v>
      </c>
      <c r="P205" s="197">
        <v>581170.04728200007</v>
      </c>
      <c r="Q205" s="159">
        <v>0</v>
      </c>
      <c r="R205" s="159">
        <v>59087.510864714481</v>
      </c>
      <c r="S205" s="159">
        <v>102624.921377943</v>
      </c>
      <c r="T205" s="159">
        <v>0</v>
      </c>
      <c r="U205" s="309">
        <f t="shared" si="4"/>
        <v>742882.4795246576</v>
      </c>
      <c r="V205" s="44"/>
      <c r="W205" s="44"/>
      <c r="X205" s="110"/>
      <c r="Y205" s="110"/>
      <c r="Z205" s="111"/>
    </row>
    <row r="206" spans="1:26" s="45" customFormat="1">
      <c r="A206" s="127">
        <v>630</v>
      </c>
      <c r="B206" s="124" t="s">
        <v>211</v>
      </c>
      <c r="C206" s="408">
        <v>1646</v>
      </c>
      <c r="D206" s="412">
        <v>1.6342166666666667</v>
      </c>
      <c r="E206" s="420">
        <v>0</v>
      </c>
      <c r="F206" s="155">
        <v>0</v>
      </c>
      <c r="G206" s="419">
        <v>0</v>
      </c>
      <c r="H206" s="269">
        <v>802</v>
      </c>
      <c r="I206" s="15">
        <v>596</v>
      </c>
      <c r="J206" s="331">
        <v>1.3456375838926173</v>
      </c>
      <c r="K206" s="427">
        <v>1.346205322673983</v>
      </c>
      <c r="L206" s="434">
        <v>0.61236704500000005</v>
      </c>
      <c r="M206" s="14">
        <f>Lisäosat[[#This Row],[HYTE-kerroin (sis. Kulttuurihyte)]]*Lisäosat[[#This Row],[Asukasmäärä 31.12.2023]]</f>
        <v>1007.9561560700001</v>
      </c>
      <c r="N206" s="427">
        <f>Lisäosat[[#This Row],[HYTE-kerroin (sis. Kulttuurihyte)]]/$N$7</f>
        <v>0.90669237218432197</v>
      </c>
      <c r="O206" s="439">
        <v>1.1011558240923147</v>
      </c>
      <c r="P206" s="197">
        <v>520741.735407</v>
      </c>
      <c r="Q206" s="159">
        <v>0</v>
      </c>
      <c r="R206" s="159">
        <v>29936.18701474979</v>
      </c>
      <c r="S206" s="159">
        <v>29713.995484292496</v>
      </c>
      <c r="T206" s="159">
        <v>19140.026256974834</v>
      </c>
      <c r="U206" s="309">
        <f t="shared" si="4"/>
        <v>599531.94416301709</v>
      </c>
      <c r="V206" s="44"/>
      <c r="W206" s="44"/>
      <c r="X206" s="110"/>
      <c r="Y206" s="110"/>
      <c r="Z206" s="111"/>
    </row>
    <row r="207" spans="1:26" s="45" customFormat="1">
      <c r="A207" s="127">
        <v>631</v>
      </c>
      <c r="B207" s="124" t="s">
        <v>212</v>
      </c>
      <c r="C207" s="408">
        <v>1930</v>
      </c>
      <c r="D207" s="412">
        <v>0</v>
      </c>
      <c r="E207" s="420">
        <v>0</v>
      </c>
      <c r="F207" s="155">
        <v>0</v>
      </c>
      <c r="G207" s="419">
        <v>0</v>
      </c>
      <c r="H207" s="269">
        <v>389</v>
      </c>
      <c r="I207" s="15">
        <v>819</v>
      </c>
      <c r="J207" s="331">
        <v>0.47496947496947495</v>
      </c>
      <c r="K207" s="427">
        <v>0.47516986963304025</v>
      </c>
      <c r="L207" s="434">
        <v>0.46469345499999998</v>
      </c>
      <c r="M207" s="14">
        <f>Lisäosat[[#This Row],[HYTE-kerroin (sis. Kulttuurihyte)]]*Lisäosat[[#This Row],[Asukasmäärä 31.12.2023]]</f>
        <v>896.85836814999993</v>
      </c>
      <c r="N207" s="427">
        <f>Lisäosat[[#This Row],[HYTE-kerroin (sis. Kulttuurihyte)]]/$N$7</f>
        <v>0.68804161571509515</v>
      </c>
      <c r="O207" s="439">
        <v>0</v>
      </c>
      <c r="P207" s="197">
        <v>0</v>
      </c>
      <c r="Q207" s="159">
        <v>0</v>
      </c>
      <c r="R207" s="159">
        <v>12389.721731772781</v>
      </c>
      <c r="S207" s="159">
        <v>26438.893537952961</v>
      </c>
      <c r="T207" s="159">
        <v>0</v>
      </c>
      <c r="U207" s="309">
        <f t="shared" si="4"/>
        <v>38828.615269725742</v>
      </c>
      <c r="V207" s="44"/>
      <c r="W207" s="44"/>
      <c r="X207" s="110"/>
      <c r="Y207" s="110"/>
      <c r="Z207" s="111"/>
    </row>
    <row r="208" spans="1:26" s="45" customFormat="1">
      <c r="A208" s="127">
        <v>635</v>
      </c>
      <c r="B208" s="124" t="s">
        <v>213</v>
      </c>
      <c r="C208" s="408">
        <v>6337</v>
      </c>
      <c r="D208" s="412">
        <v>0.39179999999999998</v>
      </c>
      <c r="E208" s="420">
        <v>0</v>
      </c>
      <c r="F208" s="155">
        <v>0</v>
      </c>
      <c r="G208" s="419">
        <v>0</v>
      </c>
      <c r="H208" s="269">
        <v>1791</v>
      </c>
      <c r="I208" s="15">
        <v>2601</v>
      </c>
      <c r="J208" s="331">
        <v>0.68858131487889274</v>
      </c>
      <c r="K208" s="427">
        <v>0.68887183464532908</v>
      </c>
      <c r="L208" s="434">
        <v>0.59505799299999995</v>
      </c>
      <c r="M208" s="14">
        <f>Lisäosat[[#This Row],[HYTE-kerroin (sis. Kulttuurihyte)]]*Lisäosat[[#This Row],[Asukasmäärä 31.12.2023]]</f>
        <v>3770.8825016409996</v>
      </c>
      <c r="N208" s="427">
        <f>Lisäosat[[#This Row],[HYTE-kerroin (sis. Kulttuurihyte)]]/$N$7</f>
        <v>0.8810639757082479</v>
      </c>
      <c r="O208" s="439">
        <v>0</v>
      </c>
      <c r="P208" s="197">
        <v>160217.445798</v>
      </c>
      <c r="Q208" s="159">
        <v>0</v>
      </c>
      <c r="R208" s="159">
        <v>58976.294826152058</v>
      </c>
      <c r="S208" s="159">
        <v>111163.55106399766</v>
      </c>
      <c r="T208" s="159">
        <v>0</v>
      </c>
      <c r="U208" s="309">
        <f t="shared" si="4"/>
        <v>330357.29168814974</v>
      </c>
      <c r="V208" s="44"/>
      <c r="W208" s="44"/>
      <c r="X208" s="110"/>
      <c r="Y208" s="110"/>
      <c r="Z208" s="111"/>
    </row>
    <row r="209" spans="1:26" s="45" customFormat="1">
      <c r="A209" s="127">
        <v>636</v>
      </c>
      <c r="B209" s="124" t="s">
        <v>214</v>
      </c>
      <c r="C209" s="408">
        <v>8130</v>
      </c>
      <c r="D209" s="412">
        <v>0</v>
      </c>
      <c r="E209" s="420">
        <v>0</v>
      </c>
      <c r="F209" s="155">
        <v>3</v>
      </c>
      <c r="G209" s="419">
        <v>3.6900369003690036E-4</v>
      </c>
      <c r="H209" s="269">
        <v>2458</v>
      </c>
      <c r="I209" s="15">
        <v>3356</v>
      </c>
      <c r="J209" s="331">
        <v>0.73241954707985701</v>
      </c>
      <c r="K209" s="427">
        <v>0.73272856266182718</v>
      </c>
      <c r="L209" s="434">
        <v>0.65356238300000002</v>
      </c>
      <c r="M209" s="14">
        <f>Lisäosat[[#This Row],[HYTE-kerroin (sis. Kulttuurihyte)]]*Lisäosat[[#This Row],[Asukasmäärä 31.12.2023]]</f>
        <v>5313.4621737900006</v>
      </c>
      <c r="N209" s="427">
        <f>Lisäosat[[#This Row],[HYTE-kerroin (sis. Kulttuurihyte)]]/$N$7</f>
        <v>0.96768765114182187</v>
      </c>
      <c r="O209" s="439">
        <v>0</v>
      </c>
      <c r="P209" s="197">
        <v>0</v>
      </c>
      <c r="Q209" s="159">
        <v>0</v>
      </c>
      <c r="R209" s="159">
        <v>80480.194227093249</v>
      </c>
      <c r="S209" s="159">
        <v>156637.95502131977</v>
      </c>
      <c r="T209" s="159">
        <v>0</v>
      </c>
      <c r="U209" s="309">
        <f t="shared" si="4"/>
        <v>237118.14924841301</v>
      </c>
      <c r="V209" s="44"/>
      <c r="W209" s="44"/>
      <c r="X209" s="110"/>
      <c r="Y209" s="110"/>
      <c r="Z209" s="111"/>
    </row>
    <row r="210" spans="1:26" s="45" customFormat="1">
      <c r="A210" s="127">
        <v>638</v>
      </c>
      <c r="B210" s="124" t="s">
        <v>215</v>
      </c>
      <c r="C210" s="408">
        <v>51289</v>
      </c>
      <c r="D210" s="412">
        <v>0</v>
      </c>
      <c r="E210" s="420">
        <v>0</v>
      </c>
      <c r="F210" s="155">
        <v>1</v>
      </c>
      <c r="G210" s="419">
        <v>1.9497358107976368E-5</v>
      </c>
      <c r="H210" s="269">
        <v>21122</v>
      </c>
      <c r="I210" s="15">
        <v>23070</v>
      </c>
      <c r="J210" s="331">
        <v>0.91556133506718684</v>
      </c>
      <c r="K210" s="427">
        <v>0.91594762011366482</v>
      </c>
      <c r="L210" s="434">
        <v>0.71883261099999995</v>
      </c>
      <c r="M210" s="14">
        <f>Lisäosat[[#This Row],[HYTE-kerroin (sis. Kulttuurihyte)]]*Lisäosat[[#This Row],[Asukasmäärä 31.12.2023]]</f>
        <v>36868.205785578997</v>
      </c>
      <c r="N210" s="427">
        <f>Lisäosat[[#This Row],[HYTE-kerroin (sis. Kulttuurihyte)]]/$N$7</f>
        <v>1.0643290663543787</v>
      </c>
      <c r="O210" s="439">
        <v>0.44018909137468754</v>
      </c>
      <c r="P210" s="197">
        <v>0</v>
      </c>
      <c r="Q210" s="159">
        <v>0</v>
      </c>
      <c r="R210" s="159">
        <v>634673.28646301175</v>
      </c>
      <c r="S210" s="159">
        <v>1086854.516071412</v>
      </c>
      <c r="T210" s="159">
        <v>238411.62372737264</v>
      </c>
      <c r="U210" s="309">
        <f t="shared" si="4"/>
        <v>1959939.4262617964</v>
      </c>
      <c r="V210" s="44"/>
      <c r="W210" s="44"/>
      <c r="X210" s="110"/>
      <c r="Y210" s="110"/>
      <c r="Z210" s="111"/>
    </row>
    <row r="211" spans="1:26" s="45" customFormat="1">
      <c r="A211" s="127">
        <v>678</v>
      </c>
      <c r="B211" s="124" t="s">
        <v>216</v>
      </c>
      <c r="C211" s="408">
        <v>23797</v>
      </c>
      <c r="D211" s="412">
        <v>0.41796666666666665</v>
      </c>
      <c r="E211" s="420">
        <v>0</v>
      </c>
      <c r="F211" s="155">
        <v>1</v>
      </c>
      <c r="G211" s="419">
        <v>4.202210362650754E-5</v>
      </c>
      <c r="H211" s="269">
        <v>10091</v>
      </c>
      <c r="I211" s="15">
        <v>8867</v>
      </c>
      <c r="J211" s="331">
        <v>1.1380399233111538</v>
      </c>
      <c r="K211" s="427">
        <v>1.1385200744357509</v>
      </c>
      <c r="L211" s="434">
        <v>0.63358255100000005</v>
      </c>
      <c r="M211" s="14">
        <f>Lisäosat[[#This Row],[HYTE-kerroin (sis. Kulttuurihyte)]]*Lisäosat[[#This Row],[Asukasmäärä 31.12.2023]]</f>
        <v>15077.363966147001</v>
      </c>
      <c r="N211" s="427">
        <f>Lisäosat[[#This Row],[HYTE-kerroin (sis. Kulttuurihyte)]]/$N$7</f>
        <v>0.93810480304469046</v>
      </c>
      <c r="O211" s="439">
        <v>0</v>
      </c>
      <c r="P211" s="197">
        <v>641838.14403299999</v>
      </c>
      <c r="Q211" s="159">
        <v>0</v>
      </c>
      <c r="R211" s="159">
        <v>366031.32347530557</v>
      </c>
      <c r="S211" s="159">
        <v>444472.43276126508</v>
      </c>
      <c r="T211" s="159">
        <v>0</v>
      </c>
      <c r="U211" s="309">
        <f t="shared" si="4"/>
        <v>1452341.9002695708</v>
      </c>
      <c r="V211" s="44"/>
      <c r="W211" s="44"/>
      <c r="X211" s="110"/>
      <c r="Y211" s="110"/>
      <c r="Z211" s="111"/>
    </row>
    <row r="212" spans="1:26" s="45" customFormat="1">
      <c r="A212" s="127">
        <v>680</v>
      </c>
      <c r="B212" s="124" t="s">
        <v>217</v>
      </c>
      <c r="C212" s="408">
        <v>25331</v>
      </c>
      <c r="D212" s="412">
        <v>0</v>
      </c>
      <c r="E212" s="420">
        <v>0</v>
      </c>
      <c r="F212" s="155">
        <v>0</v>
      </c>
      <c r="G212" s="419">
        <v>0</v>
      </c>
      <c r="H212" s="269">
        <v>11152</v>
      </c>
      <c r="I212" s="15">
        <v>11358</v>
      </c>
      <c r="J212" s="331">
        <v>0.98186300405000881</v>
      </c>
      <c r="K212" s="427">
        <v>0.98227726247446123</v>
      </c>
      <c r="L212" s="434">
        <v>0.63454019299999997</v>
      </c>
      <c r="M212" s="14">
        <f>Lisäosat[[#This Row],[HYTE-kerroin (sis. Kulttuurihyte)]]*Lisäosat[[#This Row],[Asukasmäärä 31.12.2023]]</f>
        <v>16073.537628882999</v>
      </c>
      <c r="N212" s="427">
        <f>Lisäosat[[#This Row],[HYTE-kerroin (sis. Kulttuurihyte)]]/$N$7</f>
        <v>0.93952272176479945</v>
      </c>
      <c r="O212" s="439">
        <v>1.2476091648409831</v>
      </c>
      <c r="P212" s="197">
        <v>0</v>
      </c>
      <c r="Q212" s="159">
        <v>0</v>
      </c>
      <c r="R212" s="159">
        <v>336156.70268585521</v>
      </c>
      <c r="S212" s="159">
        <v>473839.08679463051</v>
      </c>
      <c r="T212" s="159">
        <v>333729.66268843814</v>
      </c>
      <c r="U212" s="309">
        <f t="shared" si="4"/>
        <v>1143725.4521689238</v>
      </c>
      <c r="V212" s="44"/>
      <c r="W212" s="44"/>
      <c r="X212" s="110"/>
      <c r="Y212" s="110"/>
      <c r="Z212" s="111"/>
    </row>
    <row r="213" spans="1:26" s="45" customFormat="1">
      <c r="A213" s="127">
        <v>681</v>
      </c>
      <c r="B213" s="124" t="s">
        <v>218</v>
      </c>
      <c r="C213" s="408">
        <v>3297</v>
      </c>
      <c r="D213" s="412">
        <v>0.93268333333333331</v>
      </c>
      <c r="E213" s="420">
        <v>0</v>
      </c>
      <c r="F213" s="155">
        <v>0</v>
      </c>
      <c r="G213" s="419">
        <v>0</v>
      </c>
      <c r="H213" s="269">
        <v>1035</v>
      </c>
      <c r="I213" s="15">
        <v>1215</v>
      </c>
      <c r="J213" s="331">
        <v>0.85185185185185186</v>
      </c>
      <c r="K213" s="427">
        <v>0.85221125719104829</v>
      </c>
      <c r="L213" s="434">
        <v>0.55550818999999996</v>
      </c>
      <c r="M213" s="14">
        <f>Lisäosat[[#This Row],[HYTE-kerroin (sis. Kulttuurihyte)]]*Lisäosat[[#This Row],[Asukasmäärä 31.12.2023]]</f>
        <v>1831.5105024299999</v>
      </c>
      <c r="N213" s="427">
        <f>Lisäosat[[#This Row],[HYTE-kerroin (sis. Kulttuurihyte)]]/$N$7</f>
        <v>0.8225051342514994</v>
      </c>
      <c r="O213" s="439">
        <v>0</v>
      </c>
      <c r="P213" s="197">
        <v>198433.42498350001</v>
      </c>
      <c r="Q213" s="159">
        <v>0</v>
      </c>
      <c r="R213" s="159">
        <v>37959.594357094553</v>
      </c>
      <c r="S213" s="159">
        <v>53991.926604057422</v>
      </c>
      <c r="T213" s="159">
        <v>0</v>
      </c>
      <c r="U213" s="309">
        <f t="shared" si="4"/>
        <v>290384.94594465196</v>
      </c>
      <c r="V213" s="44"/>
      <c r="W213" s="44"/>
      <c r="X213" s="110"/>
      <c r="Y213" s="110"/>
      <c r="Z213" s="111"/>
    </row>
    <row r="214" spans="1:26" s="45" customFormat="1">
      <c r="A214" s="127">
        <v>683</v>
      </c>
      <c r="B214" s="124" t="s">
        <v>219</v>
      </c>
      <c r="C214" s="408">
        <v>3599</v>
      </c>
      <c r="D214" s="412">
        <v>1.7670166666666667</v>
      </c>
      <c r="E214" s="420">
        <v>0</v>
      </c>
      <c r="F214" s="155">
        <v>0</v>
      </c>
      <c r="G214" s="419">
        <v>0</v>
      </c>
      <c r="H214" s="269">
        <v>1151</v>
      </c>
      <c r="I214" s="15">
        <v>1206</v>
      </c>
      <c r="J214" s="331">
        <v>0.95439469320066339</v>
      </c>
      <c r="K214" s="427">
        <v>0.95479736245317648</v>
      </c>
      <c r="L214" s="434">
        <v>0.48029714200000001</v>
      </c>
      <c r="M214" s="14">
        <f>Lisäosat[[#This Row],[HYTE-kerroin (sis. Kulttuurihyte)]]*Lisäosat[[#This Row],[Asukasmäärä 31.12.2023]]</f>
        <v>1728.5894140580001</v>
      </c>
      <c r="N214" s="427">
        <f>Lisäosat[[#This Row],[HYTE-kerroin (sis. Kulttuurihyte)]]/$N$7</f>
        <v>0.71114498826978856</v>
      </c>
      <c r="O214" s="439">
        <v>0</v>
      </c>
      <c r="P214" s="197">
        <v>1231134.2466434999</v>
      </c>
      <c r="Q214" s="159">
        <v>0</v>
      </c>
      <c r="R214" s="159">
        <v>46424.625207905949</v>
      </c>
      <c r="S214" s="159">
        <v>50957.869282508917</v>
      </c>
      <c r="T214" s="159">
        <v>0</v>
      </c>
      <c r="U214" s="309">
        <f t="shared" si="4"/>
        <v>1328516.7411339148</v>
      </c>
      <c r="V214" s="44"/>
      <c r="W214" s="44"/>
      <c r="X214" s="110"/>
      <c r="Y214" s="110"/>
      <c r="Z214" s="111"/>
    </row>
    <row r="215" spans="1:26" s="45" customFormat="1">
      <c r="A215" s="127">
        <v>684</v>
      </c>
      <c r="B215" s="124" t="s">
        <v>220</v>
      </c>
      <c r="C215" s="408">
        <v>38832</v>
      </c>
      <c r="D215" s="412">
        <v>0</v>
      </c>
      <c r="E215" s="420">
        <v>0</v>
      </c>
      <c r="F215" s="155">
        <v>3</v>
      </c>
      <c r="G215" s="419">
        <v>7.7255871446229907E-5</v>
      </c>
      <c r="H215" s="269">
        <v>16777</v>
      </c>
      <c r="I215" s="15">
        <v>16399</v>
      </c>
      <c r="J215" s="331">
        <v>1.0230501859869505</v>
      </c>
      <c r="K215" s="427">
        <v>1.0234818217206878</v>
      </c>
      <c r="L215" s="434">
        <v>0.66071790399999997</v>
      </c>
      <c r="M215" s="14">
        <f>Lisäosat[[#This Row],[HYTE-kerroin (sis. Kulttuurihyte)]]*Lisäosat[[#This Row],[Asukasmäärä 31.12.2023]]</f>
        <v>25656.997648127999</v>
      </c>
      <c r="N215" s="427">
        <f>Lisäosat[[#This Row],[HYTE-kerroin (sis. Kulttuurihyte)]]/$N$7</f>
        <v>0.97828236939565061</v>
      </c>
      <c r="O215" s="439">
        <v>0</v>
      </c>
      <c r="P215" s="197">
        <v>0</v>
      </c>
      <c r="Q215" s="159">
        <v>0</v>
      </c>
      <c r="R215" s="159">
        <v>536939.3608252902</v>
      </c>
      <c r="S215" s="159">
        <v>756354.23988028464</v>
      </c>
      <c r="T215" s="159">
        <v>0</v>
      </c>
      <c r="U215" s="309">
        <f t="shared" si="4"/>
        <v>1293293.6007055747</v>
      </c>
      <c r="V215" s="44"/>
      <c r="W215" s="44"/>
      <c r="X215" s="110"/>
      <c r="Y215" s="110"/>
      <c r="Z215" s="111"/>
    </row>
    <row r="216" spans="1:26" s="45" customFormat="1">
      <c r="A216" s="127">
        <v>686</v>
      </c>
      <c r="B216" s="124" t="s">
        <v>221</v>
      </c>
      <c r="C216" s="408">
        <v>2933</v>
      </c>
      <c r="D216" s="412">
        <v>1.22455</v>
      </c>
      <c r="E216" s="420">
        <v>0</v>
      </c>
      <c r="F216" s="155">
        <v>0</v>
      </c>
      <c r="G216" s="419">
        <v>0</v>
      </c>
      <c r="H216" s="269">
        <v>829</v>
      </c>
      <c r="I216" s="15">
        <v>1014</v>
      </c>
      <c r="J216" s="331">
        <v>0.81755424063116366</v>
      </c>
      <c r="K216" s="427">
        <v>0.81789917544409707</v>
      </c>
      <c r="L216" s="434">
        <v>0.66560624899999998</v>
      </c>
      <c r="M216" s="14">
        <f>Lisäosat[[#This Row],[HYTE-kerroin (sis. Kulttuurihyte)]]*Lisäosat[[#This Row],[Asukasmäärä 31.12.2023]]</f>
        <v>1952.2231283169999</v>
      </c>
      <c r="N216" s="427">
        <f>Lisäosat[[#This Row],[HYTE-kerroin (sis. Kulttuurihyte)]]/$N$7</f>
        <v>0.98552022642975246</v>
      </c>
      <c r="O216" s="439">
        <v>0</v>
      </c>
      <c r="P216" s="197">
        <v>347649.42049425002</v>
      </c>
      <c r="Q216" s="159">
        <v>0</v>
      </c>
      <c r="R216" s="159">
        <v>32409.11578411252</v>
      </c>
      <c r="S216" s="159">
        <v>57550.468708198619</v>
      </c>
      <c r="T216" s="159">
        <v>0</v>
      </c>
      <c r="U216" s="309">
        <f t="shared" si="4"/>
        <v>437609.00498656119</v>
      </c>
      <c r="V216" s="44"/>
      <c r="W216" s="44"/>
      <c r="X216" s="110"/>
      <c r="Y216" s="110"/>
      <c r="Z216" s="111"/>
    </row>
    <row r="217" spans="1:26" s="45" customFormat="1">
      <c r="A217" s="127">
        <v>687</v>
      </c>
      <c r="B217" s="124" t="s">
        <v>222</v>
      </c>
      <c r="C217" s="408">
        <v>1424</v>
      </c>
      <c r="D217" s="412">
        <v>1.7679666666666667</v>
      </c>
      <c r="E217" s="420">
        <v>0</v>
      </c>
      <c r="F217" s="155">
        <v>0</v>
      </c>
      <c r="G217" s="419">
        <v>0</v>
      </c>
      <c r="H217" s="269">
        <v>426</v>
      </c>
      <c r="I217" s="15">
        <v>456</v>
      </c>
      <c r="J217" s="331">
        <v>0.93421052631578949</v>
      </c>
      <c r="K217" s="427">
        <v>0.93460467965402716</v>
      </c>
      <c r="L217" s="434">
        <v>0.38413704700000001</v>
      </c>
      <c r="M217" s="14">
        <f>Lisäosat[[#This Row],[HYTE-kerroin (sis. Kulttuurihyte)]]*Lisäosat[[#This Row],[Asukasmäärä 31.12.2023]]</f>
        <v>547.011154928</v>
      </c>
      <c r="N217" s="427">
        <f>Lisäosat[[#This Row],[HYTE-kerroin (sis. Kulttuurihyte)]]/$N$7</f>
        <v>0.56876694007645423</v>
      </c>
      <c r="O217" s="439">
        <v>0</v>
      </c>
      <c r="P217" s="197">
        <v>487379.189808</v>
      </c>
      <c r="Q217" s="159">
        <v>0</v>
      </c>
      <c r="R217" s="159">
        <v>17980.149132307291</v>
      </c>
      <c r="S217" s="159">
        <v>16125.589282337218</v>
      </c>
      <c r="T217" s="159">
        <v>0</v>
      </c>
      <c r="U217" s="309">
        <f t="shared" si="4"/>
        <v>521484.92822264449</v>
      </c>
      <c r="V217" s="44"/>
      <c r="W217" s="44"/>
      <c r="X217" s="110"/>
      <c r="Y217" s="110"/>
      <c r="Z217" s="111"/>
    </row>
    <row r="218" spans="1:26" s="45" customFormat="1">
      <c r="A218" s="127">
        <v>689</v>
      </c>
      <c r="B218" s="124" t="s">
        <v>223</v>
      </c>
      <c r="C218" s="408">
        <v>3032</v>
      </c>
      <c r="D218" s="412">
        <v>1.0862000000000001</v>
      </c>
      <c r="E218" s="420">
        <v>0</v>
      </c>
      <c r="F218" s="155">
        <v>0</v>
      </c>
      <c r="G218" s="419">
        <v>0</v>
      </c>
      <c r="H218" s="269">
        <v>902</v>
      </c>
      <c r="I218" s="15">
        <v>981</v>
      </c>
      <c r="J218" s="331">
        <v>0.9194699286442406</v>
      </c>
      <c r="K218" s="427">
        <v>0.91985786276784076</v>
      </c>
      <c r="L218" s="434">
        <v>0.56679030500000005</v>
      </c>
      <c r="M218" s="14">
        <f>Lisäosat[[#This Row],[HYTE-kerroin (sis. Kulttuurihyte)]]*Lisäosat[[#This Row],[Asukasmäärä 31.12.2023]]</f>
        <v>1718.5082047600001</v>
      </c>
      <c r="N218" s="427">
        <f>Lisäosat[[#This Row],[HYTE-kerroin (sis. Kulttuurihyte)]]/$N$7</f>
        <v>0.83920983398367777</v>
      </c>
      <c r="O218" s="439">
        <v>0</v>
      </c>
      <c r="P218" s="197">
        <v>318780.62632799998</v>
      </c>
      <c r="Q218" s="159">
        <v>0</v>
      </c>
      <c r="R218" s="159">
        <v>37679.51212921238</v>
      </c>
      <c r="S218" s="159">
        <v>50660.680753272754</v>
      </c>
      <c r="T218" s="159">
        <v>0</v>
      </c>
      <c r="U218" s="309">
        <f t="shared" si="4"/>
        <v>407120.81921048509</v>
      </c>
      <c r="V218" s="44"/>
      <c r="W218" s="44"/>
      <c r="X218" s="110"/>
      <c r="Y218" s="110"/>
      <c r="Z218" s="111"/>
    </row>
    <row r="219" spans="1:26" s="45" customFormat="1">
      <c r="A219" s="127">
        <v>691</v>
      </c>
      <c r="B219" s="124" t="s">
        <v>224</v>
      </c>
      <c r="C219" s="408">
        <v>2598</v>
      </c>
      <c r="D219" s="412">
        <v>1.246</v>
      </c>
      <c r="E219" s="420">
        <v>0</v>
      </c>
      <c r="F219" s="155">
        <v>0</v>
      </c>
      <c r="G219" s="419">
        <v>0</v>
      </c>
      <c r="H219" s="269">
        <v>918</v>
      </c>
      <c r="I219" s="15">
        <v>988</v>
      </c>
      <c r="J219" s="331">
        <v>0.92914979757085026</v>
      </c>
      <c r="K219" s="427">
        <v>0.92954181573390793</v>
      </c>
      <c r="L219" s="434">
        <v>0.57415598199999995</v>
      </c>
      <c r="M219" s="14">
        <f>Lisäosat[[#This Row],[HYTE-kerroin (sis. Kulttuurihyte)]]*Lisäosat[[#This Row],[Asukasmäärä 31.12.2023]]</f>
        <v>1491.6572412359999</v>
      </c>
      <c r="N219" s="427">
        <f>Lisäosat[[#This Row],[HYTE-kerroin (sis. Kulttuurihyte)]]/$N$7</f>
        <v>0.85011571666695218</v>
      </c>
      <c r="O219" s="439">
        <v>0</v>
      </c>
      <c r="P219" s="197">
        <v>313335.86886000005</v>
      </c>
      <c r="Q219" s="159">
        <v>0</v>
      </c>
      <c r="R219" s="159">
        <v>32625.969599608121</v>
      </c>
      <c r="S219" s="159">
        <v>43973.238581143771</v>
      </c>
      <c r="T219" s="159">
        <v>0</v>
      </c>
      <c r="U219" s="309">
        <f t="shared" si="4"/>
        <v>389935.07704075193</v>
      </c>
      <c r="V219" s="44"/>
      <c r="W219" s="44"/>
      <c r="X219" s="110"/>
      <c r="Y219" s="110"/>
      <c r="Z219" s="111"/>
    </row>
    <row r="220" spans="1:26" s="45" customFormat="1">
      <c r="A220" s="127">
        <v>694</v>
      </c>
      <c r="B220" s="124" t="s">
        <v>225</v>
      </c>
      <c r="C220" s="408">
        <v>28483</v>
      </c>
      <c r="D220" s="412">
        <v>0</v>
      </c>
      <c r="E220" s="420">
        <v>0</v>
      </c>
      <c r="F220" s="155">
        <v>1</v>
      </c>
      <c r="G220" s="419">
        <v>3.5108661306744374E-5</v>
      </c>
      <c r="H220" s="269">
        <v>11907</v>
      </c>
      <c r="I220" s="15">
        <v>12367</v>
      </c>
      <c r="J220" s="331">
        <v>0.96280423708255847</v>
      </c>
      <c r="K220" s="427">
        <v>0.96321045441090747</v>
      </c>
      <c r="L220" s="434">
        <v>0.74939883500000004</v>
      </c>
      <c r="M220" s="14">
        <f>Lisäosat[[#This Row],[HYTE-kerroin (sis. Kulttuurihyte)]]*Lisäosat[[#This Row],[Asukasmäärä 31.12.2023]]</f>
        <v>21345.127017305</v>
      </c>
      <c r="N220" s="427">
        <f>Lisäosat[[#This Row],[HYTE-kerroin (sis. Kulttuurihyte)]]/$N$7</f>
        <v>1.1095865020272559</v>
      </c>
      <c r="O220" s="439">
        <v>0</v>
      </c>
      <c r="P220" s="197">
        <v>0</v>
      </c>
      <c r="Q220" s="159">
        <v>0</v>
      </c>
      <c r="R220" s="159">
        <v>370648.51676903915</v>
      </c>
      <c r="S220" s="159">
        <v>629242.65503449482</v>
      </c>
      <c r="T220" s="159">
        <v>0</v>
      </c>
      <c r="U220" s="309">
        <f t="shared" si="4"/>
        <v>999891.17180353403</v>
      </c>
      <c r="V220" s="44"/>
      <c r="W220" s="44"/>
      <c r="X220" s="110"/>
      <c r="Y220" s="110"/>
      <c r="Z220" s="111"/>
    </row>
    <row r="221" spans="1:26" s="45" customFormat="1">
      <c r="A221" s="127">
        <v>697</v>
      </c>
      <c r="B221" s="124" t="s">
        <v>226</v>
      </c>
      <c r="C221" s="408">
        <v>1164</v>
      </c>
      <c r="D221" s="412">
        <v>1.0741833333333333</v>
      </c>
      <c r="E221" s="420">
        <v>0</v>
      </c>
      <c r="F221" s="155">
        <v>0</v>
      </c>
      <c r="G221" s="419">
        <v>0</v>
      </c>
      <c r="H221" s="269">
        <v>280</v>
      </c>
      <c r="I221" s="15">
        <v>419</v>
      </c>
      <c r="J221" s="331">
        <v>0.66825775656324582</v>
      </c>
      <c r="K221" s="427">
        <v>0.66853970160468246</v>
      </c>
      <c r="L221" s="434">
        <v>0.79985010000000001</v>
      </c>
      <c r="M221" s="14">
        <f>Lisäosat[[#This Row],[HYTE-kerroin (sis. Kulttuurihyte)]]*Lisäosat[[#This Row],[Asukasmäärä 31.12.2023]]</f>
        <v>931.02551640000001</v>
      </c>
      <c r="N221" s="427">
        <f>Lisäosat[[#This Row],[HYTE-kerroin (sis. Kulttuurihyte)]]/$N$7</f>
        <v>1.1842864348797004</v>
      </c>
      <c r="O221" s="439">
        <v>0</v>
      </c>
      <c r="P221" s="197">
        <v>121027.57017299999</v>
      </c>
      <c r="Q221" s="159">
        <v>0</v>
      </c>
      <c r="R221" s="159">
        <v>10513.214673142658</v>
      </c>
      <c r="S221" s="159">
        <v>27446.122357081429</v>
      </c>
      <c r="T221" s="159">
        <v>0</v>
      </c>
      <c r="U221" s="309">
        <f t="shared" si="4"/>
        <v>158986.90720322405</v>
      </c>
      <c r="V221" s="44"/>
      <c r="W221" s="44"/>
      <c r="X221" s="110"/>
      <c r="Y221" s="110"/>
      <c r="Z221" s="111"/>
    </row>
    <row r="222" spans="1:26" s="45" customFormat="1">
      <c r="A222" s="127">
        <v>698</v>
      </c>
      <c r="B222" s="124" t="s">
        <v>227</v>
      </c>
      <c r="C222" s="408">
        <v>65286</v>
      </c>
      <c r="D222" s="412">
        <v>0</v>
      </c>
      <c r="E222" s="420">
        <v>0</v>
      </c>
      <c r="F222" s="155">
        <v>209</v>
      </c>
      <c r="G222" s="419">
        <v>3.2012989002236313E-3</v>
      </c>
      <c r="H222" s="269">
        <v>28480</v>
      </c>
      <c r="I222" s="15">
        <v>28958</v>
      </c>
      <c r="J222" s="331">
        <v>0.9834933351750812</v>
      </c>
      <c r="K222" s="427">
        <v>0.98390828145354214</v>
      </c>
      <c r="L222" s="434">
        <v>0.64516426400000004</v>
      </c>
      <c r="M222" s="14">
        <f>Lisäosat[[#This Row],[HYTE-kerroin (sis. Kulttuurihyte)]]*Lisäosat[[#This Row],[Asukasmäärä 31.12.2023]]</f>
        <v>42120.194139504005</v>
      </c>
      <c r="N222" s="427">
        <f>Lisäosat[[#This Row],[HYTE-kerroin (sis. Kulttuurihyte)]]/$N$7</f>
        <v>0.9552530982047085</v>
      </c>
      <c r="O222" s="439">
        <v>0.91438684503015732</v>
      </c>
      <c r="P222" s="197">
        <v>0</v>
      </c>
      <c r="Q222" s="159">
        <v>0</v>
      </c>
      <c r="R222" s="159">
        <v>867820.74121080514</v>
      </c>
      <c r="S222" s="159">
        <v>1241680.2565486068</v>
      </c>
      <c r="T222" s="159">
        <v>630396.72500258626</v>
      </c>
      <c r="U222" s="309">
        <f t="shared" si="4"/>
        <v>2739897.7227619984</v>
      </c>
      <c r="V222" s="44"/>
      <c r="W222" s="44"/>
      <c r="X222" s="110"/>
      <c r="Y222" s="110"/>
      <c r="Z222" s="111"/>
    </row>
    <row r="223" spans="1:26" s="45" customFormat="1">
      <c r="A223" s="127">
        <v>700</v>
      </c>
      <c r="B223" s="124" t="s">
        <v>228</v>
      </c>
      <c r="C223" s="408">
        <v>4758</v>
      </c>
      <c r="D223" s="412">
        <v>7.9149999999999998E-2</v>
      </c>
      <c r="E223" s="420">
        <v>0</v>
      </c>
      <c r="F223" s="155">
        <v>0</v>
      </c>
      <c r="G223" s="419">
        <v>0</v>
      </c>
      <c r="H223" s="269">
        <v>982</v>
      </c>
      <c r="I223" s="15">
        <v>1715</v>
      </c>
      <c r="J223" s="331">
        <v>0.57259475218658895</v>
      </c>
      <c r="K223" s="427">
        <v>0.57283633599096095</v>
      </c>
      <c r="L223" s="434">
        <v>0.69256104600000001</v>
      </c>
      <c r="M223" s="14">
        <f>Lisäosat[[#This Row],[HYTE-kerroin (sis. Kulttuurihyte)]]*Lisäosat[[#This Row],[Asukasmäärä 31.12.2023]]</f>
        <v>3295.2054568680001</v>
      </c>
      <c r="N223" s="427">
        <f>Lisäosat[[#This Row],[HYTE-kerroin (sis. Kulttuurihyte)]]/$N$7</f>
        <v>1.0254304551614062</v>
      </c>
      <c r="O223" s="439">
        <v>0</v>
      </c>
      <c r="P223" s="197">
        <v>24301.720520999999</v>
      </c>
      <c r="Q223" s="159">
        <v>0</v>
      </c>
      <c r="R223" s="159">
        <v>36822.251922573843</v>
      </c>
      <c r="S223" s="159">
        <v>97140.852283650194</v>
      </c>
      <c r="T223" s="159">
        <v>0</v>
      </c>
      <c r="U223" s="309">
        <f t="shared" si="4"/>
        <v>158264.82472722404</v>
      </c>
      <c r="V223" s="44"/>
      <c r="W223" s="44"/>
      <c r="X223" s="110"/>
      <c r="Y223" s="110"/>
      <c r="Z223" s="111"/>
    </row>
    <row r="224" spans="1:26" s="45" customFormat="1">
      <c r="A224" s="127">
        <v>702</v>
      </c>
      <c r="B224" s="124" t="s">
        <v>229</v>
      </c>
      <c r="C224" s="408">
        <v>4124</v>
      </c>
      <c r="D224" s="412">
        <v>1.0883333333333334</v>
      </c>
      <c r="E224" s="420">
        <v>0</v>
      </c>
      <c r="F224" s="155">
        <v>0</v>
      </c>
      <c r="G224" s="419">
        <v>0</v>
      </c>
      <c r="H224" s="269">
        <v>1408</v>
      </c>
      <c r="I224" s="15">
        <v>1489</v>
      </c>
      <c r="J224" s="331">
        <v>0.94560107454667564</v>
      </c>
      <c r="K224" s="427">
        <v>0.94600003367812924</v>
      </c>
      <c r="L224" s="434">
        <v>0.63177893900000004</v>
      </c>
      <c r="M224" s="14">
        <f>Lisäosat[[#This Row],[HYTE-kerroin (sis. Kulttuurihyte)]]*Lisäosat[[#This Row],[Asukasmäärä 31.12.2023]]</f>
        <v>2605.4563444360001</v>
      </c>
      <c r="N224" s="427">
        <f>Lisäosat[[#This Row],[HYTE-kerroin (sis. Kulttuurihyte)]]/$N$7</f>
        <v>0.93543431112953512</v>
      </c>
      <c r="O224" s="439">
        <v>0</v>
      </c>
      <c r="P224" s="197">
        <v>434443.70790000004</v>
      </c>
      <c r="Q224" s="159">
        <v>0</v>
      </c>
      <c r="R224" s="159">
        <v>52706.61891638505</v>
      </c>
      <c r="S224" s="159">
        <v>76807.426183045216</v>
      </c>
      <c r="T224" s="159">
        <v>0</v>
      </c>
      <c r="U224" s="309">
        <f t="shared" si="4"/>
        <v>563957.75299943029</v>
      </c>
      <c r="V224" s="44"/>
      <c r="W224" s="44"/>
      <c r="X224" s="110"/>
      <c r="Y224" s="110"/>
      <c r="Z224" s="111"/>
    </row>
    <row r="225" spans="1:26" s="45" customFormat="1">
      <c r="A225" s="127">
        <v>704</v>
      </c>
      <c r="B225" s="124" t="s">
        <v>230</v>
      </c>
      <c r="C225" s="408">
        <v>6436</v>
      </c>
      <c r="D225" s="412">
        <v>0</v>
      </c>
      <c r="E225" s="420">
        <v>0</v>
      </c>
      <c r="F225" s="155">
        <v>0</v>
      </c>
      <c r="G225" s="419">
        <v>0</v>
      </c>
      <c r="H225" s="269">
        <v>1998</v>
      </c>
      <c r="I225" s="15">
        <v>3058</v>
      </c>
      <c r="J225" s="331">
        <v>0.65336821451929361</v>
      </c>
      <c r="K225" s="427">
        <v>0.65364387750488084</v>
      </c>
      <c r="L225" s="434">
        <v>0.80333817699999999</v>
      </c>
      <c r="M225" s="14">
        <f>Lisäosat[[#This Row],[HYTE-kerroin (sis. Kulttuurihyte)]]*Lisäosat[[#This Row],[Asukasmäärä 31.12.2023]]</f>
        <v>5170.2845071720003</v>
      </c>
      <c r="N225" s="427">
        <f>Lisäosat[[#This Row],[HYTE-kerroin (sis. Kulttuurihyte)]]/$N$7</f>
        <v>1.1894510054347529</v>
      </c>
      <c r="O225" s="439">
        <v>0.42868464251057947</v>
      </c>
      <c r="P225" s="197">
        <v>0</v>
      </c>
      <c r="Q225" s="159">
        <v>0</v>
      </c>
      <c r="R225" s="159">
        <v>56834.570460845294</v>
      </c>
      <c r="S225" s="159">
        <v>152417.15581917338</v>
      </c>
      <c r="T225" s="159">
        <v>29135.191633131828</v>
      </c>
      <c r="U225" s="309">
        <f t="shared" si="4"/>
        <v>238386.91791315051</v>
      </c>
      <c r="V225" s="44"/>
      <c r="W225" s="44"/>
      <c r="X225" s="110"/>
      <c r="Y225" s="110"/>
      <c r="Z225" s="111"/>
    </row>
    <row r="226" spans="1:26" s="45" customFormat="1">
      <c r="A226" s="127">
        <v>707</v>
      </c>
      <c r="B226" s="124" t="s">
        <v>231</v>
      </c>
      <c r="C226" s="408">
        <v>1902</v>
      </c>
      <c r="D226" s="412">
        <v>1.4392333333333334</v>
      </c>
      <c r="E226" s="420">
        <v>0</v>
      </c>
      <c r="F226" s="155">
        <v>0</v>
      </c>
      <c r="G226" s="419">
        <v>0</v>
      </c>
      <c r="H226" s="269">
        <v>480</v>
      </c>
      <c r="I226" s="15">
        <v>605</v>
      </c>
      <c r="J226" s="331">
        <v>0.79338842975206614</v>
      </c>
      <c r="K226" s="427">
        <v>0.79372316875285565</v>
      </c>
      <c r="L226" s="434">
        <v>0.72468702900000004</v>
      </c>
      <c r="M226" s="14">
        <f>Lisäosat[[#This Row],[HYTE-kerroin (sis. Kulttuurihyte)]]*Lisäosat[[#This Row],[Asukasmäärä 31.12.2023]]</f>
        <v>1378.3547291580001</v>
      </c>
      <c r="N226" s="427">
        <f>Lisäosat[[#This Row],[HYTE-kerroin (sis. Kulttuurihyte)]]/$N$7</f>
        <v>1.0729973253463019</v>
      </c>
      <c r="O226" s="439">
        <v>0</v>
      </c>
      <c r="P226" s="197">
        <v>264968.74313100002</v>
      </c>
      <c r="Q226" s="159">
        <v>0</v>
      </c>
      <c r="R226" s="159">
        <v>20395.526418736754</v>
      </c>
      <c r="S226" s="159">
        <v>40633.142574020545</v>
      </c>
      <c r="T226" s="159">
        <v>0</v>
      </c>
      <c r="U226" s="309">
        <f t="shared" si="4"/>
        <v>325997.4121237573</v>
      </c>
      <c r="V226" s="44"/>
      <c r="W226" s="44"/>
      <c r="X226" s="110"/>
      <c r="Y226" s="110"/>
      <c r="Z226" s="111"/>
    </row>
    <row r="227" spans="1:26" s="45" customFormat="1">
      <c r="A227" s="127">
        <v>710</v>
      </c>
      <c r="B227" s="124" t="s">
        <v>232</v>
      </c>
      <c r="C227" s="408">
        <v>27209</v>
      </c>
      <c r="D227" s="412">
        <v>0</v>
      </c>
      <c r="E227" s="420">
        <v>0</v>
      </c>
      <c r="F227" s="155">
        <v>1</v>
      </c>
      <c r="G227" s="419">
        <v>3.6752545113749126E-5</v>
      </c>
      <c r="H227" s="269">
        <v>9777</v>
      </c>
      <c r="I227" s="15">
        <v>11539</v>
      </c>
      <c r="J227" s="331">
        <v>0.84730045931189879</v>
      </c>
      <c r="K227" s="427">
        <v>0.84765794437026698</v>
      </c>
      <c r="L227" s="434">
        <v>0.482569372</v>
      </c>
      <c r="M227" s="14">
        <f>Lisäosat[[#This Row],[HYTE-kerroin (sis. Kulttuurihyte)]]*Lisäosat[[#This Row],[Asukasmäärä 31.12.2023]]</f>
        <v>13130.230042748</v>
      </c>
      <c r="N227" s="427">
        <f>Lisäosat[[#This Row],[HYTE-kerroin (sis. Kulttuurihyte)]]/$N$7</f>
        <v>0.71450933262121974</v>
      </c>
      <c r="O227" s="439">
        <v>0</v>
      </c>
      <c r="P227" s="197">
        <v>0</v>
      </c>
      <c r="Q227" s="159">
        <v>0</v>
      </c>
      <c r="R227" s="159">
        <v>311593.62686308677</v>
      </c>
      <c r="S227" s="159">
        <v>387071.9910269992</v>
      </c>
      <c r="T227" s="159">
        <v>0</v>
      </c>
      <c r="U227" s="309">
        <f t="shared" si="4"/>
        <v>698665.61789008602</v>
      </c>
      <c r="V227" s="44"/>
      <c r="W227" s="44"/>
      <c r="X227" s="110"/>
      <c r="Y227" s="110"/>
      <c r="Z227" s="111"/>
    </row>
    <row r="228" spans="1:26" s="45" customFormat="1">
      <c r="A228" s="127">
        <v>729</v>
      </c>
      <c r="B228" s="124" t="s">
        <v>233</v>
      </c>
      <c r="C228" s="408">
        <v>8847</v>
      </c>
      <c r="D228" s="412">
        <v>0.7809166666666667</v>
      </c>
      <c r="E228" s="420">
        <v>0</v>
      </c>
      <c r="F228" s="155">
        <v>0</v>
      </c>
      <c r="G228" s="419">
        <v>0</v>
      </c>
      <c r="H228" s="269">
        <v>2836</v>
      </c>
      <c r="I228" s="15">
        <v>3042</v>
      </c>
      <c r="J228" s="331">
        <v>0.93228139381985531</v>
      </c>
      <c r="K228" s="427">
        <v>0.9326747332366141</v>
      </c>
      <c r="L228" s="434">
        <v>0.62384849799999997</v>
      </c>
      <c r="M228" s="14">
        <f>Lisäosat[[#This Row],[HYTE-kerroin (sis. Kulttuurihyte)]]*Lisäosat[[#This Row],[Asukasmäärä 31.12.2023]]</f>
        <v>5519.1876618059996</v>
      </c>
      <c r="N228" s="427">
        <f>Lisäosat[[#This Row],[HYTE-kerroin (sis. Kulttuurihyte)]]/$N$7</f>
        <v>0.92369221883134833</v>
      </c>
      <c r="O228" s="439">
        <v>0</v>
      </c>
      <c r="P228" s="197">
        <v>445822.91196750005</v>
      </c>
      <c r="Q228" s="159">
        <v>0</v>
      </c>
      <c r="R228" s="159">
        <v>111476.05416039783</v>
      </c>
      <c r="S228" s="159">
        <v>162702.62974461869</v>
      </c>
      <c r="T228" s="159">
        <v>0</v>
      </c>
      <c r="U228" s="309">
        <f t="shared" si="4"/>
        <v>720001.59587251651</v>
      </c>
      <c r="V228" s="44"/>
      <c r="W228" s="44"/>
      <c r="X228" s="110"/>
      <c r="Y228" s="110"/>
      <c r="Z228" s="111"/>
    </row>
    <row r="229" spans="1:26" s="45" customFormat="1">
      <c r="A229" s="127">
        <v>732</v>
      </c>
      <c r="B229" s="124" t="s">
        <v>234</v>
      </c>
      <c r="C229" s="408">
        <v>3344</v>
      </c>
      <c r="D229" s="412">
        <v>1.7943166666666666</v>
      </c>
      <c r="E229" s="420">
        <v>0</v>
      </c>
      <c r="F229" s="155">
        <v>2</v>
      </c>
      <c r="G229" s="419">
        <v>5.9808612440191385E-4</v>
      </c>
      <c r="H229" s="269">
        <v>1063</v>
      </c>
      <c r="I229" s="15">
        <v>1141</v>
      </c>
      <c r="J229" s="331">
        <v>0.93163891323400527</v>
      </c>
      <c r="K229" s="427">
        <v>0.93203198158138467</v>
      </c>
      <c r="L229" s="434">
        <v>0.72113353800000002</v>
      </c>
      <c r="M229" s="14">
        <f>Lisäosat[[#This Row],[HYTE-kerroin (sis. Kulttuurihyte)]]*Lisäosat[[#This Row],[Asukasmäärä 31.12.2023]]</f>
        <v>2411.470551072</v>
      </c>
      <c r="N229" s="427">
        <f>Lisäosat[[#This Row],[HYTE-kerroin (sis. Kulttuurihyte)]]/$N$7</f>
        <v>1.0677359005021128</v>
      </c>
      <c r="O229" s="439">
        <v>0</v>
      </c>
      <c r="P229" s="197">
        <v>1161577.7371439999</v>
      </c>
      <c r="Q229" s="159">
        <v>0</v>
      </c>
      <c r="R229" s="159">
        <v>42106.818925974112</v>
      </c>
      <c r="S229" s="159">
        <v>71088.831228966184</v>
      </c>
      <c r="T229" s="159">
        <v>0</v>
      </c>
      <c r="U229" s="309">
        <f t="shared" si="4"/>
        <v>1274773.3872989402</v>
      </c>
      <c r="V229" s="44"/>
      <c r="W229" s="44"/>
      <c r="X229" s="110"/>
      <c r="Y229" s="110"/>
      <c r="Z229" s="111"/>
    </row>
    <row r="230" spans="1:26" s="45" customFormat="1">
      <c r="A230" s="127">
        <v>734</v>
      </c>
      <c r="B230" s="124" t="s">
        <v>235</v>
      </c>
      <c r="C230" s="408">
        <v>51100</v>
      </c>
      <c r="D230" s="412">
        <v>0</v>
      </c>
      <c r="E230" s="420">
        <v>0</v>
      </c>
      <c r="F230" s="155">
        <v>0</v>
      </c>
      <c r="G230" s="419">
        <v>0</v>
      </c>
      <c r="H230" s="269">
        <v>18496</v>
      </c>
      <c r="I230" s="15">
        <v>20797</v>
      </c>
      <c r="J230" s="331">
        <v>0.88935904216954365</v>
      </c>
      <c r="K230" s="427">
        <v>0.88973427219049561</v>
      </c>
      <c r="L230" s="434">
        <v>0.62483205600000002</v>
      </c>
      <c r="M230" s="14">
        <f>Lisäosat[[#This Row],[HYTE-kerroin (sis. Kulttuurihyte)]]*Lisäosat[[#This Row],[Asukasmäärä 31.12.2023]]</f>
        <v>31928.918061600001</v>
      </c>
      <c r="N230" s="427">
        <f>Lisäosat[[#This Row],[HYTE-kerroin (sis. Kulttuurihyte)]]/$N$7</f>
        <v>0.92514850970049678</v>
      </c>
      <c r="O230" s="439">
        <v>0</v>
      </c>
      <c r="P230" s="197">
        <v>0</v>
      </c>
      <c r="Q230" s="159">
        <v>0</v>
      </c>
      <c r="R230" s="159">
        <v>614237.84188370267</v>
      </c>
      <c r="S230" s="159">
        <v>941247.01891779504</v>
      </c>
      <c r="T230" s="159">
        <v>0</v>
      </c>
      <c r="U230" s="309">
        <f t="shared" si="4"/>
        <v>1555484.8608014977</v>
      </c>
      <c r="V230" s="44"/>
      <c r="W230" s="44"/>
      <c r="X230" s="110"/>
      <c r="Y230" s="110"/>
      <c r="Z230" s="111"/>
    </row>
    <row r="231" spans="1:26" s="45" customFormat="1">
      <c r="A231" s="127">
        <v>738</v>
      </c>
      <c r="B231" s="124" t="s">
        <v>236</v>
      </c>
      <c r="C231" s="408">
        <v>2974</v>
      </c>
      <c r="D231" s="412">
        <v>0</v>
      </c>
      <c r="E231" s="420">
        <v>0</v>
      </c>
      <c r="F231" s="155">
        <v>0</v>
      </c>
      <c r="G231" s="419">
        <v>0</v>
      </c>
      <c r="H231" s="269">
        <v>733</v>
      </c>
      <c r="I231" s="15">
        <v>1267</v>
      </c>
      <c r="J231" s="331">
        <v>0.57853196527229678</v>
      </c>
      <c r="K231" s="427">
        <v>0.57877605404989663</v>
      </c>
      <c r="L231" s="434">
        <v>0.39214574699999999</v>
      </c>
      <c r="M231" s="14">
        <f>Lisäosat[[#This Row],[HYTE-kerroin (sis. Kulttuurihyte)]]*Lisäosat[[#This Row],[Asukasmäärä 31.12.2023]]</f>
        <v>1166.2414515779999</v>
      </c>
      <c r="N231" s="427">
        <f>Lisäosat[[#This Row],[HYTE-kerroin (sis. Kulttuurihyte)]]/$N$7</f>
        <v>0.58062490542648793</v>
      </c>
      <c r="O231" s="439">
        <v>0.27991623107045394</v>
      </c>
      <c r="P231" s="197">
        <v>0</v>
      </c>
      <c r="Q231" s="159">
        <v>0</v>
      </c>
      <c r="R231" s="159">
        <v>23254.492593896743</v>
      </c>
      <c r="S231" s="159">
        <v>34380.159312581047</v>
      </c>
      <c r="T231" s="159">
        <v>8790.8923999092767</v>
      </c>
      <c r="U231" s="309">
        <f t="shared" si="4"/>
        <v>66425.544306387063</v>
      </c>
      <c r="V231" s="44"/>
      <c r="W231" s="44"/>
      <c r="X231" s="110"/>
      <c r="Y231" s="110"/>
      <c r="Z231" s="111"/>
    </row>
    <row r="232" spans="1:26" s="45" customFormat="1">
      <c r="A232" s="127">
        <v>739</v>
      </c>
      <c r="B232" s="124" t="s">
        <v>237</v>
      </c>
      <c r="C232" s="408">
        <v>3216</v>
      </c>
      <c r="D232" s="412">
        <v>0.60026666666666662</v>
      </c>
      <c r="E232" s="420">
        <v>0</v>
      </c>
      <c r="F232" s="155">
        <v>0</v>
      </c>
      <c r="G232" s="419">
        <v>0</v>
      </c>
      <c r="H232" s="269">
        <v>890</v>
      </c>
      <c r="I232" s="15">
        <v>1109</v>
      </c>
      <c r="J232" s="331">
        <v>0.80252479711451763</v>
      </c>
      <c r="K232" s="427">
        <v>0.80286339084568514</v>
      </c>
      <c r="L232" s="434">
        <v>0.77306430900000001</v>
      </c>
      <c r="M232" s="14">
        <f>Lisäosat[[#This Row],[HYTE-kerroin (sis. Kulttuurihyte)]]*Lisäosat[[#This Row],[Asukasmäärä 31.12.2023]]</f>
        <v>2486.1748177439999</v>
      </c>
      <c r="N232" s="427">
        <f>Lisäosat[[#This Row],[HYTE-kerroin (sis. Kulttuurihyte)]]/$N$7</f>
        <v>1.1446264424275863</v>
      </c>
      <c r="O232" s="439">
        <v>0</v>
      </c>
      <c r="P232" s="197">
        <v>124572.42892799998</v>
      </c>
      <c r="Q232" s="159">
        <v>0</v>
      </c>
      <c r="R232" s="159">
        <v>34882.937063605859</v>
      </c>
      <c r="S232" s="159">
        <v>73291.072099446101</v>
      </c>
      <c r="T232" s="159">
        <v>0</v>
      </c>
      <c r="U232" s="309">
        <f t="shared" si="4"/>
        <v>232746.43809105194</v>
      </c>
      <c r="V232" s="44"/>
      <c r="W232" s="44"/>
      <c r="X232" s="110"/>
      <c r="Y232" s="110"/>
      <c r="Z232" s="111"/>
    </row>
    <row r="233" spans="1:26" s="45" customFormat="1">
      <c r="A233" s="127">
        <v>740</v>
      </c>
      <c r="B233" s="124" t="s">
        <v>238</v>
      </c>
      <c r="C233" s="408">
        <v>31843</v>
      </c>
      <c r="D233" s="412">
        <v>0.3679</v>
      </c>
      <c r="E233" s="420">
        <v>0</v>
      </c>
      <c r="F233" s="155">
        <v>1</v>
      </c>
      <c r="G233" s="419">
        <v>3.140407624909713E-5</v>
      </c>
      <c r="H233" s="269">
        <v>11989</v>
      </c>
      <c r="I233" s="15">
        <v>11889</v>
      </c>
      <c r="J233" s="331">
        <v>1.0084111363445201</v>
      </c>
      <c r="K233" s="427">
        <v>1.0088365957078114</v>
      </c>
      <c r="L233" s="434">
        <v>0.59707966499999998</v>
      </c>
      <c r="M233" s="14">
        <f>Lisäosat[[#This Row],[HYTE-kerroin (sis. Kulttuurihyte)]]*Lisäosat[[#This Row],[Asukasmäärä 31.12.2023]]</f>
        <v>19012.807772594999</v>
      </c>
      <c r="N233" s="427">
        <f>Lisäosat[[#This Row],[HYTE-kerroin (sis. Kulttuurihyte)]]/$N$7</f>
        <v>0.88405733499566452</v>
      </c>
      <c r="O233" s="439">
        <v>0</v>
      </c>
      <c r="P233" s="197">
        <v>755971.51184099994</v>
      </c>
      <c r="Q233" s="159">
        <v>0</v>
      </c>
      <c r="R233" s="159">
        <v>434000.42401834304</v>
      </c>
      <c r="S233" s="159">
        <v>560487.16097069497</v>
      </c>
      <c r="T233" s="159">
        <v>0</v>
      </c>
      <c r="U233" s="309">
        <f t="shared" si="4"/>
        <v>1750459.0968300379</v>
      </c>
      <c r="V233" s="44"/>
      <c r="W233" s="44"/>
      <c r="X233" s="110"/>
      <c r="Y233" s="110"/>
      <c r="Z233" s="111"/>
    </row>
    <row r="234" spans="1:26" s="45" customFormat="1">
      <c r="A234" s="127">
        <v>742</v>
      </c>
      <c r="B234" s="124" t="s">
        <v>239</v>
      </c>
      <c r="C234" s="408">
        <v>978</v>
      </c>
      <c r="D234" s="412">
        <v>1.9433833333333332</v>
      </c>
      <c r="E234" s="420">
        <v>0</v>
      </c>
      <c r="F234" s="155">
        <v>5</v>
      </c>
      <c r="G234" s="419">
        <v>5.1124744376278121E-3</v>
      </c>
      <c r="H234" s="269">
        <v>342</v>
      </c>
      <c r="I234" s="15">
        <v>368</v>
      </c>
      <c r="J234" s="331">
        <v>0.92934782608695654</v>
      </c>
      <c r="K234" s="427">
        <v>0.92973992780034731</v>
      </c>
      <c r="L234" s="434">
        <v>0.47773449499999998</v>
      </c>
      <c r="M234" s="14">
        <f>Lisäosat[[#This Row],[HYTE-kerroin (sis. Kulttuurihyte)]]*Lisäosat[[#This Row],[Asukasmäärä 31.12.2023]]</f>
        <v>467.22433610999997</v>
      </c>
      <c r="N234" s="427">
        <f>Lisäosat[[#This Row],[HYTE-kerroin (sis. Kulttuurihyte)]]/$N$7</f>
        <v>0.70735064220483812</v>
      </c>
      <c r="O234" s="439">
        <v>0</v>
      </c>
      <c r="P234" s="197">
        <v>367942.74875099998</v>
      </c>
      <c r="Q234" s="159">
        <v>0</v>
      </c>
      <c r="R234" s="159">
        <v>12284.449123241873</v>
      </c>
      <c r="S234" s="159">
        <v>13773.517557999763</v>
      </c>
      <c r="T234" s="159">
        <v>0</v>
      </c>
      <c r="U234" s="309">
        <f t="shared" si="4"/>
        <v>394000.71543224162</v>
      </c>
      <c r="V234" s="44"/>
      <c r="W234" s="44"/>
      <c r="X234" s="110"/>
      <c r="Y234" s="110"/>
      <c r="Z234" s="111"/>
    </row>
    <row r="235" spans="1:26" s="45" customFormat="1">
      <c r="A235" s="127">
        <v>743</v>
      </c>
      <c r="B235" s="124" t="s">
        <v>240</v>
      </c>
      <c r="C235" s="408">
        <v>66160</v>
      </c>
      <c r="D235" s="412">
        <v>0</v>
      </c>
      <c r="E235" s="420">
        <v>0</v>
      </c>
      <c r="F235" s="155">
        <v>4</v>
      </c>
      <c r="G235" s="419">
        <v>6.0459492140266024E-5</v>
      </c>
      <c r="H235" s="269">
        <v>33489</v>
      </c>
      <c r="I235" s="15">
        <v>29904</v>
      </c>
      <c r="J235" s="331">
        <v>1.1198836276083468</v>
      </c>
      <c r="K235" s="427">
        <v>1.1203561183990471</v>
      </c>
      <c r="L235" s="434">
        <v>0.68708904500000001</v>
      </c>
      <c r="M235" s="14">
        <f>Lisäosat[[#This Row],[HYTE-kerroin (sis. Kulttuurihyte)]]*Lisäosat[[#This Row],[Asukasmäärä 31.12.2023]]</f>
        <v>45457.811217200004</v>
      </c>
      <c r="N235" s="427">
        <f>Lisäosat[[#This Row],[HYTE-kerroin (sis. Kulttuurihyte)]]/$N$7</f>
        <v>1.017328416346948</v>
      </c>
      <c r="O235" s="439">
        <v>1.0443468097639668</v>
      </c>
      <c r="P235" s="197">
        <v>0</v>
      </c>
      <c r="Q235" s="159">
        <v>0</v>
      </c>
      <c r="R235" s="159">
        <v>1001398.4983172258</v>
      </c>
      <c r="S235" s="159">
        <v>1340071.3801879853</v>
      </c>
      <c r="T235" s="159">
        <v>729632.48090287158</v>
      </c>
      <c r="U235" s="309">
        <f t="shared" si="4"/>
        <v>3071102.3594080829</v>
      </c>
      <c r="V235" s="44"/>
      <c r="W235" s="44"/>
      <c r="X235" s="110"/>
      <c r="Y235" s="110"/>
      <c r="Z235" s="111"/>
    </row>
    <row r="236" spans="1:26" s="45" customFormat="1">
      <c r="A236" s="127">
        <v>746</v>
      </c>
      <c r="B236" s="124" t="s">
        <v>241</v>
      </c>
      <c r="C236" s="408">
        <v>4713</v>
      </c>
      <c r="D236" s="412">
        <v>0.17035</v>
      </c>
      <c r="E236" s="420">
        <v>0</v>
      </c>
      <c r="F236" s="155">
        <v>1</v>
      </c>
      <c r="G236" s="419">
        <v>2.1217907914279651E-4</v>
      </c>
      <c r="H236" s="269">
        <v>2132</v>
      </c>
      <c r="I236" s="15">
        <v>1792</v>
      </c>
      <c r="J236" s="331">
        <v>1.1897321428571428</v>
      </c>
      <c r="K236" s="427">
        <v>1.1902341034779091</v>
      </c>
      <c r="L236" s="434">
        <v>0.65801994699999999</v>
      </c>
      <c r="M236" s="14">
        <f>Lisäosat[[#This Row],[HYTE-kerroin (sis. Kulttuurihyte)]]*Lisäosat[[#This Row],[Asukasmäärä 31.12.2023]]</f>
        <v>3101.2480102109998</v>
      </c>
      <c r="N236" s="427">
        <f>Lisäosat[[#This Row],[HYTE-kerroin (sis. Kulttuurihyte)]]/$N$7</f>
        <v>0.9742876785442165</v>
      </c>
      <c r="O236" s="439">
        <v>0</v>
      </c>
      <c r="P236" s="197">
        <v>51808.526761500005</v>
      </c>
      <c r="Q236" s="159">
        <v>0</v>
      </c>
      <c r="R236" s="159">
        <v>75785.335684130623</v>
      </c>
      <c r="S236" s="159">
        <v>91423.092974969739</v>
      </c>
      <c r="T236" s="159">
        <v>0</v>
      </c>
      <c r="U236" s="309">
        <f t="shared" si="4"/>
        <v>219016.95542060037</v>
      </c>
      <c r="V236" s="44"/>
      <c r="W236" s="44"/>
      <c r="X236" s="110"/>
      <c r="Y236" s="110"/>
      <c r="Z236" s="111"/>
    </row>
    <row r="237" spans="1:26" s="45" customFormat="1">
      <c r="A237" s="127">
        <v>747</v>
      </c>
      <c r="B237" s="124" t="s">
        <v>242</v>
      </c>
      <c r="C237" s="408">
        <v>1283</v>
      </c>
      <c r="D237" s="412">
        <v>1.2231166666666669</v>
      </c>
      <c r="E237" s="420">
        <v>0</v>
      </c>
      <c r="F237" s="155">
        <v>0</v>
      </c>
      <c r="G237" s="419">
        <v>0</v>
      </c>
      <c r="H237" s="269">
        <v>354</v>
      </c>
      <c r="I237" s="15">
        <v>434</v>
      </c>
      <c r="J237" s="331">
        <v>0.81566820276497698</v>
      </c>
      <c r="K237" s="427">
        <v>0.81601234183851323</v>
      </c>
      <c r="L237" s="434">
        <v>0.36841537600000002</v>
      </c>
      <c r="M237" s="14">
        <f>Lisäosat[[#This Row],[HYTE-kerroin (sis. Kulttuurihyte)]]*Lisäosat[[#This Row],[Asukasmäärä 31.12.2023]]</f>
        <v>472.67692740800004</v>
      </c>
      <c r="N237" s="427">
        <f>Lisäosat[[#This Row],[HYTE-kerroin (sis. Kulttuurihyte)]]/$N$7</f>
        <v>0.54548887622556319</v>
      </c>
      <c r="O237" s="439">
        <v>0</v>
      </c>
      <c r="P237" s="197">
        <v>151896.39425325001</v>
      </c>
      <c r="Q237" s="159">
        <v>0</v>
      </c>
      <c r="R237" s="159">
        <v>14144.211205159758</v>
      </c>
      <c r="S237" s="159">
        <v>13934.256963410186</v>
      </c>
      <c r="T237" s="159">
        <v>0</v>
      </c>
      <c r="U237" s="309">
        <f t="shared" si="4"/>
        <v>179974.86242181994</v>
      </c>
      <c r="V237" s="44"/>
      <c r="W237" s="44"/>
      <c r="X237" s="110"/>
      <c r="Y237" s="110"/>
      <c r="Z237" s="111"/>
    </row>
    <row r="238" spans="1:26" s="45" customFormat="1">
      <c r="A238" s="127">
        <v>748</v>
      </c>
      <c r="B238" s="124" t="s">
        <v>243</v>
      </c>
      <c r="C238" s="408">
        <v>4837</v>
      </c>
      <c r="D238" s="412">
        <v>0.54026666666666667</v>
      </c>
      <c r="E238" s="420">
        <v>0</v>
      </c>
      <c r="F238" s="155">
        <v>0</v>
      </c>
      <c r="G238" s="419">
        <v>0</v>
      </c>
      <c r="H238" s="269">
        <v>1631</v>
      </c>
      <c r="I238" s="15">
        <v>1799</v>
      </c>
      <c r="J238" s="331">
        <v>0.9066147859922179</v>
      </c>
      <c r="K238" s="427">
        <v>0.90699729639466831</v>
      </c>
      <c r="L238" s="434">
        <v>0.61465416900000003</v>
      </c>
      <c r="M238" s="14">
        <f>Lisäosat[[#This Row],[HYTE-kerroin (sis. Kulttuurihyte)]]*Lisäosat[[#This Row],[Asukasmäärä 31.12.2023]]</f>
        <v>2973.0822154530001</v>
      </c>
      <c r="N238" s="427">
        <f>Lisäosat[[#This Row],[HYTE-kerroin (sis. Kulttuurihyte)]]/$N$7</f>
        <v>0.91007876912055763</v>
      </c>
      <c r="O238" s="439">
        <v>0</v>
      </c>
      <c r="P238" s="197">
        <v>168634.304496</v>
      </c>
      <c r="Q238" s="159">
        <v>0</v>
      </c>
      <c r="R238" s="159">
        <v>59270.341415150251</v>
      </c>
      <c r="S238" s="159">
        <v>87644.835534161495</v>
      </c>
      <c r="T238" s="159">
        <v>0</v>
      </c>
      <c r="U238" s="309">
        <f t="shared" si="4"/>
        <v>315549.48144531174</v>
      </c>
      <c r="V238" s="44"/>
      <c r="W238" s="44"/>
      <c r="X238" s="110"/>
      <c r="Y238" s="110"/>
      <c r="Z238" s="111"/>
    </row>
    <row r="239" spans="1:26" s="45" customFormat="1">
      <c r="A239" s="127">
        <v>749</v>
      </c>
      <c r="B239" s="124" t="s">
        <v>244</v>
      </c>
      <c r="C239" s="408">
        <v>21290</v>
      </c>
      <c r="D239" s="412">
        <v>0</v>
      </c>
      <c r="E239" s="420">
        <v>0</v>
      </c>
      <c r="F239" s="155">
        <v>1</v>
      </c>
      <c r="G239" s="419">
        <v>4.6970408642555191E-5</v>
      </c>
      <c r="H239" s="269">
        <v>7227</v>
      </c>
      <c r="I239" s="15">
        <v>9213</v>
      </c>
      <c r="J239" s="331">
        <v>0.78443503744708565</v>
      </c>
      <c r="K239" s="427">
        <v>0.78476599891661625</v>
      </c>
      <c r="L239" s="434">
        <v>0.699938281</v>
      </c>
      <c r="M239" s="14">
        <f>Lisäosat[[#This Row],[HYTE-kerroin (sis. Kulttuurihyte)]]*Lisäosat[[#This Row],[Asukasmäärä 31.12.2023]]</f>
        <v>14901.68600249</v>
      </c>
      <c r="N239" s="427">
        <f>Lisäosat[[#This Row],[HYTE-kerroin (sis. Kulttuurihyte)]]/$N$7</f>
        <v>1.0363534510295316</v>
      </c>
      <c r="O239" s="439">
        <v>6.1443734444773433E-2</v>
      </c>
      <c r="P239" s="197">
        <v>0</v>
      </c>
      <c r="Q239" s="159">
        <v>0</v>
      </c>
      <c r="R239" s="159">
        <v>225720.59625978861</v>
      </c>
      <c r="S239" s="159">
        <v>439293.5426008568</v>
      </c>
      <c r="T239" s="159">
        <v>13813.927842836631</v>
      </c>
      <c r="U239" s="309">
        <f t="shared" si="4"/>
        <v>678828.06670348207</v>
      </c>
      <c r="V239" s="44"/>
      <c r="W239" s="44"/>
      <c r="X239" s="110"/>
      <c r="Y239" s="110"/>
      <c r="Z239" s="111"/>
    </row>
    <row r="240" spans="1:26" s="45" customFormat="1">
      <c r="A240" s="127">
        <v>751</v>
      </c>
      <c r="B240" s="124" t="s">
        <v>245</v>
      </c>
      <c r="C240" s="408">
        <v>2828</v>
      </c>
      <c r="D240" s="412">
        <v>0.79239999999999999</v>
      </c>
      <c r="E240" s="420">
        <v>0</v>
      </c>
      <c r="F240" s="155">
        <v>0</v>
      </c>
      <c r="G240" s="419">
        <v>0</v>
      </c>
      <c r="H240" s="269">
        <v>562</v>
      </c>
      <c r="I240" s="15">
        <v>1000</v>
      </c>
      <c r="J240" s="331">
        <v>0.56200000000000006</v>
      </c>
      <c r="K240" s="427">
        <v>0.56223711376595509</v>
      </c>
      <c r="L240" s="434">
        <v>0.61687676000000002</v>
      </c>
      <c r="M240" s="14">
        <f>Lisäosat[[#This Row],[HYTE-kerroin (sis. Kulttuurihyte)]]*Lisäosat[[#This Row],[Asukasmäärä 31.12.2023]]</f>
        <v>1744.5274772800001</v>
      </c>
      <c r="N240" s="427">
        <f>Lisäosat[[#This Row],[HYTE-kerroin (sis. Kulttuurihyte)]]/$N$7</f>
        <v>0.91336961620751267</v>
      </c>
      <c r="O240" s="439">
        <v>0</v>
      </c>
      <c r="P240" s="197">
        <v>144605.74161600001</v>
      </c>
      <c r="Q240" s="159">
        <v>0</v>
      </c>
      <c r="R240" s="159">
        <v>21480.988594933933</v>
      </c>
      <c r="S240" s="159">
        <v>51427.714657979785</v>
      </c>
      <c r="T240" s="159">
        <v>0</v>
      </c>
      <c r="U240" s="309">
        <f t="shared" si="4"/>
        <v>217514.44486891374</v>
      </c>
      <c r="V240" s="44"/>
      <c r="W240" s="44"/>
      <c r="X240" s="110"/>
      <c r="Y240" s="110"/>
      <c r="Z240" s="111"/>
    </row>
    <row r="241" spans="1:26" s="45" customFormat="1">
      <c r="A241" s="127">
        <v>753</v>
      </c>
      <c r="B241" s="124" t="s">
        <v>246</v>
      </c>
      <c r="C241" s="408">
        <v>22595</v>
      </c>
      <c r="D241" s="412">
        <v>0</v>
      </c>
      <c r="E241" s="420">
        <v>0</v>
      </c>
      <c r="F241" s="155">
        <v>3</v>
      </c>
      <c r="G241" s="419">
        <v>1.3277273733126798E-4</v>
      </c>
      <c r="H241" s="269">
        <v>7080</v>
      </c>
      <c r="I241" s="15">
        <v>11047</v>
      </c>
      <c r="J241" s="331">
        <v>0.64089798135240339</v>
      </c>
      <c r="K241" s="427">
        <v>0.64116838301423873</v>
      </c>
      <c r="L241" s="434">
        <v>0.58065434199999999</v>
      </c>
      <c r="M241" s="14">
        <f>Lisäosat[[#This Row],[HYTE-kerroin (sis. Kulttuurihyte)]]*Lisäosat[[#This Row],[Asukasmäärä 31.12.2023]]</f>
        <v>13119.88485749</v>
      </c>
      <c r="N241" s="427">
        <f>Lisäosat[[#This Row],[HYTE-kerroin (sis. Kulttuurihyte)]]/$N$7</f>
        <v>0.85973741902963852</v>
      </c>
      <c r="O241" s="439">
        <v>1.3790967214875567</v>
      </c>
      <c r="P241" s="197">
        <v>0</v>
      </c>
      <c r="Q241" s="159">
        <v>0</v>
      </c>
      <c r="R241" s="159">
        <v>195722.06678793282</v>
      </c>
      <c r="S241" s="159">
        <v>386767.02063102589</v>
      </c>
      <c r="T241" s="159">
        <v>329056.89085643977</v>
      </c>
      <c r="U241" s="309">
        <f t="shared" si="4"/>
        <v>911545.97827539849</v>
      </c>
      <c r="V241" s="44"/>
      <c r="W241" s="44"/>
      <c r="X241" s="110"/>
      <c r="Y241" s="110"/>
      <c r="Z241" s="111"/>
    </row>
    <row r="242" spans="1:26" s="45" customFormat="1">
      <c r="A242" s="127">
        <v>755</v>
      </c>
      <c r="B242" s="124" t="s">
        <v>247</v>
      </c>
      <c r="C242" s="408">
        <v>6158</v>
      </c>
      <c r="D242" s="412">
        <v>0</v>
      </c>
      <c r="E242" s="420">
        <v>0</v>
      </c>
      <c r="F242" s="155">
        <v>0</v>
      </c>
      <c r="G242" s="419">
        <v>0</v>
      </c>
      <c r="H242" s="269">
        <v>1305</v>
      </c>
      <c r="I242" s="15">
        <v>2994</v>
      </c>
      <c r="J242" s="331">
        <v>0.43587174348697394</v>
      </c>
      <c r="K242" s="427">
        <v>0.43605564240258177</v>
      </c>
      <c r="L242" s="434">
        <v>0.72428244200000003</v>
      </c>
      <c r="M242" s="14">
        <f>Lisäosat[[#This Row],[HYTE-kerroin (sis. Kulttuurihyte)]]*Lisäosat[[#This Row],[Asukasmäärä 31.12.2023]]</f>
        <v>4460.1312778359998</v>
      </c>
      <c r="N242" s="427">
        <f>Lisäosat[[#This Row],[HYTE-kerroin (sis. Kulttuurihyte)]]/$N$7</f>
        <v>1.0723982794802969</v>
      </c>
      <c r="O242" s="439">
        <v>5.1472421440967864E-2</v>
      </c>
      <c r="P242" s="197">
        <v>0</v>
      </c>
      <c r="Q242" s="159">
        <v>0</v>
      </c>
      <c r="R242" s="159">
        <v>36277.466026312984</v>
      </c>
      <c r="S242" s="159">
        <v>131482.22752633979</v>
      </c>
      <c r="T242" s="159">
        <v>3347.17332822555</v>
      </c>
      <c r="U242" s="309">
        <f t="shared" si="4"/>
        <v>171106.86688087834</v>
      </c>
      <c r="V242" s="44"/>
      <c r="W242" s="44"/>
      <c r="X242" s="110"/>
      <c r="Y242" s="110"/>
      <c r="Z242" s="111"/>
    </row>
    <row r="243" spans="1:26" s="45" customFormat="1">
      <c r="A243" s="127">
        <v>758</v>
      </c>
      <c r="B243" s="124" t="s">
        <v>248</v>
      </c>
      <c r="C243" s="408">
        <v>8126</v>
      </c>
      <c r="D243" s="412">
        <v>1.4546833333333333</v>
      </c>
      <c r="E243" s="420">
        <v>1</v>
      </c>
      <c r="F243" s="155">
        <v>128</v>
      </c>
      <c r="G243" s="419">
        <v>1.5751907457543686E-2</v>
      </c>
      <c r="H243" s="269">
        <v>3791</v>
      </c>
      <c r="I243" s="15">
        <v>3579</v>
      </c>
      <c r="J243" s="331">
        <v>1.0592344230231909</v>
      </c>
      <c r="K243" s="427">
        <v>1.0596813252706505</v>
      </c>
      <c r="L243" s="434">
        <v>0.63836567799999999</v>
      </c>
      <c r="M243" s="14">
        <f>Lisäosat[[#This Row],[HYTE-kerroin (sis. Kulttuurihyte)]]*Lisäosat[[#This Row],[Asukasmäärä 31.12.2023]]</f>
        <v>5187.3594994280002</v>
      </c>
      <c r="N243" s="427">
        <f>Lisäosat[[#This Row],[HYTE-kerroin (sis. Kulttuurihyte)]]/$N$7</f>
        <v>0.94518687057510253</v>
      </c>
      <c r="O243" s="439">
        <v>0</v>
      </c>
      <c r="P243" s="197">
        <v>1144190.1512295001</v>
      </c>
      <c r="Q243" s="159">
        <v>120767.99999999999</v>
      </c>
      <c r="R243" s="159">
        <v>116334.21076800713</v>
      </c>
      <c r="S243" s="159">
        <v>152920.51723993928</v>
      </c>
      <c r="T243" s="159">
        <v>0</v>
      </c>
      <c r="U243" s="309">
        <f t="shared" si="4"/>
        <v>1534212.8792374465</v>
      </c>
      <c r="V243" s="44"/>
      <c r="W243" s="44"/>
      <c r="X243" s="110"/>
      <c r="Y243" s="110"/>
      <c r="Z243" s="111"/>
    </row>
    <row r="244" spans="1:26" s="45" customFormat="1">
      <c r="A244" s="127">
        <v>759</v>
      </c>
      <c r="B244" s="124" t="s">
        <v>249</v>
      </c>
      <c r="C244" s="408">
        <v>1873</v>
      </c>
      <c r="D244" s="412">
        <v>1.1890000000000001</v>
      </c>
      <c r="E244" s="420">
        <v>0</v>
      </c>
      <c r="F244" s="155">
        <v>0</v>
      </c>
      <c r="G244" s="419">
        <v>0</v>
      </c>
      <c r="H244" s="269">
        <v>683</v>
      </c>
      <c r="I244" s="15">
        <v>686</v>
      </c>
      <c r="J244" s="331">
        <v>0.99562682215743437</v>
      </c>
      <c r="K244" s="427">
        <v>0.99604688768285721</v>
      </c>
      <c r="L244" s="434">
        <v>0.542168698</v>
      </c>
      <c r="M244" s="14">
        <f>Lisäosat[[#This Row],[HYTE-kerroin (sis. Kulttuurihyte)]]*Lisäosat[[#This Row],[Asukasmäärä 31.12.2023]]</f>
        <v>1015.4819713540001</v>
      </c>
      <c r="N244" s="427">
        <f>Lisäosat[[#This Row],[HYTE-kerroin (sis. Kulttuurihyte)]]/$N$7</f>
        <v>0.80275420914217421</v>
      </c>
      <c r="O244" s="439">
        <v>0</v>
      </c>
      <c r="P244" s="197">
        <v>215562.17461500003</v>
      </c>
      <c r="Q244" s="159">
        <v>0</v>
      </c>
      <c r="R244" s="159">
        <v>25204.199536711185</v>
      </c>
      <c r="S244" s="159">
        <v>29935.85239743075</v>
      </c>
      <c r="T244" s="159">
        <v>0</v>
      </c>
      <c r="U244" s="309">
        <f t="shared" si="4"/>
        <v>270702.22654914198</v>
      </c>
      <c r="V244" s="44"/>
      <c r="W244" s="44"/>
      <c r="X244" s="110"/>
      <c r="Y244" s="110"/>
      <c r="Z244" s="111"/>
    </row>
    <row r="245" spans="1:26" s="45" customFormat="1">
      <c r="A245" s="127">
        <v>761</v>
      </c>
      <c r="B245" s="124" t="s">
        <v>250</v>
      </c>
      <c r="C245" s="408">
        <v>8410</v>
      </c>
      <c r="D245" s="412">
        <v>0</v>
      </c>
      <c r="E245" s="420">
        <v>0</v>
      </c>
      <c r="F245" s="155">
        <v>0</v>
      </c>
      <c r="G245" s="419">
        <v>0</v>
      </c>
      <c r="H245" s="269">
        <v>2700</v>
      </c>
      <c r="I245" s="15">
        <v>3224</v>
      </c>
      <c r="J245" s="331">
        <v>0.83746898263027292</v>
      </c>
      <c r="K245" s="427">
        <v>0.83782231968426224</v>
      </c>
      <c r="L245" s="434">
        <v>0.58823578499999996</v>
      </c>
      <c r="M245" s="14">
        <f>Lisäosat[[#This Row],[HYTE-kerroin (sis. Kulttuurihyte)]]*Lisäosat[[#This Row],[Asukasmäärä 31.12.2023]]</f>
        <v>4947.06295185</v>
      </c>
      <c r="N245" s="427">
        <f>Lisäosat[[#This Row],[HYTE-kerroin (sis. Kulttuurihyte)]]/$N$7</f>
        <v>0.87096277250738841</v>
      </c>
      <c r="O245" s="439">
        <v>0</v>
      </c>
      <c r="P245" s="197">
        <v>0</v>
      </c>
      <c r="Q245" s="159">
        <v>0</v>
      </c>
      <c r="R245" s="159">
        <v>95192.617922438149</v>
      </c>
      <c r="S245" s="159">
        <v>145836.70661323189</v>
      </c>
      <c r="T245" s="159">
        <v>0</v>
      </c>
      <c r="U245" s="309">
        <f t="shared" si="4"/>
        <v>241029.32453567005</v>
      </c>
      <c r="V245" s="44"/>
      <c r="W245" s="44"/>
      <c r="X245" s="110"/>
      <c r="Y245" s="110"/>
      <c r="Z245" s="111"/>
    </row>
    <row r="246" spans="1:26" s="45" customFormat="1">
      <c r="A246" s="127">
        <v>762</v>
      </c>
      <c r="B246" s="124" t="s">
        <v>251</v>
      </c>
      <c r="C246" s="408">
        <v>3637</v>
      </c>
      <c r="D246" s="412">
        <v>1.0705166666666668</v>
      </c>
      <c r="E246" s="420">
        <v>0</v>
      </c>
      <c r="F246" s="155">
        <v>0</v>
      </c>
      <c r="G246" s="419">
        <v>0</v>
      </c>
      <c r="H246" s="269">
        <v>1084</v>
      </c>
      <c r="I246" s="15">
        <v>1282</v>
      </c>
      <c r="J246" s="331">
        <v>0.8455538221528861</v>
      </c>
      <c r="K246" s="427">
        <v>0.8459105702864953</v>
      </c>
      <c r="L246" s="434">
        <v>0.636737361</v>
      </c>
      <c r="M246" s="14">
        <f>Lisäosat[[#This Row],[HYTE-kerroin (sis. Kulttuurihyte)]]*Lisäosat[[#This Row],[Asukasmäärä 31.12.2023]]</f>
        <v>2315.8137819570002</v>
      </c>
      <c r="N246" s="427">
        <f>Lisäosat[[#This Row],[HYTE-kerroin (sis. Kulttuurihyte)]]/$N$7</f>
        <v>0.94277592665600563</v>
      </c>
      <c r="O246" s="439">
        <v>0</v>
      </c>
      <c r="P246" s="197">
        <v>376868.34314775001</v>
      </c>
      <c r="Q246" s="159">
        <v>0</v>
      </c>
      <c r="R246" s="159">
        <v>41564.551813223094</v>
      </c>
      <c r="S246" s="159">
        <v>68268.922060885539</v>
      </c>
      <c r="T246" s="159">
        <v>0</v>
      </c>
      <c r="U246" s="309">
        <f t="shared" si="4"/>
        <v>486701.81702185865</v>
      </c>
      <c r="V246" s="44"/>
      <c r="W246" s="44"/>
      <c r="X246" s="110"/>
      <c r="Y246" s="110"/>
      <c r="Z246" s="111"/>
    </row>
    <row r="247" spans="1:26" s="45" customFormat="1">
      <c r="A247" s="127">
        <v>765</v>
      </c>
      <c r="B247" s="124" t="s">
        <v>252</v>
      </c>
      <c r="C247" s="408">
        <v>10274</v>
      </c>
      <c r="D247" s="412">
        <v>0.59563333333333335</v>
      </c>
      <c r="E247" s="420">
        <v>0</v>
      </c>
      <c r="F247" s="155">
        <v>0</v>
      </c>
      <c r="G247" s="419">
        <v>0</v>
      </c>
      <c r="H247" s="269">
        <v>4633</v>
      </c>
      <c r="I247" s="15">
        <v>4411</v>
      </c>
      <c r="J247" s="331">
        <v>1.0503287236454319</v>
      </c>
      <c r="K247" s="427">
        <v>1.0507718684837848</v>
      </c>
      <c r="L247" s="434">
        <v>0.67202712099999995</v>
      </c>
      <c r="M247" s="14">
        <f>Lisäosat[[#This Row],[HYTE-kerroin (sis. Kulttuurihyte)]]*Lisäosat[[#This Row],[Asukasmäärä 31.12.2023]]</f>
        <v>6904.4066411539998</v>
      </c>
      <c r="N247" s="427">
        <f>Lisäosat[[#This Row],[HYTE-kerroin (sis. Kulttuurihyte)]]/$N$7</f>
        <v>0.99502719731054479</v>
      </c>
      <c r="O247" s="439">
        <v>0</v>
      </c>
      <c r="P247" s="197">
        <v>394893.71400600002</v>
      </c>
      <c r="Q247" s="159">
        <v>0</v>
      </c>
      <c r="R247" s="159">
        <v>145848.96368860049</v>
      </c>
      <c r="S247" s="159">
        <v>203538.12665510556</v>
      </c>
      <c r="T247" s="159">
        <v>0</v>
      </c>
      <c r="U247" s="309">
        <f t="shared" si="4"/>
        <v>744280.80434970604</v>
      </c>
      <c r="V247" s="44"/>
      <c r="W247" s="44"/>
      <c r="X247" s="110"/>
      <c r="Y247" s="110"/>
      <c r="Z247" s="111"/>
    </row>
    <row r="248" spans="1:26" s="45" customFormat="1">
      <c r="A248" s="127">
        <v>768</v>
      </c>
      <c r="B248" s="124" t="s">
        <v>253</v>
      </c>
      <c r="C248" s="408">
        <v>2368</v>
      </c>
      <c r="D248" s="412">
        <v>1.2305166666666667</v>
      </c>
      <c r="E248" s="420">
        <v>0</v>
      </c>
      <c r="F248" s="155">
        <v>0</v>
      </c>
      <c r="G248" s="419">
        <v>0</v>
      </c>
      <c r="H248" s="269">
        <v>706</v>
      </c>
      <c r="I248" s="15">
        <v>780</v>
      </c>
      <c r="J248" s="331">
        <v>0.90512820512820513</v>
      </c>
      <c r="K248" s="427">
        <v>0.90551008832640811</v>
      </c>
      <c r="L248" s="434">
        <v>0.51177761300000002</v>
      </c>
      <c r="M248" s="14">
        <f>Lisäosat[[#This Row],[HYTE-kerroin (sis. Kulttuurihyte)]]*Lisäosat[[#This Row],[Asukasmäärä 31.12.2023]]</f>
        <v>1211.8893875840001</v>
      </c>
      <c r="N248" s="427">
        <f>Lisäosat[[#This Row],[HYTE-kerroin (sis. Kulttuurihyte)]]/$N$7</f>
        <v>0.75775609048622117</v>
      </c>
      <c r="O248" s="439">
        <v>0</v>
      </c>
      <c r="P248" s="197">
        <v>282047.41425599996</v>
      </c>
      <c r="Q248" s="159">
        <v>0</v>
      </c>
      <c r="R248" s="159">
        <v>28968.788982510185</v>
      </c>
      <c r="S248" s="159">
        <v>35725.835467423007</v>
      </c>
      <c r="T248" s="159">
        <v>0</v>
      </c>
      <c r="U248" s="309">
        <f t="shared" si="4"/>
        <v>346742.03870593314</v>
      </c>
      <c r="V248" s="44"/>
      <c r="W248" s="44"/>
      <c r="X248" s="110"/>
      <c r="Y248" s="110"/>
      <c r="Z248" s="111"/>
    </row>
    <row r="249" spans="1:26" s="45" customFormat="1">
      <c r="A249" s="127">
        <v>777</v>
      </c>
      <c r="B249" s="124" t="s">
        <v>254</v>
      </c>
      <c r="C249" s="408">
        <v>7172</v>
      </c>
      <c r="D249" s="412">
        <v>1.4814499999999999</v>
      </c>
      <c r="E249" s="420">
        <v>0</v>
      </c>
      <c r="F249" s="155">
        <v>0</v>
      </c>
      <c r="G249" s="419">
        <v>0</v>
      </c>
      <c r="H249" s="269">
        <v>2137</v>
      </c>
      <c r="I249" s="15">
        <v>2461</v>
      </c>
      <c r="J249" s="331">
        <v>0.86834620073141</v>
      </c>
      <c r="K249" s="427">
        <v>0.86871256521149576</v>
      </c>
      <c r="L249" s="434">
        <v>0.63394385499999995</v>
      </c>
      <c r="M249" s="14">
        <f>Lisäosat[[#This Row],[HYTE-kerroin (sis. Kulttuurihyte)]]*Lisäosat[[#This Row],[Asukasmäärä 31.12.2023]]</f>
        <v>4546.6453280599999</v>
      </c>
      <c r="N249" s="427">
        <f>Lisäosat[[#This Row],[HYTE-kerroin (sis. Kulttuurihyte)]]/$N$7</f>
        <v>0.93863976256531523</v>
      </c>
      <c r="O249" s="439">
        <v>0</v>
      </c>
      <c r="P249" s="197">
        <v>1028442.9451230001</v>
      </c>
      <c r="Q249" s="159">
        <v>0</v>
      </c>
      <c r="R249" s="159">
        <v>84172.792054084421</v>
      </c>
      <c r="S249" s="159">
        <v>134032.61434842815</v>
      </c>
      <c r="T249" s="159">
        <v>0</v>
      </c>
      <c r="U249" s="309">
        <f t="shared" si="4"/>
        <v>1246648.3515255125</v>
      </c>
      <c r="V249" s="44"/>
      <c r="W249" s="44"/>
      <c r="X249" s="110"/>
      <c r="Y249" s="110"/>
      <c r="Z249" s="111"/>
    </row>
    <row r="250" spans="1:26" s="45" customFormat="1">
      <c r="A250" s="127">
        <v>778</v>
      </c>
      <c r="B250" s="124" t="s">
        <v>255</v>
      </c>
      <c r="C250" s="408">
        <v>6708</v>
      </c>
      <c r="D250" s="412">
        <v>0.39226666666666665</v>
      </c>
      <c r="E250" s="420">
        <v>0</v>
      </c>
      <c r="F250" s="155">
        <v>0</v>
      </c>
      <c r="G250" s="419">
        <v>0</v>
      </c>
      <c r="H250" s="269">
        <v>2360</v>
      </c>
      <c r="I250" s="15">
        <v>2509</v>
      </c>
      <c r="J250" s="331">
        <v>0.94061379035472303</v>
      </c>
      <c r="K250" s="427">
        <v>0.94101064529803313</v>
      </c>
      <c r="L250" s="434">
        <v>0.59653146599999995</v>
      </c>
      <c r="M250" s="14">
        <f>Lisäosat[[#This Row],[HYTE-kerroin (sis. Kulttuurihyte)]]*Lisäosat[[#This Row],[Asukasmäärä 31.12.2023]]</f>
        <v>4001.5330739279998</v>
      </c>
      <c r="N250" s="427">
        <f>Lisäosat[[#This Row],[HYTE-kerroin (sis. Kulttuurihyte)]]/$N$7</f>
        <v>0.8832456521074401</v>
      </c>
      <c r="O250" s="439">
        <v>0</v>
      </c>
      <c r="P250" s="197">
        <v>169799.389344</v>
      </c>
      <c r="Q250" s="159">
        <v>0</v>
      </c>
      <c r="R250" s="159">
        <v>85279.165010985875</v>
      </c>
      <c r="S250" s="159">
        <v>117963.00362164387</v>
      </c>
      <c r="T250" s="159">
        <v>0</v>
      </c>
      <c r="U250" s="309">
        <f t="shared" si="4"/>
        <v>373041.55797662976</v>
      </c>
      <c r="V250" s="44"/>
      <c r="W250" s="44"/>
      <c r="X250" s="110"/>
      <c r="Y250" s="110"/>
      <c r="Z250" s="111"/>
    </row>
    <row r="251" spans="1:26" s="45" customFormat="1">
      <c r="A251" s="127">
        <v>781</v>
      </c>
      <c r="B251" s="124" t="s">
        <v>256</v>
      </c>
      <c r="C251" s="408">
        <v>3496</v>
      </c>
      <c r="D251" s="412">
        <v>1.0842833333333333</v>
      </c>
      <c r="E251" s="420">
        <v>0</v>
      </c>
      <c r="F251" s="155">
        <v>1</v>
      </c>
      <c r="G251" s="419">
        <v>2.8604118993135012E-4</v>
      </c>
      <c r="H251" s="269">
        <v>969</v>
      </c>
      <c r="I251" s="15">
        <v>1120</v>
      </c>
      <c r="J251" s="331">
        <v>0.86517857142857146</v>
      </c>
      <c r="K251" s="427">
        <v>0.86554359945222814</v>
      </c>
      <c r="L251" s="434">
        <v>0.65248902399999997</v>
      </c>
      <c r="M251" s="14">
        <f>Lisäosat[[#This Row],[HYTE-kerroin (sis. Kulttuurihyte)]]*Lisäosat[[#This Row],[Asukasmäärä 31.12.2023]]</f>
        <v>2281.101627904</v>
      </c>
      <c r="N251" s="427">
        <f>Lisäosat[[#This Row],[HYTE-kerroin (sis. Kulttuurihyte)]]/$N$7</f>
        <v>0.96609839772614292</v>
      </c>
      <c r="O251" s="439">
        <v>0</v>
      </c>
      <c r="P251" s="197">
        <v>366916.405554</v>
      </c>
      <c r="Q251" s="159">
        <v>0</v>
      </c>
      <c r="R251" s="159">
        <v>40880.455123984211</v>
      </c>
      <c r="S251" s="159">
        <v>67245.626769151364</v>
      </c>
      <c r="T251" s="159">
        <v>0</v>
      </c>
      <c r="U251" s="309">
        <f t="shared" si="4"/>
        <v>475042.48744713556</v>
      </c>
      <c r="V251" s="44"/>
      <c r="W251" s="44"/>
      <c r="X251" s="110"/>
      <c r="Y251" s="110"/>
      <c r="Z251" s="111"/>
    </row>
    <row r="252" spans="1:26" s="45" customFormat="1">
      <c r="A252" s="127">
        <v>783</v>
      </c>
      <c r="B252" s="124" t="s">
        <v>257</v>
      </c>
      <c r="C252" s="408">
        <v>6377</v>
      </c>
      <c r="D252" s="412">
        <v>0</v>
      </c>
      <c r="E252" s="420">
        <v>0</v>
      </c>
      <c r="F252" s="155">
        <v>0</v>
      </c>
      <c r="G252" s="419">
        <v>0</v>
      </c>
      <c r="H252" s="269">
        <v>3122</v>
      </c>
      <c r="I252" s="15">
        <v>2567</v>
      </c>
      <c r="J252" s="331">
        <v>1.2162056875730425</v>
      </c>
      <c r="K252" s="427">
        <v>1.2167188176633563</v>
      </c>
      <c r="L252" s="434">
        <v>0.57770913700000004</v>
      </c>
      <c r="M252" s="14">
        <f>Lisäosat[[#This Row],[HYTE-kerroin (sis. Kulttuurihyte)]]*Lisäosat[[#This Row],[Asukasmäärä 31.12.2023]]</f>
        <v>3684.0511666490002</v>
      </c>
      <c r="N252" s="427">
        <f>Lisäosat[[#This Row],[HYTE-kerroin (sis. Kulttuurihyte)]]/$N$7</f>
        <v>0.85537664401762092</v>
      </c>
      <c r="O252" s="439">
        <v>0</v>
      </c>
      <c r="P252" s="197">
        <v>0</v>
      </c>
      <c r="Q252" s="159">
        <v>0</v>
      </c>
      <c r="R252" s="159">
        <v>104824.3048122319</v>
      </c>
      <c r="S252" s="159">
        <v>108603.81086070635</v>
      </c>
      <c r="T252" s="159">
        <v>0</v>
      </c>
      <c r="U252" s="309">
        <f t="shared" si="4"/>
        <v>213428.11567293823</v>
      </c>
      <c r="V252" s="44"/>
      <c r="W252" s="44"/>
      <c r="X252" s="110"/>
      <c r="Y252" s="110"/>
      <c r="Z252" s="111"/>
    </row>
    <row r="253" spans="1:26" s="104" customFormat="1">
      <c r="A253" s="124">
        <v>785</v>
      </c>
      <c r="B253" s="124" t="s">
        <v>258</v>
      </c>
      <c r="C253" s="408">
        <v>2589</v>
      </c>
      <c r="D253" s="412">
        <v>1.7081500000000001</v>
      </c>
      <c r="E253" s="420">
        <v>0</v>
      </c>
      <c r="F253" s="155">
        <v>0</v>
      </c>
      <c r="G253" s="419">
        <v>0</v>
      </c>
      <c r="H253" s="269">
        <v>825</v>
      </c>
      <c r="I253" s="15">
        <v>846</v>
      </c>
      <c r="J253" s="331">
        <v>0.97517730496453903</v>
      </c>
      <c r="K253" s="427">
        <v>0.97558874262157469</v>
      </c>
      <c r="L253" s="434">
        <v>0.51210292599999996</v>
      </c>
      <c r="M253" s="14">
        <f>Lisäosat[[#This Row],[HYTE-kerroin (sis. Kulttuurihyte)]]*Lisäosat[[#This Row],[Asukasmäärä 31.12.2023]]</f>
        <v>1325.8344754139998</v>
      </c>
      <c r="N253" s="427">
        <f>Lisäosat[[#This Row],[HYTE-kerroin (sis. Kulttuurihyte)]]/$N$7</f>
        <v>0.75823776045536906</v>
      </c>
      <c r="O253" s="438">
        <v>0</v>
      </c>
      <c r="P253" s="197">
        <v>856132.48375649995</v>
      </c>
      <c r="Q253" s="159">
        <v>0</v>
      </c>
      <c r="R253" s="159">
        <v>34123.54793028444</v>
      </c>
      <c r="S253" s="159">
        <v>39084.874255815303</v>
      </c>
      <c r="T253" s="159">
        <v>0</v>
      </c>
      <c r="U253" s="309">
        <f t="shared" si="4"/>
        <v>929340.90594259964</v>
      </c>
      <c r="V253" s="59"/>
      <c r="W253" s="59"/>
      <c r="X253" s="109"/>
      <c r="Y253" s="110"/>
      <c r="Z253" s="111"/>
    </row>
    <row r="254" spans="1:26" s="45" customFormat="1">
      <c r="A254" s="127">
        <v>790</v>
      </c>
      <c r="B254" s="124" t="s">
        <v>259</v>
      </c>
      <c r="C254" s="408">
        <v>23515</v>
      </c>
      <c r="D254" s="412">
        <v>0</v>
      </c>
      <c r="E254" s="420">
        <v>0</v>
      </c>
      <c r="F254" s="155">
        <v>0</v>
      </c>
      <c r="G254" s="419">
        <v>0</v>
      </c>
      <c r="H254" s="269">
        <v>8151</v>
      </c>
      <c r="I254" s="15">
        <v>9300</v>
      </c>
      <c r="J254" s="331">
        <v>0.87645161290322582</v>
      </c>
      <c r="K254" s="427">
        <v>0.87682139714275054</v>
      </c>
      <c r="L254" s="434">
        <v>0.68604658699999999</v>
      </c>
      <c r="M254" s="14">
        <f>Lisäosat[[#This Row],[HYTE-kerroin (sis. Kulttuurihyte)]]*Lisäosat[[#This Row],[Asukasmäärä 31.12.2023]]</f>
        <v>16132.385493304999</v>
      </c>
      <c r="N254" s="427">
        <f>Lisäosat[[#This Row],[HYTE-kerroin (sis. Kulttuurihyte)]]/$N$7</f>
        <v>1.0157849160481647</v>
      </c>
      <c r="O254" s="439">
        <v>0</v>
      </c>
      <c r="P254" s="197">
        <v>0</v>
      </c>
      <c r="Q254" s="159">
        <v>0</v>
      </c>
      <c r="R254" s="159">
        <v>278555.3291279971</v>
      </c>
      <c r="S254" s="159">
        <v>475573.8896103733</v>
      </c>
      <c r="T254" s="159">
        <v>0</v>
      </c>
      <c r="U254" s="309">
        <f t="shared" si="4"/>
        <v>754129.21873837034</v>
      </c>
      <c r="V254" s="44"/>
      <c r="W254" s="44"/>
      <c r="X254" s="110"/>
      <c r="Y254" s="110"/>
      <c r="Z254" s="111"/>
    </row>
    <row r="255" spans="1:26" s="45" customFormat="1">
      <c r="A255" s="127">
        <v>791</v>
      </c>
      <c r="B255" s="124" t="s">
        <v>260</v>
      </c>
      <c r="C255" s="408">
        <v>4931</v>
      </c>
      <c r="D255" s="412">
        <v>1.4546666666666668</v>
      </c>
      <c r="E255" s="420">
        <v>0</v>
      </c>
      <c r="F255" s="155">
        <v>0</v>
      </c>
      <c r="G255" s="419">
        <v>0</v>
      </c>
      <c r="H255" s="269">
        <v>1770</v>
      </c>
      <c r="I255" s="15">
        <v>1885</v>
      </c>
      <c r="J255" s="331">
        <v>0.93899204244031831</v>
      </c>
      <c r="K255" s="427">
        <v>0.93938821315096754</v>
      </c>
      <c r="L255" s="434">
        <v>0.52251585700000003</v>
      </c>
      <c r="M255" s="14">
        <f>Lisäosat[[#This Row],[HYTE-kerroin (sis. Kulttuurihyte)]]*Lisäosat[[#This Row],[Asukasmäärä 31.12.2023]]</f>
        <v>2576.5256908670003</v>
      </c>
      <c r="N255" s="427">
        <f>Lisäosat[[#This Row],[HYTE-kerroin (sis. Kulttuurihyte)]]/$N$7</f>
        <v>0.77365551552052236</v>
      </c>
      <c r="O255" s="439">
        <v>0</v>
      </c>
      <c r="P255" s="197">
        <v>694306.79226000002</v>
      </c>
      <c r="Q255" s="159">
        <v>0</v>
      </c>
      <c r="R255" s="159">
        <v>62579.985499930648</v>
      </c>
      <c r="S255" s="159">
        <v>75954.566359401055</v>
      </c>
      <c r="T255" s="159">
        <v>0</v>
      </c>
      <c r="U255" s="309">
        <f t="shared" si="4"/>
        <v>832841.3441193318</v>
      </c>
      <c r="V255" s="44"/>
      <c r="W255" s="44"/>
      <c r="X255" s="110"/>
      <c r="Y255" s="110"/>
      <c r="Z255" s="111"/>
    </row>
    <row r="256" spans="1:26" s="45" customFormat="1">
      <c r="A256" s="127">
        <v>831</v>
      </c>
      <c r="B256" s="124" t="s">
        <v>261</v>
      </c>
      <c r="C256" s="408">
        <v>4625</v>
      </c>
      <c r="D256" s="412">
        <v>0</v>
      </c>
      <c r="E256" s="420">
        <v>0</v>
      </c>
      <c r="F256" s="155">
        <v>0</v>
      </c>
      <c r="G256" s="419">
        <v>0</v>
      </c>
      <c r="H256" s="269">
        <v>782</v>
      </c>
      <c r="I256" s="15">
        <v>1855</v>
      </c>
      <c r="J256" s="331">
        <v>0.42156334231805931</v>
      </c>
      <c r="K256" s="427">
        <v>0.42174120436732199</v>
      </c>
      <c r="L256" s="434">
        <v>0.59675753899999995</v>
      </c>
      <c r="M256" s="14">
        <f>Lisäosat[[#This Row],[HYTE-kerroin (sis. Kulttuurihyte)]]*Lisäosat[[#This Row],[Asukasmäärä 31.12.2023]]</f>
        <v>2760.0036178749997</v>
      </c>
      <c r="N256" s="427">
        <f>Lisäosat[[#This Row],[HYTE-kerroin (sis. Kulttuurihyte)]]/$N$7</f>
        <v>0.88358038381178383</v>
      </c>
      <c r="O256" s="439">
        <v>0</v>
      </c>
      <c r="P256" s="197">
        <v>0</v>
      </c>
      <c r="Q256" s="159">
        <v>0</v>
      </c>
      <c r="R256" s="159">
        <v>26351.971978386653</v>
      </c>
      <c r="S256" s="159">
        <v>81363.395167828348</v>
      </c>
      <c r="T256" s="159">
        <v>0</v>
      </c>
      <c r="U256" s="309">
        <f t="shared" si="4"/>
        <v>107715.36714621499</v>
      </c>
      <c r="V256" s="44"/>
      <c r="W256" s="44"/>
      <c r="X256" s="110"/>
      <c r="Y256" s="110"/>
      <c r="Z256" s="111"/>
    </row>
    <row r="257" spans="1:26" s="45" customFormat="1">
      <c r="A257" s="127">
        <v>832</v>
      </c>
      <c r="B257" s="124" t="s">
        <v>262</v>
      </c>
      <c r="C257" s="408">
        <v>3731</v>
      </c>
      <c r="D257" s="412">
        <v>1.7243499999999998</v>
      </c>
      <c r="E257" s="420">
        <v>0</v>
      </c>
      <c r="F257" s="155">
        <v>0</v>
      </c>
      <c r="G257" s="419">
        <v>0</v>
      </c>
      <c r="H257" s="269">
        <v>1241</v>
      </c>
      <c r="I257" s="15">
        <v>1353</v>
      </c>
      <c r="J257" s="331">
        <v>0.91722099039172211</v>
      </c>
      <c r="K257" s="427">
        <v>0.91760797566439967</v>
      </c>
      <c r="L257" s="434">
        <v>0.55828656799999998</v>
      </c>
      <c r="M257" s="14">
        <f>Lisäosat[[#This Row],[HYTE-kerroin (sis. Kulttuurihyte)]]*Lisäosat[[#This Row],[Asukasmäärä 31.12.2023]]</f>
        <v>2082.967185208</v>
      </c>
      <c r="N257" s="427">
        <f>Lisäosat[[#This Row],[HYTE-kerroin (sis. Kulttuurihyte)]]/$N$7</f>
        <v>0.82661889928868348</v>
      </c>
      <c r="O257" s="439">
        <v>0</v>
      </c>
      <c r="P257" s="197">
        <v>1245470.9154614999</v>
      </c>
      <c r="Q257" s="159">
        <v>0</v>
      </c>
      <c r="R257" s="159">
        <v>46252.773275824351</v>
      </c>
      <c r="S257" s="159">
        <v>61404.731904729415</v>
      </c>
      <c r="T257" s="159">
        <v>0</v>
      </c>
      <c r="U257" s="309">
        <f t="shared" si="4"/>
        <v>1353128.4206420537</v>
      </c>
      <c r="V257" s="44"/>
      <c r="W257" s="44"/>
      <c r="X257" s="110"/>
      <c r="Y257" s="110"/>
      <c r="Z257" s="111"/>
    </row>
    <row r="258" spans="1:26" s="45" customFormat="1">
      <c r="A258" s="127">
        <v>833</v>
      </c>
      <c r="B258" s="124" t="s">
        <v>263</v>
      </c>
      <c r="C258" s="408">
        <v>1705</v>
      </c>
      <c r="D258" s="412">
        <v>0.48993333333333333</v>
      </c>
      <c r="E258" s="420">
        <v>0</v>
      </c>
      <c r="F258" s="155">
        <v>0</v>
      </c>
      <c r="G258" s="419">
        <v>0</v>
      </c>
      <c r="H258" s="269">
        <v>478</v>
      </c>
      <c r="I258" s="15">
        <v>646</v>
      </c>
      <c r="J258" s="331">
        <v>0.73993808049535603</v>
      </c>
      <c r="K258" s="427">
        <v>0.74025026822638773</v>
      </c>
      <c r="L258" s="434">
        <v>0.40994544900000002</v>
      </c>
      <c r="M258" s="14">
        <f>Lisäosat[[#This Row],[HYTE-kerroin (sis. Kulttuurihyte)]]*Lisäosat[[#This Row],[Asukasmäärä 31.12.2023]]</f>
        <v>698.95699054500005</v>
      </c>
      <c r="N258" s="427">
        <f>Lisäosat[[#This Row],[HYTE-kerroin (sis. Kulttuurihyte)]]/$N$7</f>
        <v>0.60697977569968176</v>
      </c>
      <c r="O258" s="439">
        <v>0.91590917562349716</v>
      </c>
      <c r="P258" s="197">
        <v>53904.25359</v>
      </c>
      <c r="Q258" s="159">
        <v>0</v>
      </c>
      <c r="R258" s="159">
        <v>17051.331815974139</v>
      </c>
      <c r="S258" s="159">
        <v>20604.869304778033</v>
      </c>
      <c r="T258" s="159">
        <v>16490.761525265945</v>
      </c>
      <c r="U258" s="309">
        <f t="shared" si="4"/>
        <v>108051.21623601812</v>
      </c>
      <c r="V258" s="44"/>
      <c r="W258" s="44"/>
      <c r="X258" s="110"/>
      <c r="Y258" s="110"/>
      <c r="Z258" s="111"/>
    </row>
    <row r="259" spans="1:26" s="45" customFormat="1">
      <c r="A259" s="127">
        <v>834</v>
      </c>
      <c r="B259" s="124" t="s">
        <v>264</v>
      </c>
      <c r="C259" s="408">
        <v>5844</v>
      </c>
      <c r="D259" s="412">
        <v>0</v>
      </c>
      <c r="E259" s="420">
        <v>0</v>
      </c>
      <c r="F259" s="155">
        <v>0</v>
      </c>
      <c r="G259" s="419">
        <v>0</v>
      </c>
      <c r="H259" s="269">
        <v>1714</v>
      </c>
      <c r="I259" s="15">
        <v>2488</v>
      </c>
      <c r="J259" s="331">
        <v>0.68890675241157562</v>
      </c>
      <c r="K259" s="427">
        <v>0.68919740948356167</v>
      </c>
      <c r="L259" s="434">
        <v>0.56935206000000005</v>
      </c>
      <c r="M259" s="14">
        <f>Lisäosat[[#This Row],[HYTE-kerroin (sis. Kulttuurihyte)]]*Lisäosat[[#This Row],[Asukasmäärä 31.12.2023]]</f>
        <v>3327.2934386400002</v>
      </c>
      <c r="N259" s="427">
        <f>Lisäosat[[#This Row],[HYTE-kerroin (sis. Kulttuurihyte)]]/$N$7</f>
        <v>0.84300285932178209</v>
      </c>
      <c r="O259" s="439">
        <v>0</v>
      </c>
      <c r="P259" s="197">
        <v>0</v>
      </c>
      <c r="Q259" s="159">
        <v>0</v>
      </c>
      <c r="R259" s="159">
        <v>54413.817120406333</v>
      </c>
      <c r="S259" s="159">
        <v>98086.788413640999</v>
      </c>
      <c r="T259" s="159">
        <v>0</v>
      </c>
      <c r="U259" s="309">
        <f t="shared" si="4"/>
        <v>152500.60553404732</v>
      </c>
      <c r="V259" s="44"/>
      <c r="W259" s="44"/>
      <c r="X259" s="110"/>
      <c r="Y259" s="110"/>
      <c r="Z259" s="111"/>
    </row>
    <row r="260" spans="1:26" s="45" customFormat="1">
      <c r="A260" s="127">
        <v>837</v>
      </c>
      <c r="B260" s="124" t="s">
        <v>265</v>
      </c>
      <c r="C260" s="408">
        <v>255050</v>
      </c>
      <c r="D260" s="412">
        <v>0</v>
      </c>
      <c r="E260" s="420">
        <v>0</v>
      </c>
      <c r="F260" s="155">
        <v>17</v>
      </c>
      <c r="G260" s="419">
        <v>6.6653597333856112E-5</v>
      </c>
      <c r="H260" s="269">
        <v>136760</v>
      </c>
      <c r="I260" s="15">
        <v>115260</v>
      </c>
      <c r="J260" s="331">
        <v>1.1865347909075135</v>
      </c>
      <c r="K260" s="427">
        <v>1.1870354025315504</v>
      </c>
      <c r="L260" s="434">
        <v>0.75769355199999999</v>
      </c>
      <c r="M260" s="14">
        <f>Lisäosat[[#This Row],[HYTE-kerroin (sis. Kulttuurihyte)]]*Lisäosat[[#This Row],[Asukasmäärä 31.12.2023]]</f>
        <v>193249.7404376</v>
      </c>
      <c r="N260" s="427">
        <f>Lisäosat[[#This Row],[HYTE-kerroin (sis. Kulttuurihyte)]]/$N$7</f>
        <v>1.121867954294707</v>
      </c>
      <c r="O260" s="439">
        <v>1.906420424877971</v>
      </c>
      <c r="P260" s="197">
        <v>0</v>
      </c>
      <c r="Q260" s="159">
        <v>0</v>
      </c>
      <c r="R260" s="159">
        <v>4090198.1559057278</v>
      </c>
      <c r="S260" s="159">
        <v>5696896.5169004425</v>
      </c>
      <c r="T260" s="159">
        <v>5134615.510095736</v>
      </c>
      <c r="U260" s="309">
        <f t="shared" si="4"/>
        <v>14921710.182901906</v>
      </c>
      <c r="V260" s="44"/>
      <c r="W260" s="44"/>
      <c r="X260" s="110"/>
      <c r="Y260" s="110"/>
      <c r="Z260" s="111"/>
    </row>
    <row r="261" spans="1:26" s="45" customFormat="1">
      <c r="A261" s="127">
        <v>844</v>
      </c>
      <c r="B261" s="124" t="s">
        <v>266</v>
      </c>
      <c r="C261" s="408">
        <v>1412</v>
      </c>
      <c r="D261" s="412">
        <v>1.4789666666666665</v>
      </c>
      <c r="E261" s="420">
        <v>0</v>
      </c>
      <c r="F261" s="155">
        <v>0</v>
      </c>
      <c r="G261" s="419">
        <v>0</v>
      </c>
      <c r="H261" s="269">
        <v>347</v>
      </c>
      <c r="I261" s="15">
        <v>488</v>
      </c>
      <c r="J261" s="331">
        <v>0.71106557377049184</v>
      </c>
      <c r="K261" s="427">
        <v>0.71136557988443794</v>
      </c>
      <c r="L261" s="434">
        <v>0.52186290700000004</v>
      </c>
      <c r="M261" s="14">
        <f>Lisäosat[[#This Row],[HYTE-kerroin (sis. Kulttuurihyte)]]*Lisäosat[[#This Row],[Asukasmäärä 31.12.2023]]</f>
        <v>736.87042468400011</v>
      </c>
      <c r="N261" s="427">
        <f>Lisäosat[[#This Row],[HYTE-kerroin (sis. Kulttuurihyte)]]/$N$7</f>
        <v>0.77268873458537635</v>
      </c>
      <c r="O261" s="439">
        <v>0</v>
      </c>
      <c r="P261" s="197">
        <v>202137.08884199994</v>
      </c>
      <c r="Q261" s="159">
        <v>0</v>
      </c>
      <c r="R261" s="159">
        <v>13570.095165745124</v>
      </c>
      <c r="S261" s="159">
        <v>21722.536580299919</v>
      </c>
      <c r="T261" s="159">
        <v>0</v>
      </c>
      <c r="U261" s="309">
        <f t="shared" si="4"/>
        <v>237429.72058804499</v>
      </c>
      <c r="V261" s="44"/>
      <c r="W261" s="44"/>
      <c r="X261" s="110"/>
      <c r="Y261" s="110"/>
      <c r="Z261" s="111"/>
    </row>
    <row r="262" spans="1:26" s="45" customFormat="1">
      <c r="A262" s="127">
        <v>845</v>
      </c>
      <c r="B262" s="124" t="s">
        <v>267</v>
      </c>
      <c r="C262" s="408">
        <v>2831</v>
      </c>
      <c r="D262" s="412">
        <v>1.3779666666666666</v>
      </c>
      <c r="E262" s="420">
        <v>0</v>
      </c>
      <c r="F262" s="155">
        <v>1</v>
      </c>
      <c r="G262" s="419">
        <v>3.5323207347227127E-4</v>
      </c>
      <c r="H262" s="269">
        <v>1005</v>
      </c>
      <c r="I262" s="15">
        <v>1079</v>
      </c>
      <c r="J262" s="331">
        <v>0.93141797961075068</v>
      </c>
      <c r="K262" s="427">
        <v>0.93181095474388909</v>
      </c>
      <c r="L262" s="434">
        <v>0.475365702</v>
      </c>
      <c r="M262" s="14">
        <f>Lisäosat[[#This Row],[HYTE-kerroin (sis. Kulttuurihyte)]]*Lisäosat[[#This Row],[Asukasmäärä 31.12.2023]]</f>
        <v>1345.7603023619999</v>
      </c>
      <c r="N262" s="427">
        <f>Lisäosat[[#This Row],[HYTE-kerroin (sis. Kulttuurihyte)]]/$N$7</f>
        <v>0.7038433232497765</v>
      </c>
      <c r="O262" s="439">
        <v>0</v>
      </c>
      <c r="P262" s="197">
        <v>377599.58258849999</v>
      </c>
      <c r="Q262" s="159">
        <v>0</v>
      </c>
      <c r="R262" s="159">
        <v>35638.796542008124</v>
      </c>
      <c r="S262" s="159">
        <v>39672.27672207154</v>
      </c>
      <c r="T262" s="159">
        <v>0</v>
      </c>
      <c r="U262" s="309">
        <f t="shared" si="4"/>
        <v>452910.65585257963</v>
      </c>
      <c r="V262" s="44"/>
      <c r="W262" s="44"/>
      <c r="X262" s="110"/>
      <c r="Y262" s="110"/>
      <c r="Z262" s="111"/>
    </row>
    <row r="263" spans="1:26" s="45" customFormat="1">
      <c r="A263" s="127">
        <v>846</v>
      </c>
      <c r="B263" s="124" t="s">
        <v>268</v>
      </c>
      <c r="C263" s="408">
        <v>4758</v>
      </c>
      <c r="D263" s="412">
        <v>0.17711666666666667</v>
      </c>
      <c r="E263" s="420">
        <v>0</v>
      </c>
      <c r="F263" s="155">
        <v>0</v>
      </c>
      <c r="G263" s="419">
        <v>0</v>
      </c>
      <c r="H263" s="269">
        <v>1531</v>
      </c>
      <c r="I263" s="15">
        <v>1755</v>
      </c>
      <c r="J263" s="331">
        <v>0.87236467236467241</v>
      </c>
      <c r="K263" s="427">
        <v>0.87273273228059867</v>
      </c>
      <c r="L263" s="434">
        <v>0.68398648900000003</v>
      </c>
      <c r="M263" s="14">
        <f>Lisäosat[[#This Row],[HYTE-kerroin (sis. Kulttuurihyte)]]*Lisäosat[[#This Row],[Asukasmäärä 31.12.2023]]</f>
        <v>3254.4077146620002</v>
      </c>
      <c r="N263" s="427">
        <f>Lisäosat[[#This Row],[HYTE-kerroin (sis. Kulttuurihyte)]]/$N$7</f>
        <v>1.0127346618618831</v>
      </c>
      <c r="O263" s="439">
        <v>0</v>
      </c>
      <c r="P263" s="197">
        <v>54380.792583000002</v>
      </c>
      <c r="Q263" s="159">
        <v>0</v>
      </c>
      <c r="R263" s="159">
        <v>56099.766215981603</v>
      </c>
      <c r="S263" s="159">
        <v>95938.157185874312</v>
      </c>
      <c r="T263" s="159">
        <v>0</v>
      </c>
      <c r="U263" s="309">
        <f t="shared" si="4"/>
        <v>206418.71598485589</v>
      </c>
      <c r="V263" s="44"/>
      <c r="W263" s="44"/>
      <c r="X263" s="110"/>
      <c r="Y263" s="110"/>
      <c r="Z263" s="111"/>
    </row>
    <row r="264" spans="1:26" s="45" customFormat="1">
      <c r="A264" s="127">
        <v>848</v>
      </c>
      <c r="B264" s="124" t="s">
        <v>269</v>
      </c>
      <c r="C264" s="408">
        <v>4066</v>
      </c>
      <c r="D264" s="412">
        <v>0.92721666666666658</v>
      </c>
      <c r="E264" s="420">
        <v>0</v>
      </c>
      <c r="F264" s="155">
        <v>1</v>
      </c>
      <c r="G264" s="419">
        <v>2.4594195769798326E-4</v>
      </c>
      <c r="H264" s="269">
        <v>1213</v>
      </c>
      <c r="I264" s="15">
        <v>1435</v>
      </c>
      <c r="J264" s="331">
        <v>0.84529616724738676</v>
      </c>
      <c r="K264" s="427">
        <v>0.84565280667365617</v>
      </c>
      <c r="L264" s="434">
        <v>0.50919448899999997</v>
      </c>
      <c r="M264" s="14">
        <f>Lisäosat[[#This Row],[HYTE-kerroin (sis. Kulttuurihyte)]]*Lisäosat[[#This Row],[Asukasmäärä 31.12.2023]]</f>
        <v>2070.3847922739997</v>
      </c>
      <c r="N264" s="427">
        <f>Lisäosat[[#This Row],[HYTE-kerroin (sis. Kulttuurihyte)]]/$N$7</f>
        <v>0.75393142544859437</v>
      </c>
      <c r="O264" s="439">
        <v>0</v>
      </c>
      <c r="P264" s="197">
        <v>243282.16323899999</v>
      </c>
      <c r="Q264" s="159">
        <v>0</v>
      </c>
      <c r="R264" s="159">
        <v>46453.112454243012</v>
      </c>
      <c r="S264" s="159">
        <v>61033.809851651036</v>
      </c>
      <c r="T264" s="159">
        <v>0</v>
      </c>
      <c r="U264" s="309">
        <f t="shared" ref="U264:U299" si="5">SUM(P264:T264)</f>
        <v>350769.08554489404</v>
      </c>
      <c r="V264" s="44"/>
      <c r="W264" s="44"/>
      <c r="X264" s="110"/>
      <c r="Y264" s="110"/>
      <c r="Z264" s="111"/>
    </row>
    <row r="265" spans="1:26" s="45" customFormat="1">
      <c r="A265" s="127">
        <v>849</v>
      </c>
      <c r="B265" s="124" t="s">
        <v>270</v>
      </c>
      <c r="C265" s="408">
        <v>2849</v>
      </c>
      <c r="D265" s="412">
        <v>0.86536666666666673</v>
      </c>
      <c r="E265" s="420">
        <v>0</v>
      </c>
      <c r="F265" s="155">
        <v>0</v>
      </c>
      <c r="G265" s="419">
        <v>0</v>
      </c>
      <c r="H265" s="269">
        <v>981</v>
      </c>
      <c r="I265" s="15">
        <v>1086</v>
      </c>
      <c r="J265" s="331">
        <v>0.90331491712707179</v>
      </c>
      <c r="K265" s="427">
        <v>0.90369603527981801</v>
      </c>
      <c r="L265" s="434">
        <v>0.55996321500000001</v>
      </c>
      <c r="M265" s="14">
        <f>Lisäosat[[#This Row],[HYTE-kerroin (sis. Kulttuurihyte)]]*Lisäosat[[#This Row],[Asukasmäärä 31.12.2023]]</f>
        <v>1595.3351995350001</v>
      </c>
      <c r="N265" s="427">
        <f>Lisäosat[[#This Row],[HYTE-kerroin (sis. Kulttuurihyte)]]/$N$7</f>
        <v>0.82910140232041629</v>
      </c>
      <c r="O265" s="439">
        <v>0</v>
      </c>
      <c r="P265" s="197">
        <v>159094.17423900001</v>
      </c>
      <c r="Q265" s="159">
        <v>0</v>
      </c>
      <c r="R265" s="159">
        <v>34783.251360959846</v>
      </c>
      <c r="S265" s="159">
        <v>47029.608013648343</v>
      </c>
      <c r="T265" s="159">
        <v>0</v>
      </c>
      <c r="U265" s="309">
        <f t="shared" si="5"/>
        <v>240907.03361360819</v>
      </c>
      <c r="V265" s="44"/>
      <c r="W265" s="44"/>
      <c r="X265" s="110"/>
      <c r="Y265" s="110"/>
      <c r="Z265" s="111"/>
    </row>
    <row r="266" spans="1:26" s="45" customFormat="1">
      <c r="A266" s="127">
        <v>850</v>
      </c>
      <c r="B266" s="124" t="s">
        <v>271</v>
      </c>
      <c r="C266" s="408">
        <v>2368</v>
      </c>
      <c r="D266" s="412">
        <v>0.21193333333333333</v>
      </c>
      <c r="E266" s="420">
        <v>0</v>
      </c>
      <c r="F266" s="155">
        <v>0</v>
      </c>
      <c r="G266" s="419">
        <v>0</v>
      </c>
      <c r="H266" s="269">
        <v>573</v>
      </c>
      <c r="I266" s="15">
        <v>930</v>
      </c>
      <c r="J266" s="331">
        <v>0.61612903225806448</v>
      </c>
      <c r="K266" s="427">
        <v>0.61638898363734018</v>
      </c>
      <c r="L266" s="434">
        <v>0.42374601899999997</v>
      </c>
      <c r="M266" s="14">
        <f>Lisäosat[[#This Row],[HYTE-kerroin (sis. Kulttuurihyte)]]*Lisäosat[[#This Row],[Asukasmäärä 31.12.2023]]</f>
        <v>1003.430572992</v>
      </c>
      <c r="N266" s="427">
        <f>Lisäosat[[#This Row],[HYTE-kerroin (sis. Kulttuurihyte)]]/$N$7</f>
        <v>0.6274133892537811</v>
      </c>
      <c r="O266" s="439">
        <v>0</v>
      </c>
      <c r="P266" s="197">
        <v>32384.905344000003</v>
      </c>
      <c r="Q266" s="159">
        <v>0</v>
      </c>
      <c r="R266" s="159">
        <v>19719.319120051023</v>
      </c>
      <c r="S266" s="159">
        <v>29580.583773541308</v>
      </c>
      <c r="T266" s="159">
        <v>0</v>
      </c>
      <c r="U266" s="309">
        <f t="shared" si="5"/>
        <v>81684.80823759234</v>
      </c>
      <c r="V266" s="44"/>
      <c r="W266" s="44"/>
      <c r="X266" s="110"/>
      <c r="Y266" s="110"/>
      <c r="Z266" s="111"/>
    </row>
    <row r="267" spans="1:26" s="45" customFormat="1">
      <c r="A267" s="127">
        <v>851</v>
      </c>
      <c r="B267" s="124" t="s">
        <v>272</v>
      </c>
      <c r="C267" s="408">
        <v>21018</v>
      </c>
      <c r="D267" s="412">
        <v>0.14405000000000001</v>
      </c>
      <c r="E267" s="420">
        <v>0</v>
      </c>
      <c r="F267" s="155">
        <v>12</v>
      </c>
      <c r="G267" s="419">
        <v>5.7093919497573512E-4</v>
      </c>
      <c r="H267" s="269">
        <v>8853</v>
      </c>
      <c r="I267" s="15">
        <v>8661</v>
      </c>
      <c r="J267" s="331">
        <v>1.0221683408382405</v>
      </c>
      <c r="K267" s="427">
        <v>1.0225996045121484</v>
      </c>
      <c r="L267" s="434">
        <v>0.54720856600000001</v>
      </c>
      <c r="M267" s="14">
        <f>Lisäosat[[#This Row],[HYTE-kerroin (sis. Kulttuurihyte)]]*Lisäosat[[#This Row],[Asukasmäärä 31.12.2023]]</f>
        <v>11501.229640187999</v>
      </c>
      <c r="N267" s="427">
        <f>Lisäosat[[#This Row],[HYTE-kerroin (sis. Kulttuurihyte)]]/$N$7</f>
        <v>0.81021641650575926</v>
      </c>
      <c r="O267" s="439">
        <v>0</v>
      </c>
      <c r="P267" s="197">
        <v>195373.79633700004</v>
      </c>
      <c r="Q267" s="159">
        <v>0</v>
      </c>
      <c r="R267" s="159">
        <v>290370.40956796688</v>
      </c>
      <c r="S267" s="159">
        <v>339049.95126457035</v>
      </c>
      <c r="T267" s="159">
        <v>0</v>
      </c>
      <c r="U267" s="309">
        <f t="shared" si="5"/>
        <v>824794.15716953727</v>
      </c>
      <c r="V267" s="44"/>
      <c r="W267" s="44"/>
      <c r="X267" s="110"/>
      <c r="Y267" s="110"/>
      <c r="Z267" s="111"/>
    </row>
    <row r="268" spans="1:26" s="45" customFormat="1">
      <c r="A268" s="127">
        <v>853</v>
      </c>
      <c r="B268" s="124" t="s">
        <v>273</v>
      </c>
      <c r="C268" s="408">
        <v>201863</v>
      </c>
      <c r="D268" s="412">
        <v>0</v>
      </c>
      <c r="E268" s="420">
        <v>0</v>
      </c>
      <c r="F268" s="155">
        <v>12</v>
      </c>
      <c r="G268" s="419">
        <v>5.9446258105744988E-5</v>
      </c>
      <c r="H268" s="269">
        <v>107904</v>
      </c>
      <c r="I268" s="15">
        <v>88595</v>
      </c>
      <c r="J268" s="331">
        <v>1.217946836728935</v>
      </c>
      <c r="K268" s="427">
        <v>1.2184607014285611</v>
      </c>
      <c r="L268" s="434">
        <v>0.68591351300000003</v>
      </c>
      <c r="M268" s="14">
        <f>Lisäosat[[#This Row],[HYTE-kerroin (sis. Kulttuurihyte)]]*Lisäosat[[#This Row],[Asukasmäärä 31.12.2023]]</f>
        <v>138460.55947471902</v>
      </c>
      <c r="N268" s="427">
        <f>Lisäosat[[#This Row],[HYTE-kerroin (sis. Kulttuurihyte)]]/$N$7</f>
        <v>1.015587881962609</v>
      </c>
      <c r="O268" s="439">
        <v>1.2674058159450219</v>
      </c>
      <c r="P268" s="197">
        <v>0</v>
      </c>
      <c r="Q268" s="159">
        <v>0</v>
      </c>
      <c r="R268" s="159">
        <v>3322948.411054119</v>
      </c>
      <c r="S268" s="159">
        <v>4081741.4668368669</v>
      </c>
      <c r="T268" s="159">
        <v>2701695.1127666011</v>
      </c>
      <c r="U268" s="309">
        <f t="shared" si="5"/>
        <v>10106384.990657587</v>
      </c>
      <c r="V268" s="44"/>
      <c r="W268" s="44"/>
      <c r="X268" s="110"/>
      <c r="Y268" s="110"/>
      <c r="Z268" s="111"/>
    </row>
    <row r="269" spans="1:26" s="45" customFormat="1">
      <c r="A269" s="127">
        <v>854</v>
      </c>
      <c r="B269" s="124" t="s">
        <v>274</v>
      </c>
      <c r="C269" s="408">
        <v>3253</v>
      </c>
      <c r="D269" s="412">
        <v>1.7608999999999999</v>
      </c>
      <c r="E269" s="420">
        <v>0</v>
      </c>
      <c r="F269" s="155">
        <v>1</v>
      </c>
      <c r="G269" s="419">
        <v>3.074085459575776E-4</v>
      </c>
      <c r="H269" s="269">
        <v>1078</v>
      </c>
      <c r="I269" s="15">
        <v>1084</v>
      </c>
      <c r="J269" s="331">
        <v>0.99446494464944646</v>
      </c>
      <c r="K269" s="427">
        <v>0.99488451996641469</v>
      </c>
      <c r="L269" s="434">
        <v>0.46858428099999999</v>
      </c>
      <c r="M269" s="14">
        <f>Lisäosat[[#This Row],[HYTE-kerroin (sis. Kulttuurihyte)]]*Lisäosat[[#This Row],[Asukasmäärä 31.12.2023]]</f>
        <v>1524.3046660929999</v>
      </c>
      <c r="N269" s="427">
        <f>Lisäosat[[#This Row],[HYTE-kerroin (sis. Kulttuurihyte)]]/$N$7</f>
        <v>0.69380251072814481</v>
      </c>
      <c r="O269" s="439">
        <v>0</v>
      </c>
      <c r="P269" s="197">
        <v>1108923.7286429999</v>
      </c>
      <c r="Q269" s="159">
        <v>0</v>
      </c>
      <c r="R269" s="159">
        <v>43723.214730019594</v>
      </c>
      <c r="S269" s="159">
        <v>44935.666786907226</v>
      </c>
      <c r="T269" s="159">
        <v>0</v>
      </c>
      <c r="U269" s="309">
        <f t="shared" si="5"/>
        <v>1197582.6101599268</v>
      </c>
      <c r="V269" s="44"/>
      <c r="W269" s="44"/>
      <c r="X269" s="110"/>
      <c r="Y269" s="110"/>
      <c r="Z269" s="111"/>
    </row>
    <row r="270" spans="1:26" s="45" customFormat="1">
      <c r="A270" s="127">
        <v>857</v>
      </c>
      <c r="B270" s="124" t="s">
        <v>275</v>
      </c>
      <c r="C270" s="408">
        <v>2313</v>
      </c>
      <c r="D270" s="412">
        <v>1.1848333333333332</v>
      </c>
      <c r="E270" s="420">
        <v>0</v>
      </c>
      <c r="F270" s="155">
        <v>1</v>
      </c>
      <c r="G270" s="419">
        <v>4.3233895373973193E-4</v>
      </c>
      <c r="H270" s="269">
        <v>621</v>
      </c>
      <c r="I270" s="15">
        <v>765</v>
      </c>
      <c r="J270" s="331">
        <v>0.81176470588235294</v>
      </c>
      <c r="K270" s="427">
        <v>0.81210719802911657</v>
      </c>
      <c r="L270" s="434">
        <v>0.603223277</v>
      </c>
      <c r="M270" s="14">
        <f>Lisäosat[[#This Row],[HYTE-kerroin (sis. Kulttuurihyte)]]*Lisäosat[[#This Row],[Asukasmäärä 31.12.2023]]</f>
        <v>1395.2554397010001</v>
      </c>
      <c r="N270" s="427">
        <f>Lisäosat[[#This Row],[HYTE-kerroin (sis. Kulttuurihyte)]]/$N$7</f>
        <v>0.89315378488391761</v>
      </c>
      <c r="O270" s="439">
        <v>0</v>
      </c>
      <c r="P270" s="197">
        <v>265268.58500249992</v>
      </c>
      <c r="Q270" s="159">
        <v>0</v>
      </c>
      <c r="R270" s="159">
        <v>25377.237351548592</v>
      </c>
      <c r="S270" s="159">
        <v>41131.366265330747</v>
      </c>
      <c r="T270" s="159">
        <v>0</v>
      </c>
      <c r="U270" s="309">
        <f t="shared" si="5"/>
        <v>331777.18861937925</v>
      </c>
      <c r="V270" s="44"/>
      <c r="W270" s="44"/>
      <c r="X270" s="110"/>
      <c r="Y270" s="110"/>
      <c r="Z270" s="111"/>
    </row>
    <row r="271" spans="1:26" s="45" customFormat="1">
      <c r="A271" s="127">
        <v>858</v>
      </c>
      <c r="B271" s="124" t="s">
        <v>276</v>
      </c>
      <c r="C271" s="408">
        <v>41338</v>
      </c>
      <c r="D271" s="412">
        <v>0</v>
      </c>
      <c r="E271" s="420">
        <v>0</v>
      </c>
      <c r="F271" s="155">
        <v>1</v>
      </c>
      <c r="G271" s="419">
        <v>2.4190817165803862E-5</v>
      </c>
      <c r="H271" s="269">
        <v>14123</v>
      </c>
      <c r="I271" s="15">
        <v>19634</v>
      </c>
      <c r="J271" s="331">
        <v>0.71931343587654073</v>
      </c>
      <c r="K271" s="427">
        <v>0.71961692185106518</v>
      </c>
      <c r="L271" s="434">
        <v>0.72145382999999996</v>
      </c>
      <c r="M271" s="14">
        <f>Lisäosat[[#This Row],[HYTE-kerroin (sis. Kulttuurihyte)]]*Lisäosat[[#This Row],[Asukasmäärä 31.12.2023]]</f>
        <v>29823.45842454</v>
      </c>
      <c r="N271" s="427">
        <f>Lisäosat[[#This Row],[HYTE-kerroin (sis. Kulttuurihyte)]]/$N$7</f>
        <v>1.0682101362005274</v>
      </c>
      <c r="O271" s="439">
        <v>2.1499978061783795</v>
      </c>
      <c r="P271" s="197">
        <v>0</v>
      </c>
      <c r="Q271" s="159">
        <v>0</v>
      </c>
      <c r="R271" s="159">
        <v>401889.05350212578</v>
      </c>
      <c r="S271" s="159">
        <v>879179.22185022489</v>
      </c>
      <c r="T271" s="159">
        <v>938536.99433262751</v>
      </c>
      <c r="U271" s="309">
        <f t="shared" si="5"/>
        <v>2219605.2696849783</v>
      </c>
      <c r="V271" s="44"/>
      <c r="W271" s="44"/>
      <c r="X271" s="110"/>
      <c r="Y271" s="110"/>
      <c r="Z271" s="111"/>
    </row>
    <row r="272" spans="1:26" s="45" customFormat="1">
      <c r="A272" s="127">
        <v>859</v>
      </c>
      <c r="B272" s="124" t="s">
        <v>277</v>
      </c>
      <c r="C272" s="408">
        <v>6525</v>
      </c>
      <c r="D272" s="412">
        <v>0</v>
      </c>
      <c r="E272" s="420">
        <v>0</v>
      </c>
      <c r="F272" s="155">
        <v>1</v>
      </c>
      <c r="G272" s="419">
        <v>1.5325670498084291E-4</v>
      </c>
      <c r="H272" s="269">
        <v>1420</v>
      </c>
      <c r="I272" s="15">
        <v>2611</v>
      </c>
      <c r="J272" s="331">
        <v>0.54385292991191114</v>
      </c>
      <c r="K272" s="427">
        <v>0.54408238723635438</v>
      </c>
      <c r="L272" s="434">
        <v>0.59977618700000002</v>
      </c>
      <c r="M272" s="14">
        <f>Lisäosat[[#This Row],[HYTE-kerroin (sis. Kulttuurihyte)]]*Lisäosat[[#This Row],[Asukasmäärä 31.12.2023]]</f>
        <v>3913.539620175</v>
      </c>
      <c r="N272" s="427">
        <f>Lisäosat[[#This Row],[HYTE-kerroin (sis. Kulttuurihyte)]]/$N$7</f>
        <v>0.88804990113518834</v>
      </c>
      <c r="O272" s="439">
        <v>0</v>
      </c>
      <c r="P272" s="197">
        <v>0</v>
      </c>
      <c r="Q272" s="159">
        <v>0</v>
      </c>
      <c r="R272" s="159">
        <v>47962.358661449536</v>
      </c>
      <c r="S272" s="159">
        <v>115369.00479370044</v>
      </c>
      <c r="T272" s="159">
        <v>0</v>
      </c>
      <c r="U272" s="309">
        <f t="shared" si="5"/>
        <v>163331.36345514999</v>
      </c>
      <c r="V272" s="44"/>
      <c r="W272" s="44"/>
      <c r="X272" s="110"/>
      <c r="Y272" s="110"/>
      <c r="Z272" s="111"/>
    </row>
    <row r="273" spans="1:26" s="45" customFormat="1">
      <c r="A273" s="127">
        <v>886</v>
      </c>
      <c r="B273" s="124" t="s">
        <v>278</v>
      </c>
      <c r="C273" s="408">
        <v>12533</v>
      </c>
      <c r="D273" s="412">
        <v>0</v>
      </c>
      <c r="E273" s="420">
        <v>0</v>
      </c>
      <c r="F273" s="155">
        <v>1</v>
      </c>
      <c r="G273" s="419">
        <v>7.9789356099896279E-5</v>
      </c>
      <c r="H273" s="269">
        <v>3868</v>
      </c>
      <c r="I273" s="15">
        <v>5262</v>
      </c>
      <c r="J273" s="331">
        <v>0.73508171797795518</v>
      </c>
      <c r="K273" s="427">
        <v>0.73539185675808771</v>
      </c>
      <c r="L273" s="434">
        <v>0.64822036500000002</v>
      </c>
      <c r="M273" s="14">
        <f>Lisäosat[[#This Row],[HYTE-kerroin (sis. Kulttuurihyte)]]*Lisäosat[[#This Row],[Asukasmäärä 31.12.2023]]</f>
        <v>8124.1458345450001</v>
      </c>
      <c r="N273" s="427">
        <f>Lisäosat[[#This Row],[HYTE-kerroin (sis. Kulttuurihyte)]]/$N$7</f>
        <v>0.95977806976865809</v>
      </c>
      <c r="O273" s="439">
        <v>0</v>
      </c>
      <c r="P273" s="197">
        <v>0</v>
      </c>
      <c r="Q273" s="159">
        <v>0</v>
      </c>
      <c r="R273" s="159">
        <v>124517.15956152053</v>
      </c>
      <c r="S273" s="159">
        <v>239495.37009885491</v>
      </c>
      <c r="T273" s="159">
        <v>0</v>
      </c>
      <c r="U273" s="309">
        <f t="shared" si="5"/>
        <v>364012.52966037544</v>
      </c>
      <c r="V273" s="44"/>
      <c r="W273" s="44"/>
      <c r="X273" s="110"/>
      <c r="Y273" s="110"/>
      <c r="Z273" s="111"/>
    </row>
    <row r="274" spans="1:26" s="45" customFormat="1">
      <c r="A274" s="127">
        <v>887</v>
      </c>
      <c r="B274" s="124" t="s">
        <v>279</v>
      </c>
      <c r="C274" s="408">
        <v>4568</v>
      </c>
      <c r="D274" s="412">
        <v>0</v>
      </c>
      <c r="E274" s="420">
        <v>0</v>
      </c>
      <c r="F274" s="155">
        <v>0</v>
      </c>
      <c r="G274" s="419">
        <v>0</v>
      </c>
      <c r="H274" s="269">
        <v>1341</v>
      </c>
      <c r="I274" s="15">
        <v>1711</v>
      </c>
      <c r="J274" s="331">
        <v>0.78375219170075983</v>
      </c>
      <c r="K274" s="427">
        <v>0.78408286507042124</v>
      </c>
      <c r="L274" s="434">
        <v>0.60027102300000001</v>
      </c>
      <c r="M274" s="14">
        <f>Lisäosat[[#This Row],[HYTE-kerroin (sis. Kulttuurihyte)]]*Lisäosat[[#This Row],[Asukasmäärä 31.12.2023]]</f>
        <v>2742.038033064</v>
      </c>
      <c r="N274" s="427">
        <f>Lisäosat[[#This Row],[HYTE-kerroin (sis. Kulttuurihyte)]]/$N$7</f>
        <v>0.8887825728724178</v>
      </c>
      <c r="O274" s="439">
        <v>0</v>
      </c>
      <c r="P274" s="197">
        <v>0</v>
      </c>
      <c r="Q274" s="159">
        <v>0</v>
      </c>
      <c r="R274" s="159">
        <v>48388.639028439153</v>
      </c>
      <c r="S274" s="159">
        <v>80833.779566264784</v>
      </c>
      <c r="T274" s="159">
        <v>0</v>
      </c>
      <c r="U274" s="309">
        <f t="shared" si="5"/>
        <v>129222.41859470394</v>
      </c>
      <c r="V274" s="44"/>
      <c r="W274" s="44"/>
      <c r="X274" s="110"/>
      <c r="Y274" s="110"/>
      <c r="Z274" s="111"/>
    </row>
    <row r="275" spans="1:26" s="45" customFormat="1">
      <c r="A275" s="127">
        <v>889</v>
      </c>
      <c r="B275" s="124" t="s">
        <v>280</v>
      </c>
      <c r="C275" s="408">
        <v>2491</v>
      </c>
      <c r="D275" s="412">
        <v>1.3616333333333333</v>
      </c>
      <c r="E275" s="420">
        <v>0</v>
      </c>
      <c r="F275" s="155">
        <v>0</v>
      </c>
      <c r="G275" s="419">
        <v>0</v>
      </c>
      <c r="H275" s="269">
        <v>754</v>
      </c>
      <c r="I275" s="15">
        <v>889</v>
      </c>
      <c r="J275" s="331">
        <v>0.84814398200224972</v>
      </c>
      <c r="K275" s="427">
        <v>0.84850182295179544</v>
      </c>
      <c r="L275" s="434">
        <v>0.626263919</v>
      </c>
      <c r="M275" s="14">
        <f>Lisäosat[[#This Row],[HYTE-kerroin (sis. Kulttuurihyte)]]*Lisäosat[[#This Row],[Asukasmäärä 31.12.2023]]</f>
        <v>1560.0234222290001</v>
      </c>
      <c r="N275" s="427">
        <f>Lisäosat[[#This Row],[HYTE-kerroin (sis. Kulttuurihyte)]]/$N$7</f>
        <v>0.927268576857463</v>
      </c>
      <c r="O275" s="439">
        <v>0</v>
      </c>
      <c r="P275" s="197">
        <v>328312.05256350001</v>
      </c>
      <c r="Q275" s="159">
        <v>0</v>
      </c>
      <c r="R275" s="159">
        <v>28554.97973354418</v>
      </c>
      <c r="S275" s="159">
        <v>45988.636156793131</v>
      </c>
      <c r="T275" s="159">
        <v>0</v>
      </c>
      <c r="U275" s="309">
        <f t="shared" si="5"/>
        <v>402855.66845383728</v>
      </c>
      <c r="V275" s="44"/>
      <c r="W275" s="44"/>
      <c r="X275" s="110"/>
      <c r="Y275" s="110"/>
      <c r="Z275" s="111"/>
    </row>
    <row r="276" spans="1:26" s="45" customFormat="1">
      <c r="A276" s="127">
        <v>890</v>
      </c>
      <c r="B276" s="124" t="s">
        <v>281</v>
      </c>
      <c r="C276" s="408">
        <v>1139</v>
      </c>
      <c r="D276" s="412">
        <v>1.9536666666666667</v>
      </c>
      <c r="E276" s="420">
        <v>1</v>
      </c>
      <c r="F276" s="155">
        <v>473</v>
      </c>
      <c r="G276" s="419">
        <v>0.41527655838454786</v>
      </c>
      <c r="H276" s="269">
        <v>454</v>
      </c>
      <c r="I276" s="15">
        <v>477</v>
      </c>
      <c r="J276" s="331">
        <v>0.95178197064989523</v>
      </c>
      <c r="K276" s="427">
        <v>0.95218353756702856</v>
      </c>
      <c r="L276" s="434">
        <v>0.46018123100000002</v>
      </c>
      <c r="M276" s="14">
        <f>Lisäosat[[#This Row],[HYTE-kerroin (sis. Kulttuurihyte)]]*Lisäosat[[#This Row],[Asukasmäärä 31.12.2023]]</f>
        <v>524.14642210900001</v>
      </c>
      <c r="N276" s="427">
        <f>Lisäosat[[#This Row],[HYTE-kerroin (sis. Kulttuurihyte)]]/$N$7</f>
        <v>0.68136065677749102</v>
      </c>
      <c r="O276" s="439">
        <v>0</v>
      </c>
      <c r="P276" s="197">
        <v>430781.56587000005</v>
      </c>
      <c r="Q276" s="159">
        <v>446275.5</v>
      </c>
      <c r="R276" s="159">
        <v>14652.095535892304</v>
      </c>
      <c r="S276" s="159">
        <v>15451.549480464984</v>
      </c>
      <c r="T276" s="159">
        <v>0</v>
      </c>
      <c r="U276" s="309">
        <f t="shared" si="5"/>
        <v>907160.71088635735</v>
      </c>
      <c r="V276" s="44"/>
      <c r="W276" s="44"/>
      <c r="X276" s="110"/>
      <c r="Y276" s="110"/>
      <c r="Z276" s="111"/>
    </row>
    <row r="277" spans="1:26" s="45" customFormat="1">
      <c r="A277" s="127">
        <v>892</v>
      </c>
      <c r="B277" s="124" t="s">
        <v>282</v>
      </c>
      <c r="C277" s="408">
        <v>3615</v>
      </c>
      <c r="D277" s="412">
        <v>0</v>
      </c>
      <c r="E277" s="420">
        <v>0</v>
      </c>
      <c r="F277" s="155">
        <v>0</v>
      </c>
      <c r="G277" s="419">
        <v>0</v>
      </c>
      <c r="H277" s="269">
        <v>792</v>
      </c>
      <c r="I277" s="15">
        <v>1389</v>
      </c>
      <c r="J277" s="331">
        <v>0.57019438444924408</v>
      </c>
      <c r="K277" s="427">
        <v>0.5704349555129864</v>
      </c>
      <c r="L277" s="434">
        <v>0.73237699000000001</v>
      </c>
      <c r="M277" s="14">
        <f>Lisäosat[[#This Row],[HYTE-kerroin (sis. Kulttuurihyte)]]*Lisäosat[[#This Row],[Asukasmäärä 31.12.2023]]</f>
        <v>2647.54281885</v>
      </c>
      <c r="N277" s="427">
        <f>Lisäosat[[#This Row],[HYTE-kerroin (sis. Kulttuurihyte)]]/$N$7</f>
        <v>1.0843833544248178</v>
      </c>
      <c r="O277" s="439">
        <v>0</v>
      </c>
      <c r="P277" s="197">
        <v>0</v>
      </c>
      <c r="Q277" s="159">
        <v>0</v>
      </c>
      <c r="R277" s="159">
        <v>27859.273140064313</v>
      </c>
      <c r="S277" s="159">
        <v>78048.112400552214</v>
      </c>
      <c r="T277" s="159">
        <v>0</v>
      </c>
      <c r="U277" s="309">
        <f t="shared" si="5"/>
        <v>105907.38554061652</v>
      </c>
      <c r="V277" s="44"/>
      <c r="W277" s="44"/>
      <c r="X277" s="110"/>
      <c r="Y277" s="110"/>
      <c r="Z277" s="111"/>
    </row>
    <row r="278" spans="1:26" s="45" customFormat="1">
      <c r="A278" s="127">
        <v>893</v>
      </c>
      <c r="B278" s="124" t="s">
        <v>283</v>
      </c>
      <c r="C278" s="408">
        <v>7500</v>
      </c>
      <c r="D278" s="412">
        <v>1.1783333333333333E-2</v>
      </c>
      <c r="E278" s="420">
        <v>0</v>
      </c>
      <c r="F278" s="155">
        <v>0</v>
      </c>
      <c r="G278" s="419">
        <v>0</v>
      </c>
      <c r="H278" s="269">
        <v>3155</v>
      </c>
      <c r="I278" s="15">
        <v>3218</v>
      </c>
      <c r="J278" s="331">
        <v>0.98042262274704783</v>
      </c>
      <c r="K278" s="427">
        <v>0.98083627345933799</v>
      </c>
      <c r="L278" s="434">
        <v>0.56969928999999997</v>
      </c>
      <c r="M278" s="14">
        <f>Lisäosat[[#This Row],[HYTE-kerroin (sis. Kulttuurihyte)]]*Lisäosat[[#This Row],[Asukasmäärä 31.12.2023]]</f>
        <v>4272.7446749999999</v>
      </c>
      <c r="N278" s="427">
        <f>Lisäosat[[#This Row],[HYTE-kerroin (sis. Kulttuurihyte)]]/$N$7</f>
        <v>0.84351698037869405</v>
      </c>
      <c r="O278" s="439">
        <v>9.6050168216343934E-2</v>
      </c>
      <c r="P278" s="197">
        <v>5702.8387499999999</v>
      </c>
      <c r="Q278" s="159">
        <v>0</v>
      </c>
      <c r="R278" s="159">
        <v>99383.235408267414</v>
      </c>
      <c r="S278" s="159">
        <v>125958.17309504849</v>
      </c>
      <c r="T278" s="159">
        <v>7607.1733227344394</v>
      </c>
      <c r="U278" s="309">
        <f t="shared" si="5"/>
        <v>238651.42057605035</v>
      </c>
      <c r="V278" s="44"/>
      <c r="W278" s="44"/>
      <c r="X278" s="110"/>
      <c r="Y278" s="110"/>
      <c r="Z278" s="111"/>
    </row>
    <row r="279" spans="1:26" s="45" customFormat="1">
      <c r="A279" s="127">
        <v>895</v>
      </c>
      <c r="B279" s="124" t="s">
        <v>284</v>
      </c>
      <c r="C279" s="408">
        <v>14938</v>
      </c>
      <c r="D279" s="412">
        <v>0</v>
      </c>
      <c r="E279" s="420">
        <v>0</v>
      </c>
      <c r="F279" s="155">
        <v>1</v>
      </c>
      <c r="G279" s="419">
        <v>6.6943365912438071E-5</v>
      </c>
      <c r="H279" s="269">
        <v>7571</v>
      </c>
      <c r="I279" s="15">
        <v>6211</v>
      </c>
      <c r="J279" s="331">
        <v>1.2189663500241508</v>
      </c>
      <c r="K279" s="427">
        <v>1.2194806448672588</v>
      </c>
      <c r="L279" s="434">
        <v>0.65294156000000003</v>
      </c>
      <c r="M279" s="14">
        <f>Lisäosat[[#This Row],[HYTE-kerroin (sis. Kulttuurihyte)]]*Lisäosat[[#This Row],[Asukasmäärä 31.12.2023]]</f>
        <v>9753.6410232800008</v>
      </c>
      <c r="N279" s="427">
        <f>Lisäosat[[#This Row],[HYTE-kerroin (sis. Kulttuurihyte)]]/$N$7</f>
        <v>0.96676843858266692</v>
      </c>
      <c r="O279" s="439">
        <v>0</v>
      </c>
      <c r="P279" s="197">
        <v>0</v>
      </c>
      <c r="Q279" s="159">
        <v>0</v>
      </c>
      <c r="R279" s="159">
        <v>246106.29130459629</v>
      </c>
      <c r="S279" s="159">
        <v>287531.99588675826</v>
      </c>
      <c r="T279" s="159">
        <v>0</v>
      </c>
      <c r="U279" s="309">
        <f t="shared" si="5"/>
        <v>533638.28719135455</v>
      </c>
      <c r="V279" s="44"/>
      <c r="W279" s="44"/>
      <c r="X279" s="110"/>
      <c r="Y279" s="110"/>
      <c r="Z279" s="111"/>
    </row>
    <row r="280" spans="1:26" s="45" customFormat="1">
      <c r="A280" s="127">
        <v>905</v>
      </c>
      <c r="B280" s="124" t="s">
        <v>285</v>
      </c>
      <c r="C280" s="408">
        <v>68956</v>
      </c>
      <c r="D280" s="412">
        <v>0</v>
      </c>
      <c r="E280" s="420">
        <v>0</v>
      </c>
      <c r="F280" s="155">
        <v>6</v>
      </c>
      <c r="G280" s="419">
        <v>8.701200765705667E-5</v>
      </c>
      <c r="H280" s="269">
        <v>38781</v>
      </c>
      <c r="I280" s="15">
        <v>31082</v>
      </c>
      <c r="J280" s="331">
        <v>1.2476996332282351</v>
      </c>
      <c r="K280" s="427">
        <v>1.2482260509485474</v>
      </c>
      <c r="L280" s="434">
        <v>0.77699986300000001</v>
      </c>
      <c r="M280" s="14">
        <f>Lisäosat[[#This Row],[HYTE-kerroin (sis. Kulttuurihyte)]]*Lisäosat[[#This Row],[Asukasmäärä 31.12.2023]]</f>
        <v>53578.802553027999</v>
      </c>
      <c r="N280" s="427">
        <f>Lisäosat[[#This Row],[HYTE-kerroin (sis. Kulttuurihyte)]]/$N$7</f>
        <v>1.1504535633042812</v>
      </c>
      <c r="O280" s="439">
        <v>0.6900588793311716</v>
      </c>
      <c r="P280" s="197">
        <v>0</v>
      </c>
      <c r="Q280" s="159">
        <v>0</v>
      </c>
      <c r="R280" s="159">
        <v>1162841.8469400005</v>
      </c>
      <c r="S280" s="159">
        <v>1579473.7573921913</v>
      </c>
      <c r="T280" s="159">
        <v>502483.87287817249</v>
      </c>
      <c r="U280" s="309">
        <f t="shared" si="5"/>
        <v>3244799.4772103643</v>
      </c>
      <c r="V280" s="44"/>
      <c r="W280" s="44"/>
      <c r="X280" s="110"/>
      <c r="Y280" s="110"/>
      <c r="Z280" s="111"/>
    </row>
    <row r="281" spans="1:26" s="45" customFormat="1">
      <c r="A281" s="127">
        <v>908</v>
      </c>
      <c r="B281" s="124" t="s">
        <v>286</v>
      </c>
      <c r="C281" s="408">
        <v>20694</v>
      </c>
      <c r="D281" s="412">
        <v>0</v>
      </c>
      <c r="E281" s="420">
        <v>0</v>
      </c>
      <c r="F281" s="155">
        <v>1</v>
      </c>
      <c r="G281" s="419">
        <v>4.8323185464385811E-5</v>
      </c>
      <c r="H281" s="269">
        <v>6693</v>
      </c>
      <c r="I281" s="15">
        <v>8284</v>
      </c>
      <c r="J281" s="331">
        <v>0.80794302269435059</v>
      </c>
      <c r="K281" s="427">
        <v>0.80828390243240789</v>
      </c>
      <c r="L281" s="434">
        <v>0.66884147999999999</v>
      </c>
      <c r="M281" s="14">
        <f>Lisäosat[[#This Row],[HYTE-kerroin (sis. Kulttuurihyte)]]*Lisäosat[[#This Row],[Asukasmäärä 31.12.2023]]</f>
        <v>13841.00558712</v>
      </c>
      <c r="N281" s="427">
        <f>Lisäosat[[#This Row],[HYTE-kerroin (sis. Kulttuurihyte)]]/$N$7</f>
        <v>0.99031042422681748</v>
      </c>
      <c r="O281" s="439">
        <v>0</v>
      </c>
      <c r="P281" s="197">
        <v>0</v>
      </c>
      <c r="Q281" s="159">
        <v>0</v>
      </c>
      <c r="R281" s="159">
        <v>225976.73180940872</v>
      </c>
      <c r="S281" s="159">
        <v>408025.26482628973</v>
      </c>
      <c r="T281" s="159">
        <v>0</v>
      </c>
      <c r="U281" s="309">
        <f t="shared" si="5"/>
        <v>634001.99663569848</v>
      </c>
      <c r="V281" s="44"/>
      <c r="W281" s="44"/>
      <c r="X281" s="110"/>
      <c r="Y281" s="110"/>
      <c r="Z281" s="111"/>
    </row>
    <row r="282" spans="1:26" s="45" customFormat="1">
      <c r="A282" s="127">
        <v>915</v>
      </c>
      <c r="B282" s="124" t="s">
        <v>287</v>
      </c>
      <c r="C282" s="408">
        <v>19727</v>
      </c>
      <c r="D282" s="412">
        <v>7.091666666666667E-2</v>
      </c>
      <c r="E282" s="420">
        <v>0</v>
      </c>
      <c r="F282" s="155">
        <v>0</v>
      </c>
      <c r="G282" s="419">
        <v>0</v>
      </c>
      <c r="H282" s="269">
        <v>8035</v>
      </c>
      <c r="I282" s="15">
        <v>7168</v>
      </c>
      <c r="J282" s="331">
        <v>1.1209542410714286</v>
      </c>
      <c r="K282" s="427">
        <v>1.1214271835653142</v>
      </c>
      <c r="L282" s="434">
        <v>0.73642420500000005</v>
      </c>
      <c r="M282" s="14">
        <f>Lisäosat[[#This Row],[HYTE-kerroin (sis. Kulttuurihyte)]]*Lisäosat[[#This Row],[Asukasmäärä 31.12.2023]]</f>
        <v>14527.440292035</v>
      </c>
      <c r="N282" s="427">
        <f>Lisäosat[[#This Row],[HYTE-kerroin (sis. Kulttuurihyte)]]/$N$7</f>
        <v>1.0903758045395853</v>
      </c>
      <c r="O282" s="439">
        <v>0</v>
      </c>
      <c r="P282" s="197">
        <v>90275.733067499998</v>
      </c>
      <c r="Q282" s="159">
        <v>0</v>
      </c>
      <c r="R282" s="159">
        <v>298873.54361810681</v>
      </c>
      <c r="S282" s="159">
        <v>428260.9840083943</v>
      </c>
      <c r="T282" s="159">
        <v>0</v>
      </c>
      <c r="U282" s="309">
        <f t="shared" si="5"/>
        <v>817410.2606940011</v>
      </c>
      <c r="V282" s="44"/>
      <c r="W282" s="44"/>
      <c r="X282" s="110"/>
      <c r="Y282" s="110"/>
      <c r="Z282" s="111"/>
    </row>
    <row r="283" spans="1:26" s="45" customFormat="1">
      <c r="A283" s="127">
        <v>918</v>
      </c>
      <c r="B283" s="124" t="s">
        <v>288</v>
      </c>
      <c r="C283" s="408">
        <v>2245</v>
      </c>
      <c r="D283" s="412">
        <v>0</v>
      </c>
      <c r="E283" s="420">
        <v>0</v>
      </c>
      <c r="F283" s="155">
        <v>0</v>
      </c>
      <c r="G283" s="419">
        <v>0</v>
      </c>
      <c r="H283" s="269">
        <v>661</v>
      </c>
      <c r="I283" s="15">
        <v>925</v>
      </c>
      <c r="J283" s="331">
        <v>0.71459459459459462</v>
      </c>
      <c r="K283" s="427">
        <v>0.71489608963988904</v>
      </c>
      <c r="L283" s="434">
        <v>0.47086938699999997</v>
      </c>
      <c r="M283" s="14">
        <f>Lisäosat[[#This Row],[HYTE-kerroin (sis. Kulttuurihyte)]]*Lisäosat[[#This Row],[Asukasmäärä 31.12.2023]]</f>
        <v>1057.1017738149999</v>
      </c>
      <c r="N283" s="427">
        <f>Lisäosat[[#This Row],[HYTE-kerroin (sis. Kulttuurihyte)]]/$N$7</f>
        <v>0.69718591974198652</v>
      </c>
      <c r="O283" s="439">
        <v>0</v>
      </c>
      <c r="P283" s="197">
        <v>0</v>
      </c>
      <c r="Q283" s="159">
        <v>0</v>
      </c>
      <c r="R283" s="159">
        <v>21682.76265397335</v>
      </c>
      <c r="S283" s="159">
        <v>31162.781381331326</v>
      </c>
      <c r="T283" s="159">
        <v>0</v>
      </c>
      <c r="U283" s="309">
        <f t="shared" si="5"/>
        <v>52845.544035304672</v>
      </c>
      <c r="V283" s="44"/>
      <c r="W283" s="44"/>
      <c r="X283" s="110"/>
      <c r="Y283" s="110"/>
      <c r="Z283" s="111"/>
    </row>
    <row r="284" spans="1:26" s="45" customFormat="1">
      <c r="A284" s="127">
        <v>921</v>
      </c>
      <c r="B284" s="124" t="s">
        <v>289</v>
      </c>
      <c r="C284" s="408">
        <v>1895</v>
      </c>
      <c r="D284" s="412">
        <v>1.6164666666666667</v>
      </c>
      <c r="E284" s="420">
        <v>0</v>
      </c>
      <c r="F284" s="155">
        <v>0</v>
      </c>
      <c r="G284" s="419">
        <v>0</v>
      </c>
      <c r="H284" s="269">
        <v>504</v>
      </c>
      <c r="I284" s="15">
        <v>620</v>
      </c>
      <c r="J284" s="331">
        <v>0.81290322580645158</v>
      </c>
      <c r="K284" s="427">
        <v>0.81324619830685729</v>
      </c>
      <c r="L284" s="434">
        <v>0.66177161299999998</v>
      </c>
      <c r="M284" s="14">
        <f>Lisäosat[[#This Row],[HYTE-kerroin (sis. Kulttuurihyte)]]*Lisäosat[[#This Row],[Asukasmäärä 31.12.2023]]</f>
        <v>1254.0572066350001</v>
      </c>
      <c r="N284" s="427">
        <f>Lisäosat[[#This Row],[HYTE-kerroin (sis. Kulttuurihyte)]]/$N$7</f>
        <v>0.97984252832419316</v>
      </c>
      <c r="O284" s="439">
        <v>0</v>
      </c>
      <c r="P284" s="197">
        <v>593005.72689000005</v>
      </c>
      <c r="Q284" s="159">
        <v>0</v>
      </c>
      <c r="R284" s="159">
        <v>20820.281883643092</v>
      </c>
      <c r="S284" s="159">
        <v>36968.919680281229</v>
      </c>
      <c r="T284" s="159">
        <v>0</v>
      </c>
      <c r="U284" s="309">
        <f t="shared" si="5"/>
        <v>650794.92845392437</v>
      </c>
      <c r="V284" s="44"/>
      <c r="W284" s="44"/>
      <c r="X284" s="110"/>
      <c r="Y284" s="110"/>
      <c r="Z284" s="111"/>
    </row>
    <row r="285" spans="1:26" s="45" customFormat="1">
      <c r="A285" s="127">
        <v>922</v>
      </c>
      <c r="B285" s="124" t="s">
        <v>290</v>
      </c>
      <c r="C285" s="408">
        <v>4469</v>
      </c>
      <c r="D285" s="412">
        <v>0</v>
      </c>
      <c r="E285" s="420">
        <v>0</v>
      </c>
      <c r="F285" s="155">
        <v>0</v>
      </c>
      <c r="G285" s="419">
        <v>0</v>
      </c>
      <c r="H285" s="269">
        <v>925</v>
      </c>
      <c r="I285" s="15">
        <v>2101</v>
      </c>
      <c r="J285" s="331">
        <v>0.44026653974297952</v>
      </c>
      <c r="K285" s="427">
        <v>0.44045229286978105</v>
      </c>
      <c r="L285" s="434">
        <v>0.79267282699999997</v>
      </c>
      <c r="M285" s="14">
        <f>Lisäosat[[#This Row],[HYTE-kerroin (sis. Kulttuurihyte)]]*Lisäosat[[#This Row],[Asukasmäärä 31.12.2023]]</f>
        <v>3542.4548638629999</v>
      </c>
      <c r="N285" s="427">
        <f>Lisäosat[[#This Row],[HYTE-kerroin (sis. Kulttuurihyte)]]/$N$7</f>
        <v>1.1736595098429612</v>
      </c>
      <c r="O285" s="439">
        <v>0.7782997742193154</v>
      </c>
      <c r="P285" s="197">
        <v>0</v>
      </c>
      <c r="Q285" s="159">
        <v>0</v>
      </c>
      <c r="R285" s="159">
        <v>26592.831320241545</v>
      </c>
      <c r="S285" s="159">
        <v>104429.62939830995</v>
      </c>
      <c r="T285" s="159">
        <v>36730.021056813435</v>
      </c>
      <c r="U285" s="309">
        <f t="shared" si="5"/>
        <v>167752.48177536493</v>
      </c>
      <c r="V285" s="44"/>
      <c r="W285" s="44"/>
      <c r="X285" s="110"/>
      <c r="Y285" s="110"/>
      <c r="Z285" s="111"/>
    </row>
    <row r="286" spans="1:26" s="45" customFormat="1">
      <c r="A286" s="127">
        <v>924</v>
      </c>
      <c r="B286" s="124" t="s">
        <v>291</v>
      </c>
      <c r="C286" s="408">
        <v>2936</v>
      </c>
      <c r="D286" s="412">
        <v>0.99025000000000007</v>
      </c>
      <c r="E286" s="420">
        <v>0</v>
      </c>
      <c r="F286" s="155">
        <v>0</v>
      </c>
      <c r="G286" s="419">
        <v>0</v>
      </c>
      <c r="H286" s="269">
        <v>993</v>
      </c>
      <c r="I286" s="15">
        <v>1155</v>
      </c>
      <c r="J286" s="331">
        <v>0.85974025974025969</v>
      </c>
      <c r="K286" s="427">
        <v>0.8601029932824843</v>
      </c>
      <c r="L286" s="434">
        <v>0.63035286199999996</v>
      </c>
      <c r="M286" s="14">
        <f>Lisäosat[[#This Row],[HYTE-kerroin (sis. Kulttuurihyte)]]*Lisäosat[[#This Row],[Asukasmäärä 31.12.2023]]</f>
        <v>1850.716002832</v>
      </c>
      <c r="N286" s="427">
        <f>Lisäosat[[#This Row],[HYTE-kerroin (sis. Kulttuurihyte)]]/$N$7</f>
        <v>0.93332281092944258</v>
      </c>
      <c r="O286" s="439">
        <v>0</v>
      </c>
      <c r="P286" s="197">
        <v>187612.84422000003</v>
      </c>
      <c r="Q286" s="159">
        <v>0</v>
      </c>
      <c r="R286" s="159">
        <v>34116.294865627315</v>
      </c>
      <c r="S286" s="159">
        <v>54558.094238216872</v>
      </c>
      <c r="T286" s="159">
        <v>0</v>
      </c>
      <c r="U286" s="309">
        <f t="shared" si="5"/>
        <v>276287.23332384421</v>
      </c>
      <c r="V286" s="44"/>
      <c r="W286" s="44"/>
      <c r="X286" s="110"/>
      <c r="Y286" s="110"/>
      <c r="Z286" s="111"/>
    </row>
    <row r="287" spans="1:26" s="45" customFormat="1">
      <c r="A287" s="127">
        <v>925</v>
      </c>
      <c r="B287" s="124" t="s">
        <v>292</v>
      </c>
      <c r="C287" s="408">
        <v>3387</v>
      </c>
      <c r="D287" s="412">
        <v>0.83401666666666663</v>
      </c>
      <c r="E287" s="420">
        <v>0</v>
      </c>
      <c r="F287" s="155">
        <v>0</v>
      </c>
      <c r="G287" s="419">
        <v>0</v>
      </c>
      <c r="H287" s="269">
        <v>2018</v>
      </c>
      <c r="I287" s="15">
        <v>1482</v>
      </c>
      <c r="J287" s="331">
        <v>1.3616734143049933</v>
      </c>
      <c r="K287" s="427">
        <v>1.3622479187734395</v>
      </c>
      <c r="L287" s="434">
        <v>0.60074450999999995</v>
      </c>
      <c r="M287" s="14">
        <f>Lisäosat[[#This Row],[HYTE-kerroin (sis. Kulttuurihyte)]]*Lisäosat[[#This Row],[Asukasmäärä 31.12.2023]]</f>
        <v>2034.7216553699998</v>
      </c>
      <c r="N287" s="427">
        <f>Lisäosat[[#This Row],[HYTE-kerroin (sis. Kulttuurihyte)]]/$N$7</f>
        <v>0.8894836345228343</v>
      </c>
      <c r="O287" s="439">
        <v>0</v>
      </c>
      <c r="P287" s="197">
        <v>182285.27645849998</v>
      </c>
      <c r="Q287" s="159">
        <v>0</v>
      </c>
      <c r="R287" s="159">
        <v>62334.244298964994</v>
      </c>
      <c r="S287" s="159">
        <v>59982.480106265197</v>
      </c>
      <c r="T287" s="159">
        <v>0</v>
      </c>
      <c r="U287" s="309">
        <f t="shared" si="5"/>
        <v>304602.00086373021</v>
      </c>
      <c r="V287" s="44"/>
      <c r="W287" s="44"/>
      <c r="X287" s="110"/>
      <c r="Y287" s="110"/>
      <c r="Z287" s="111"/>
    </row>
    <row r="288" spans="1:26" s="45" customFormat="1">
      <c r="A288" s="127">
        <v>927</v>
      </c>
      <c r="B288" s="124" t="s">
        <v>293</v>
      </c>
      <c r="C288" s="408">
        <v>28811</v>
      </c>
      <c r="D288" s="412">
        <v>0</v>
      </c>
      <c r="E288" s="420">
        <v>0</v>
      </c>
      <c r="F288" s="155">
        <v>3</v>
      </c>
      <c r="G288" s="419">
        <v>1.0412689597723092E-4</v>
      </c>
      <c r="H288" s="269">
        <v>7998</v>
      </c>
      <c r="I288" s="15">
        <v>13538</v>
      </c>
      <c r="J288" s="331">
        <v>0.59078150391490614</v>
      </c>
      <c r="K288" s="427">
        <v>0.59103076090289519</v>
      </c>
      <c r="L288" s="434">
        <v>0.68506552300000001</v>
      </c>
      <c r="M288" s="14">
        <f>Lisäosat[[#This Row],[HYTE-kerroin (sis. Kulttuurihyte)]]*Lisäosat[[#This Row],[Asukasmäärä 31.12.2023]]</f>
        <v>19737.422783153001</v>
      </c>
      <c r="N288" s="427">
        <f>Lisäosat[[#This Row],[HYTE-kerroin (sis. Kulttuurihyte)]]/$N$7</f>
        <v>1.0143323178838977</v>
      </c>
      <c r="O288" s="439">
        <v>0</v>
      </c>
      <c r="P288" s="197">
        <v>0</v>
      </c>
      <c r="Q288" s="159">
        <v>0</v>
      </c>
      <c r="R288" s="159">
        <v>230050.80977956348</v>
      </c>
      <c r="S288" s="159">
        <v>581848.41465410974</v>
      </c>
      <c r="T288" s="159">
        <v>0</v>
      </c>
      <c r="U288" s="309">
        <f t="shared" si="5"/>
        <v>811899.2244336732</v>
      </c>
      <c r="V288" s="44"/>
      <c r="W288" s="44"/>
      <c r="X288" s="110"/>
      <c r="Y288" s="110"/>
      <c r="Z288" s="111"/>
    </row>
    <row r="289" spans="1:26" s="45" customFormat="1">
      <c r="A289" s="127">
        <v>931</v>
      </c>
      <c r="B289" s="124" t="s">
        <v>294</v>
      </c>
      <c r="C289" s="408">
        <v>5877</v>
      </c>
      <c r="D289" s="412">
        <v>1.4403999999999999</v>
      </c>
      <c r="E289" s="420">
        <v>0</v>
      </c>
      <c r="F289" s="155">
        <v>0</v>
      </c>
      <c r="G289" s="419">
        <v>0</v>
      </c>
      <c r="H289" s="269">
        <v>2193</v>
      </c>
      <c r="I289" s="15">
        <v>2106</v>
      </c>
      <c r="J289" s="331">
        <v>1.0413105413105412</v>
      </c>
      <c r="K289" s="427">
        <v>1.0417498812820338</v>
      </c>
      <c r="L289" s="434">
        <v>0.64647882199999995</v>
      </c>
      <c r="M289" s="14">
        <f>Lisäosat[[#This Row],[HYTE-kerroin (sis. Kulttuurihyte)]]*Lisäosat[[#This Row],[Asukasmäärä 31.12.2023]]</f>
        <v>3799.3560368939998</v>
      </c>
      <c r="N289" s="427">
        <f>Lisäosat[[#This Row],[HYTE-kerroin (sis. Kulttuurihyte)]]/$N$7</f>
        <v>0.95719947941696626</v>
      </c>
      <c r="O289" s="439">
        <v>0</v>
      </c>
      <c r="P289" s="197">
        <v>819392.01528599998</v>
      </c>
      <c r="Q289" s="159">
        <v>0</v>
      </c>
      <c r="R289" s="159">
        <v>82713.138346498861</v>
      </c>
      <c r="S289" s="159">
        <v>112002.93529002219</v>
      </c>
      <c r="T289" s="159">
        <v>0</v>
      </c>
      <c r="U289" s="309">
        <f t="shared" si="5"/>
        <v>1014108.088922521</v>
      </c>
      <c r="V289" s="44"/>
      <c r="W289" s="44"/>
      <c r="X289" s="110"/>
      <c r="Y289" s="110"/>
      <c r="Z289" s="111"/>
    </row>
    <row r="290" spans="1:26" s="45" customFormat="1">
      <c r="A290" s="127">
        <v>934</v>
      </c>
      <c r="B290" s="124" t="s">
        <v>295</v>
      </c>
      <c r="C290" s="408">
        <v>2656</v>
      </c>
      <c r="D290" s="412">
        <v>0.61865000000000003</v>
      </c>
      <c r="E290" s="420">
        <v>0</v>
      </c>
      <c r="F290" s="155">
        <v>0</v>
      </c>
      <c r="G290" s="419">
        <v>0</v>
      </c>
      <c r="H290" s="269">
        <v>967</v>
      </c>
      <c r="I290" s="15">
        <v>1059</v>
      </c>
      <c r="J290" s="331">
        <v>0.91312559017941453</v>
      </c>
      <c r="K290" s="427">
        <v>0.91351084755926748</v>
      </c>
      <c r="L290" s="434">
        <v>0.62030850800000004</v>
      </c>
      <c r="M290" s="14">
        <f>Lisäosat[[#This Row],[HYTE-kerroin (sis. Kulttuurihyte)]]*Lisäosat[[#This Row],[Asukasmäärä 31.12.2023]]</f>
        <v>1647.5393972480001</v>
      </c>
      <c r="N290" s="427">
        <f>Lisäosat[[#This Row],[HYTE-kerroin (sis. Kulttuurihyte)]]/$N$7</f>
        <v>0.91845078404674341</v>
      </c>
      <c r="O290" s="439">
        <v>0</v>
      </c>
      <c r="P290" s="197">
        <v>106031.462832</v>
      </c>
      <c r="Q290" s="159">
        <v>0</v>
      </c>
      <c r="R290" s="159">
        <v>32779.107798196266</v>
      </c>
      <c r="S290" s="159">
        <v>48568.55917314448</v>
      </c>
      <c r="T290" s="159">
        <v>0</v>
      </c>
      <c r="U290" s="309">
        <f t="shared" si="5"/>
        <v>187379.12980334077</v>
      </c>
      <c r="V290" s="44"/>
      <c r="W290" s="44"/>
      <c r="X290" s="110"/>
      <c r="Y290" s="110"/>
      <c r="Z290" s="111"/>
    </row>
    <row r="291" spans="1:26" s="45" customFormat="1">
      <c r="A291" s="127">
        <v>935</v>
      </c>
      <c r="B291" s="124" t="s">
        <v>296</v>
      </c>
      <c r="C291" s="408">
        <v>2927</v>
      </c>
      <c r="D291" s="412">
        <v>0.64713333333333334</v>
      </c>
      <c r="E291" s="420">
        <v>0</v>
      </c>
      <c r="F291" s="155">
        <v>0</v>
      </c>
      <c r="G291" s="419">
        <v>0</v>
      </c>
      <c r="H291" s="269">
        <v>1065</v>
      </c>
      <c r="I291" s="15">
        <v>1085</v>
      </c>
      <c r="J291" s="331">
        <v>0.98156682027649766</v>
      </c>
      <c r="K291" s="427">
        <v>0.98198095373787186</v>
      </c>
      <c r="L291" s="434">
        <v>0.48048374900000002</v>
      </c>
      <c r="M291" s="14">
        <f>Lisäosat[[#This Row],[HYTE-kerroin (sis. Kulttuurihyte)]]*Lisäosat[[#This Row],[Asukasmäärä 31.12.2023]]</f>
        <v>1406.375933323</v>
      </c>
      <c r="N291" s="427">
        <f>Lisäosat[[#This Row],[HYTE-kerroin (sis. Kulttuurihyte)]]/$N$7</f>
        <v>0.71142128521437054</v>
      </c>
      <c r="O291" s="439">
        <v>0</v>
      </c>
      <c r="P291" s="197">
        <v>122230.09747800001</v>
      </c>
      <c r="Q291" s="159">
        <v>0</v>
      </c>
      <c r="R291" s="159">
        <v>38831.22897899105</v>
      </c>
      <c r="S291" s="159">
        <v>41459.192327285229</v>
      </c>
      <c r="T291" s="159">
        <v>0</v>
      </c>
      <c r="U291" s="309">
        <f t="shared" si="5"/>
        <v>202520.51878427627</v>
      </c>
      <c r="V291" s="44"/>
      <c r="W291" s="44"/>
      <c r="X291" s="110"/>
      <c r="Y291" s="110"/>
      <c r="Z291" s="111"/>
    </row>
    <row r="292" spans="1:26" s="45" customFormat="1">
      <c r="A292" s="127">
        <v>936</v>
      </c>
      <c r="B292" s="124" t="s">
        <v>297</v>
      </c>
      <c r="C292" s="408">
        <v>6275</v>
      </c>
      <c r="D292" s="412">
        <v>1.0767333333333333</v>
      </c>
      <c r="E292" s="420">
        <v>0</v>
      </c>
      <c r="F292" s="155">
        <v>0</v>
      </c>
      <c r="G292" s="419">
        <v>0</v>
      </c>
      <c r="H292" s="269">
        <v>2254</v>
      </c>
      <c r="I292" s="15">
        <v>2285</v>
      </c>
      <c r="J292" s="331">
        <v>0.98643326039387313</v>
      </c>
      <c r="K292" s="427">
        <v>0.98684944705799293</v>
      </c>
      <c r="L292" s="434">
        <v>0.598457715</v>
      </c>
      <c r="M292" s="14">
        <f>Lisäosat[[#This Row],[HYTE-kerroin (sis. Kulttuurihyte)]]*Lisäosat[[#This Row],[Asukasmäärä 31.12.2023]]</f>
        <v>3755.3221616249998</v>
      </c>
      <c r="N292" s="427">
        <f>Lisäosat[[#This Row],[HYTE-kerroin (sis. Kulttuurihyte)]]/$N$7</f>
        <v>0.88609772471567083</v>
      </c>
      <c r="O292" s="439">
        <v>0</v>
      </c>
      <c r="P292" s="197">
        <v>653995.57882499998</v>
      </c>
      <c r="Q292" s="159">
        <v>0</v>
      </c>
      <c r="R292" s="159">
        <v>83660.40858670311</v>
      </c>
      <c r="S292" s="159">
        <v>110704.84076178352</v>
      </c>
      <c r="T292" s="159">
        <v>0</v>
      </c>
      <c r="U292" s="309">
        <f t="shared" si="5"/>
        <v>848360.82817348663</v>
      </c>
      <c r="V292" s="44"/>
      <c r="W292" s="44"/>
      <c r="X292" s="110"/>
      <c r="Y292" s="110"/>
      <c r="Z292" s="111"/>
    </row>
    <row r="293" spans="1:26" s="45" customFormat="1">
      <c r="A293" s="127">
        <v>946</v>
      </c>
      <c r="B293" s="124" t="s">
        <v>298</v>
      </c>
      <c r="C293" s="408">
        <v>6291</v>
      </c>
      <c r="D293" s="412">
        <v>0.40866666666666668</v>
      </c>
      <c r="E293" s="420">
        <v>0</v>
      </c>
      <c r="F293" s="155">
        <v>0</v>
      </c>
      <c r="G293" s="419">
        <v>0</v>
      </c>
      <c r="H293" s="269">
        <v>2338</v>
      </c>
      <c r="I293" s="15">
        <v>2707</v>
      </c>
      <c r="J293" s="331">
        <v>0.86368673808644258</v>
      </c>
      <c r="K293" s="427">
        <v>0.86405113668977551</v>
      </c>
      <c r="L293" s="434">
        <v>0.56500821300000004</v>
      </c>
      <c r="M293" s="14">
        <f>Lisäosat[[#This Row],[HYTE-kerroin (sis. Kulttuurihyte)]]*Lisäosat[[#This Row],[Asukasmäärä 31.12.2023]]</f>
        <v>3554.4666679830002</v>
      </c>
      <c r="N293" s="427">
        <f>Lisäosat[[#This Row],[HYTE-kerroin (sis. Kulttuurihyte)]]/$N$7</f>
        <v>0.83657120534400187</v>
      </c>
      <c r="O293" s="439">
        <v>0</v>
      </c>
      <c r="P293" s="197">
        <v>165901.59666000001</v>
      </c>
      <c r="Q293" s="159">
        <v>0</v>
      </c>
      <c r="R293" s="159">
        <v>73436.924419366755</v>
      </c>
      <c r="S293" s="159">
        <v>104783.73080562858</v>
      </c>
      <c r="T293" s="159">
        <v>0</v>
      </c>
      <c r="U293" s="309">
        <f t="shared" si="5"/>
        <v>344122.25188499538</v>
      </c>
      <c r="V293" s="44"/>
      <c r="W293" s="44"/>
      <c r="X293" s="110"/>
      <c r="Y293" s="110"/>
      <c r="Z293" s="111"/>
    </row>
    <row r="294" spans="1:26" s="45" customFormat="1">
      <c r="A294" s="127">
        <v>976</v>
      </c>
      <c r="B294" s="124" t="s">
        <v>299</v>
      </c>
      <c r="C294" s="408">
        <v>3765</v>
      </c>
      <c r="D294" s="412">
        <v>1.7273999999999998</v>
      </c>
      <c r="E294" s="420">
        <v>0</v>
      </c>
      <c r="F294" s="155">
        <v>3</v>
      </c>
      <c r="G294" s="419">
        <v>7.9681274900398409E-4</v>
      </c>
      <c r="H294" s="269">
        <v>1184</v>
      </c>
      <c r="I294" s="15">
        <v>1307</v>
      </c>
      <c r="J294" s="331">
        <v>0.90589135424636569</v>
      </c>
      <c r="K294" s="427">
        <v>0.90627355942528298</v>
      </c>
      <c r="L294" s="434">
        <v>0.62430539799999996</v>
      </c>
      <c r="M294" s="14">
        <f>Lisäosat[[#This Row],[HYTE-kerroin (sis. Kulttuurihyte)]]*Lisäosat[[#This Row],[Asukasmäärä 31.12.2023]]</f>
        <v>2350.5098234699999</v>
      </c>
      <c r="N294" s="427">
        <f>Lisäosat[[#This Row],[HYTE-kerroin (sis. Kulttuurihyte)]]/$N$7</f>
        <v>0.92436872118109681</v>
      </c>
      <c r="O294" s="439">
        <v>0</v>
      </c>
      <c r="P294" s="197">
        <v>1259043.7329899999</v>
      </c>
      <c r="Q294" s="159">
        <v>0</v>
      </c>
      <c r="R294" s="159">
        <v>46097.740541200932</v>
      </c>
      <c r="S294" s="159">
        <v>69291.742363764381</v>
      </c>
      <c r="T294" s="159">
        <v>0</v>
      </c>
      <c r="U294" s="309">
        <f t="shared" si="5"/>
        <v>1374433.2158949652</v>
      </c>
      <c r="V294" s="44"/>
      <c r="W294" s="44"/>
      <c r="X294" s="110"/>
      <c r="Y294" s="110"/>
      <c r="Z294" s="111"/>
    </row>
    <row r="295" spans="1:26" s="45" customFormat="1">
      <c r="A295" s="127">
        <v>977</v>
      </c>
      <c r="B295" s="124" t="s">
        <v>300</v>
      </c>
      <c r="C295" s="408">
        <v>15369</v>
      </c>
      <c r="D295" s="412">
        <v>0</v>
      </c>
      <c r="E295" s="420">
        <v>0</v>
      </c>
      <c r="F295" s="155">
        <v>1</v>
      </c>
      <c r="G295" s="419">
        <v>6.5066042032663147E-5</v>
      </c>
      <c r="H295" s="269">
        <v>6936</v>
      </c>
      <c r="I295" s="15">
        <v>6372</v>
      </c>
      <c r="J295" s="331">
        <v>1.088512241054614</v>
      </c>
      <c r="K295" s="427">
        <v>1.088971495924302</v>
      </c>
      <c r="L295" s="434">
        <v>0.64343307699999996</v>
      </c>
      <c r="M295" s="14">
        <f>Lisäosat[[#This Row],[HYTE-kerroin (sis. Kulttuurihyte)]]*Lisäosat[[#This Row],[Asukasmäärä 31.12.2023]]</f>
        <v>9888.9229604129996</v>
      </c>
      <c r="N295" s="427">
        <f>Lisäosat[[#This Row],[HYTE-kerroin (sis. Kulttuurihyte)]]/$N$7</f>
        <v>0.95268984131402334</v>
      </c>
      <c r="O295" s="439">
        <v>0.14217533979465161</v>
      </c>
      <c r="P295" s="197">
        <v>0</v>
      </c>
      <c r="Q295" s="159">
        <v>0</v>
      </c>
      <c r="R295" s="159">
        <v>226108.80346082666</v>
      </c>
      <c r="S295" s="159">
        <v>291520.03330770053</v>
      </c>
      <c r="T295" s="159">
        <v>23074.579939530249</v>
      </c>
      <c r="U295" s="309">
        <f t="shared" si="5"/>
        <v>540703.4167080574</v>
      </c>
      <c r="V295" s="44"/>
      <c r="W295" s="44"/>
      <c r="X295" s="110"/>
      <c r="Y295" s="110"/>
      <c r="Z295" s="111"/>
    </row>
    <row r="296" spans="1:26" s="45" customFormat="1">
      <c r="A296" s="127">
        <v>980</v>
      </c>
      <c r="B296" s="124" t="s">
        <v>301</v>
      </c>
      <c r="C296" s="408">
        <v>33677</v>
      </c>
      <c r="D296" s="412">
        <v>0</v>
      </c>
      <c r="E296" s="420">
        <v>0</v>
      </c>
      <c r="F296" s="155">
        <v>1</v>
      </c>
      <c r="G296" s="419">
        <v>2.9693856341123021E-5</v>
      </c>
      <c r="H296" s="269">
        <v>10314</v>
      </c>
      <c r="I296" s="15">
        <v>15455</v>
      </c>
      <c r="J296" s="331">
        <v>0.66735684244581039</v>
      </c>
      <c r="K296" s="427">
        <v>0.66763840738201718</v>
      </c>
      <c r="L296" s="434">
        <v>0.67686464800000001</v>
      </c>
      <c r="M296" s="14">
        <f>Lisäosat[[#This Row],[HYTE-kerroin (sis. Kulttuurihyte)]]*Lisäosat[[#This Row],[Asukasmäärä 31.12.2023]]</f>
        <v>22794.770750696</v>
      </c>
      <c r="N296" s="427">
        <f>Lisäosat[[#This Row],[HYTE-kerroin (sis. Kulttuurihyte)]]/$N$7</f>
        <v>1.0021898114109422</v>
      </c>
      <c r="O296" s="439">
        <v>0.32388805591302045</v>
      </c>
      <c r="P296" s="197">
        <v>0</v>
      </c>
      <c r="Q296" s="159">
        <v>0</v>
      </c>
      <c r="R296" s="159">
        <v>303759.63229941064</v>
      </c>
      <c r="S296" s="159">
        <v>671977.3584126262</v>
      </c>
      <c r="T296" s="159">
        <v>115184.02430285826</v>
      </c>
      <c r="U296" s="309">
        <f t="shared" si="5"/>
        <v>1090921.015014895</v>
      </c>
      <c r="V296" s="44"/>
      <c r="W296" s="44"/>
      <c r="X296" s="110"/>
      <c r="Y296" s="110"/>
      <c r="Z296" s="111"/>
    </row>
    <row r="297" spans="1:26" s="45" customFormat="1">
      <c r="A297" s="127">
        <v>981</v>
      </c>
      <c r="B297" s="124" t="s">
        <v>302</v>
      </c>
      <c r="C297" s="408">
        <v>2207</v>
      </c>
      <c r="D297" s="412">
        <v>0</v>
      </c>
      <c r="E297" s="420">
        <v>0</v>
      </c>
      <c r="F297" s="155">
        <v>0</v>
      </c>
      <c r="G297" s="419">
        <v>0</v>
      </c>
      <c r="H297" s="269">
        <v>578</v>
      </c>
      <c r="I297" s="15">
        <v>972</v>
      </c>
      <c r="J297" s="331">
        <v>0.59465020576131689</v>
      </c>
      <c r="K297" s="427">
        <v>0.59490109499568344</v>
      </c>
      <c r="L297" s="434">
        <v>0.475757706</v>
      </c>
      <c r="M297" s="14">
        <f>Lisäosat[[#This Row],[HYTE-kerroin (sis. Kulttuurihyte)]]*Lisäosat[[#This Row],[Asukasmäärä 31.12.2023]]</f>
        <v>1049.9972571420001</v>
      </c>
      <c r="N297" s="427">
        <f>Lisäosat[[#This Row],[HYTE-kerroin (sis. Kulttuurihyte)]]/$N$7</f>
        <v>0.70442373827956595</v>
      </c>
      <c r="O297" s="439">
        <v>0</v>
      </c>
      <c r="P297" s="197">
        <v>0</v>
      </c>
      <c r="Q297" s="159">
        <v>0</v>
      </c>
      <c r="R297" s="159">
        <v>17737.910142015447</v>
      </c>
      <c r="S297" s="159">
        <v>30953.344120525573</v>
      </c>
      <c r="T297" s="159">
        <v>0</v>
      </c>
      <c r="U297" s="309">
        <f t="shared" si="5"/>
        <v>48691.254262541021</v>
      </c>
      <c r="V297" s="44"/>
      <c r="W297" s="44"/>
      <c r="X297" s="110"/>
      <c r="Y297" s="110"/>
      <c r="Z297" s="111"/>
    </row>
    <row r="298" spans="1:26" s="45" customFormat="1">
      <c r="A298" s="127">
        <v>989</v>
      </c>
      <c r="B298" s="124" t="s">
        <v>303</v>
      </c>
      <c r="C298" s="408">
        <v>5316</v>
      </c>
      <c r="D298" s="412">
        <v>0.91591666666666671</v>
      </c>
      <c r="E298" s="420">
        <v>0</v>
      </c>
      <c r="F298" s="155">
        <v>0</v>
      </c>
      <c r="G298" s="419">
        <v>0</v>
      </c>
      <c r="H298" s="269">
        <v>2005</v>
      </c>
      <c r="I298" s="15">
        <v>1966</v>
      </c>
      <c r="J298" s="331">
        <v>1.0198372329603256</v>
      </c>
      <c r="K298" s="427">
        <v>1.0202675131150736</v>
      </c>
      <c r="L298" s="434">
        <v>0.655713039</v>
      </c>
      <c r="M298" s="14">
        <f>Lisäosat[[#This Row],[HYTE-kerroin (sis. Kulttuurihyte)]]*Lisäosat[[#This Row],[Asukasmäärä 31.12.2023]]</f>
        <v>3485.7705153239999</v>
      </c>
      <c r="N298" s="427">
        <f>Lisäosat[[#This Row],[HYTE-kerroin (sis. Kulttuurihyte)]]/$N$7</f>
        <v>0.97087198871569047</v>
      </c>
      <c r="O298" s="439">
        <v>0</v>
      </c>
      <c r="P298" s="197">
        <v>314197.40889000002</v>
      </c>
      <c r="Q298" s="159">
        <v>0</v>
      </c>
      <c r="R298" s="159">
        <v>73274.755767213574</v>
      </c>
      <c r="S298" s="159">
        <v>102758.60584597109</v>
      </c>
      <c r="T298" s="159">
        <v>0</v>
      </c>
      <c r="U298" s="309">
        <f t="shared" si="5"/>
        <v>490230.7705031847</v>
      </c>
      <c r="V298" s="44"/>
      <c r="W298" s="44"/>
      <c r="X298" s="110"/>
      <c r="Y298" s="110"/>
      <c r="Z298" s="111"/>
    </row>
    <row r="299" spans="1:26" s="45" customFormat="1">
      <c r="A299" s="127">
        <v>992</v>
      </c>
      <c r="B299" s="124" t="s">
        <v>304</v>
      </c>
      <c r="C299" s="409">
        <v>17971</v>
      </c>
      <c r="D299" s="413">
        <v>0</v>
      </c>
      <c r="E299" s="421">
        <v>0</v>
      </c>
      <c r="F299" s="422">
        <v>7</v>
      </c>
      <c r="G299" s="423">
        <v>3.8951644315842192E-4</v>
      </c>
      <c r="H299" s="394">
        <v>7333</v>
      </c>
      <c r="I299" s="402">
        <v>6759</v>
      </c>
      <c r="J299" s="428">
        <v>1.0849238052966415</v>
      </c>
      <c r="K299" s="429">
        <v>1.0853815461671898</v>
      </c>
      <c r="L299" s="435">
        <v>0.54563734900000005</v>
      </c>
      <c r="M299" s="436">
        <f>Lisäosat[[#This Row],[HYTE-kerroin (sis. Kulttuurihyte)]]*Lisäosat[[#This Row],[Asukasmäärä 31.12.2023]]</f>
        <v>9805.6487988790013</v>
      </c>
      <c r="N299" s="429">
        <f>Lisäosat[[#This Row],[HYTE-kerroin (sis. Kulttuurihyte)]]/$N$7</f>
        <v>0.80789001687243767</v>
      </c>
      <c r="O299" s="440">
        <v>0</v>
      </c>
      <c r="P299" s="197">
        <v>0</v>
      </c>
      <c r="Q299" s="159">
        <v>0</v>
      </c>
      <c r="R299" s="159">
        <v>263517.84276096435</v>
      </c>
      <c r="S299" s="159">
        <v>289065.15662990225</v>
      </c>
      <c r="T299" s="159">
        <v>0</v>
      </c>
      <c r="U299" s="309">
        <f t="shared" si="5"/>
        <v>552582.99939086661</v>
      </c>
      <c r="V299" s="44"/>
      <c r="W299" s="44"/>
      <c r="X299" s="110"/>
      <c r="Y299" s="110"/>
      <c r="Z299" s="111"/>
    </row>
  </sheetData>
  <phoneticPr fontId="62" type="noConversion"/>
  <pageMargins left="0.51181102362204722" right="0.51181102362204722" top="0.55118110236220474" bottom="0.55118110236220474" header="0.31496062992125984" footer="0.31496062992125984"/>
  <pageSetup paperSize="9" scale="80" orientation="landscape" r:id="rId1"/>
  <ignoredErrors>
    <ignoredError sqref="U6 U10:U185 U8:U9 U186:U299" formulaRange="1"/>
    <ignoredError sqref="M7" calculatedColumn="1"/>
  </ignoredErrors>
  <tableParts count="2">
    <tablePart r:id="rId2"/>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17"/>
  <sheetViews>
    <sheetView zoomScale="90" zoomScaleNormal="90" workbookViewId="0">
      <pane xSplit="2" ySplit="4" topLeftCell="C5" activePane="bottomRight" state="frozen"/>
      <selection activeCell="G29" sqref="G29"/>
      <selection pane="topRight" activeCell="G29" sqref="G29"/>
      <selection pane="bottomLeft" activeCell="G29" sqref="G29"/>
      <selection pane="bottomRight"/>
    </sheetView>
  </sheetViews>
  <sheetFormatPr defaultRowHeight="15"/>
  <cols>
    <col min="1" max="1" width="10.625" style="239" customWidth="1"/>
    <col min="2" max="3" width="20.625" style="239" customWidth="1"/>
    <col min="4" max="4" width="24.125" style="131" customWidth="1"/>
    <col min="5" max="5" width="30.375" style="131" bestFit="1" customWidth="1"/>
    <col min="6" max="6" width="20.625" style="131" bestFit="1" customWidth="1"/>
    <col min="7" max="7" width="23.5" style="36" customWidth="1"/>
    <col min="8" max="8" width="15.875" style="36" bestFit="1" customWidth="1"/>
    <col min="9" max="9" width="21.125" style="131" customWidth="1"/>
    <col min="10" max="10" width="21.375" style="131" bestFit="1" customWidth="1"/>
    <col min="11" max="11" width="28.625" style="131" customWidth="1"/>
    <col min="12" max="14" width="23.125" style="131" customWidth="1"/>
    <col min="15" max="15" width="25.125" style="248" bestFit="1" customWidth="1"/>
    <col min="16" max="16" width="8.625" style="21"/>
  </cols>
  <sheetData>
    <row r="1" spans="1:16" ht="23.25">
      <c r="A1" s="312" t="s">
        <v>776</v>
      </c>
      <c r="B1" s="238"/>
      <c r="C1" s="238"/>
      <c r="D1" s="41"/>
      <c r="E1" s="321"/>
      <c r="F1" s="41"/>
      <c r="G1" s="38"/>
      <c r="H1" s="38"/>
      <c r="I1" s="41"/>
      <c r="J1" s="41"/>
      <c r="K1" s="41"/>
      <c r="L1" s="41"/>
      <c r="M1" s="41"/>
      <c r="N1" s="41"/>
    </row>
    <row r="2" spans="1:16" ht="14.25">
      <c r="A2" s="239" t="s">
        <v>356</v>
      </c>
      <c r="B2" s="240"/>
      <c r="C2" s="328"/>
      <c r="D2" s="328"/>
      <c r="E2" s="328"/>
      <c r="F2" s="328"/>
      <c r="G2" s="328"/>
      <c r="H2" s="328"/>
      <c r="I2" s="363"/>
      <c r="J2" s="328"/>
      <c r="K2" s="328"/>
      <c r="L2" s="328"/>
      <c r="M2" s="328"/>
      <c r="N2" s="328"/>
      <c r="O2" s="338"/>
    </row>
    <row r="3" spans="1:16" s="212" customFormat="1" ht="71.25">
      <c r="A3" s="246" t="s">
        <v>658</v>
      </c>
      <c r="B3" s="246" t="s">
        <v>3</v>
      </c>
      <c r="C3" s="246" t="s">
        <v>739</v>
      </c>
      <c r="D3" s="252" t="s">
        <v>777</v>
      </c>
      <c r="E3" s="252" t="s">
        <v>740</v>
      </c>
      <c r="F3" s="252" t="s">
        <v>741</v>
      </c>
      <c r="G3" s="252" t="s">
        <v>722</v>
      </c>
      <c r="H3" s="252" t="s">
        <v>731</v>
      </c>
      <c r="I3" s="364" t="s">
        <v>716</v>
      </c>
      <c r="J3" s="364" t="s">
        <v>778</v>
      </c>
      <c r="K3" s="364" t="s">
        <v>1195</v>
      </c>
      <c r="L3" s="364" t="s">
        <v>779</v>
      </c>
      <c r="M3" s="482" t="s">
        <v>780</v>
      </c>
      <c r="N3" s="482" t="s">
        <v>820</v>
      </c>
      <c r="O3" s="250" t="s">
        <v>732</v>
      </c>
      <c r="P3" s="247"/>
    </row>
    <row r="4" spans="1:16" s="31" customFormat="1">
      <c r="A4" s="237"/>
      <c r="B4" s="237" t="s">
        <v>360</v>
      </c>
      <c r="C4" s="241">
        <f t="shared" ref="C4:M4" si="0">SUM(C5:C296)</f>
        <v>-5517576.8999999966</v>
      </c>
      <c r="D4" s="241">
        <f t="shared" si="0"/>
        <v>-9976224.9000000041</v>
      </c>
      <c r="E4" s="241">
        <f t="shared" si="0"/>
        <v>-5517576.8999999966</v>
      </c>
      <c r="F4" s="241">
        <f t="shared" si="0"/>
        <v>-55733.100000000049</v>
      </c>
      <c r="G4" s="241">
        <f t="shared" si="0"/>
        <v>-114252855</v>
      </c>
      <c r="H4" s="241">
        <f t="shared" si="0"/>
        <v>-343381272.32999986</v>
      </c>
      <c r="I4" s="241">
        <f t="shared" si="0"/>
        <v>0.27999701583757997</v>
      </c>
      <c r="J4" s="241">
        <f t="shared" si="0"/>
        <v>-5.948822945356369E-8</v>
      </c>
      <c r="K4" s="241">
        <f t="shared" si="0"/>
        <v>-167087833.80000007</v>
      </c>
      <c r="L4" s="241">
        <f t="shared" si="0"/>
        <v>-63981598.800000072</v>
      </c>
      <c r="M4" s="483">
        <f t="shared" si="0"/>
        <v>216081015.58784497</v>
      </c>
      <c r="N4" s="483">
        <f t="shared" ref="N4" si="1">SUM(N5:N296)</f>
        <v>-208153.82000017073</v>
      </c>
      <c r="O4" s="251">
        <f>SUM(O5:O296)</f>
        <v>-493897809.68215799</v>
      </c>
      <c r="P4" s="114"/>
    </row>
    <row r="5" spans="1:16" s="45" customFormat="1">
      <c r="A5" s="239">
        <v>5</v>
      </c>
      <c r="B5" s="239" t="s">
        <v>12</v>
      </c>
      <c r="C5" s="326">
        <v>-9021.8700000000008</v>
      </c>
      <c r="D5" s="121">
        <v>-16312.27</v>
      </c>
      <c r="E5" s="121">
        <v>-9021.8700000000008</v>
      </c>
      <c r="F5" s="121">
        <v>-91.13</v>
      </c>
      <c r="G5" s="121">
        <v>-186816.5</v>
      </c>
      <c r="H5" s="121">
        <v>-294063.23</v>
      </c>
      <c r="I5" s="121">
        <v>1109106.1207811574</v>
      </c>
      <c r="J5" s="34">
        <v>-18749.159008462138</v>
      </c>
      <c r="K5" s="34">
        <v>-273207.74</v>
      </c>
      <c r="L5" s="34">
        <v>-104617.24</v>
      </c>
      <c r="M5" s="484">
        <v>316760.57052561705</v>
      </c>
      <c r="N5" s="484">
        <v>118448.01054058305</v>
      </c>
      <c r="O5" s="251">
        <f>SUM(LisäyksetVähennykset[[#This Row],[Kuntien yhdistymisavustus (-0,99 €/as)]:[TE25: Uudistuksen rahoituksen siirtymäajan porrastus (50 % kustannusperusteinen / 50 % vos-kriteerit)]])</f>
        <v>632413.69283889537</v>
      </c>
      <c r="P5" s="112"/>
    </row>
    <row r="6" spans="1:16" s="45" customFormat="1">
      <c r="A6" s="239">
        <v>9</v>
      </c>
      <c r="B6" s="239" t="s">
        <v>13</v>
      </c>
      <c r="C6" s="326">
        <v>-2412.63</v>
      </c>
      <c r="D6" s="121">
        <v>-4362.2300000000005</v>
      </c>
      <c r="E6" s="121">
        <v>-2412.63</v>
      </c>
      <c r="F6" s="121">
        <v>-24.37</v>
      </c>
      <c r="G6" s="121">
        <v>-49958.5</v>
      </c>
      <c r="H6" s="121">
        <v>-63160.73</v>
      </c>
      <c r="I6" s="121">
        <v>507818.30530274403</v>
      </c>
      <c r="J6" s="34">
        <v>3258.9164660193023</v>
      </c>
      <c r="K6" s="34">
        <v>-73061.259999999995</v>
      </c>
      <c r="L6" s="34">
        <v>-27976.760000000002</v>
      </c>
      <c r="M6" s="484">
        <v>76029.623449555904</v>
      </c>
      <c r="N6" s="484">
        <v>-5968.013651235291</v>
      </c>
      <c r="O6" s="251">
        <f>SUM(LisäyksetVähennykset[[#This Row],[Kuntien yhdistymisavustus (-0,99 €/as)]:[TE25: Uudistuksen rahoituksen siirtymäajan porrastus (50 % kustannusperusteinen / 50 % vos-kriteerit)]])</f>
        <v>357769.72156708397</v>
      </c>
      <c r="P6" s="112"/>
    </row>
    <row r="7" spans="1:16" s="45" customFormat="1">
      <c r="A7" s="239">
        <v>10</v>
      </c>
      <c r="B7" s="239" t="s">
        <v>14</v>
      </c>
      <c r="C7" s="326">
        <v>-10823.67</v>
      </c>
      <c r="D7" s="121">
        <v>-19570.07</v>
      </c>
      <c r="E7" s="121">
        <v>-10823.67</v>
      </c>
      <c r="F7" s="121">
        <v>-109.33</v>
      </c>
      <c r="G7" s="121">
        <v>-224126.5</v>
      </c>
      <c r="H7" s="121">
        <v>-365037.52</v>
      </c>
      <c r="I7" s="121">
        <v>-338822.04824569105</v>
      </c>
      <c r="J7" s="34">
        <v>-870731.14595875132</v>
      </c>
      <c r="K7" s="34">
        <v>-327771.34000000003</v>
      </c>
      <c r="L7" s="34">
        <v>-125510.84000000001</v>
      </c>
      <c r="M7" s="484">
        <v>534209.61680744821</v>
      </c>
      <c r="N7" s="484">
        <v>23962.640499834553</v>
      </c>
      <c r="O7" s="251">
        <f>SUM(LisäyksetVähennykset[[#This Row],[Kuntien yhdistymisavustus (-0,99 €/as)]:[TE25: Uudistuksen rahoituksen siirtymäajan porrastus (50 % kustannusperusteinen / 50 % vos-kriteerit)]])</f>
        <v>-1735153.8768971595</v>
      </c>
      <c r="P7" s="112"/>
    </row>
    <row r="8" spans="1:16" s="45" customFormat="1">
      <c r="A8" s="239">
        <v>16</v>
      </c>
      <c r="B8" s="239" t="s">
        <v>15</v>
      </c>
      <c r="C8" s="326">
        <v>-7888.32</v>
      </c>
      <c r="D8" s="121">
        <v>-14262.720000000001</v>
      </c>
      <c r="E8" s="121">
        <v>-7888.32</v>
      </c>
      <c r="F8" s="121">
        <v>-79.680000000000007</v>
      </c>
      <c r="G8" s="121">
        <v>-163344</v>
      </c>
      <c r="H8" s="121">
        <v>-262689.99</v>
      </c>
      <c r="I8" s="121">
        <v>2193579.711165017</v>
      </c>
      <c r="J8" s="34">
        <v>1859254.250649279</v>
      </c>
      <c r="K8" s="34">
        <v>-238880.64000000001</v>
      </c>
      <c r="L8" s="34">
        <v>-91472.639999999999</v>
      </c>
      <c r="M8" s="484">
        <v>294529.82823765307</v>
      </c>
      <c r="N8" s="484">
        <v>68246.870903107163</v>
      </c>
      <c r="O8" s="251">
        <f>SUM(LisäyksetVähennykset[[#This Row],[Kuntien yhdistymisavustus (-0,99 €/as)]:[TE25: Uudistuksen rahoituksen siirtymäajan porrastus (50 % kustannusperusteinen / 50 % vos-kriteerit)]])</f>
        <v>3629104.3509550565</v>
      </c>
      <c r="P8" s="112"/>
    </row>
    <row r="9" spans="1:16" s="45" customFormat="1">
      <c r="A9" s="239">
        <v>18</v>
      </c>
      <c r="B9" s="239" t="s">
        <v>16</v>
      </c>
      <c r="C9" s="326">
        <v>-4653</v>
      </c>
      <c r="D9" s="121">
        <v>-8413</v>
      </c>
      <c r="E9" s="121">
        <v>-4653</v>
      </c>
      <c r="F9" s="121">
        <v>-47</v>
      </c>
      <c r="G9" s="121">
        <v>-96350</v>
      </c>
      <c r="H9" s="121">
        <v>-103341.56</v>
      </c>
      <c r="I9" s="121">
        <v>-455651.56277451664</v>
      </c>
      <c r="J9" s="34">
        <v>-217736.80615888207</v>
      </c>
      <c r="K9" s="34">
        <v>-140906</v>
      </c>
      <c r="L9" s="34">
        <v>-53956</v>
      </c>
      <c r="M9" s="484">
        <v>135236.42157126064</v>
      </c>
      <c r="N9" s="484">
        <v>-18348.971142092254</v>
      </c>
      <c r="O9" s="251">
        <f>SUM(LisäyksetVähennykset[[#This Row],[Kuntien yhdistymisavustus (-0,99 €/as)]:[TE25: Uudistuksen rahoituksen siirtymäajan porrastus (50 % kustannusperusteinen / 50 % vos-kriteerit)]])</f>
        <v>-968820.47850423038</v>
      </c>
      <c r="P9" s="112"/>
    </row>
    <row r="10" spans="1:16" s="45" customFormat="1">
      <c r="A10" s="239">
        <v>19</v>
      </c>
      <c r="B10" s="239" t="s">
        <v>17</v>
      </c>
      <c r="C10" s="326">
        <v>-3921.39</v>
      </c>
      <c r="D10" s="121">
        <v>-7090.1900000000005</v>
      </c>
      <c r="E10" s="121">
        <v>-3921.39</v>
      </c>
      <c r="F10" s="121">
        <v>-39.61</v>
      </c>
      <c r="G10" s="121">
        <v>-81200.5</v>
      </c>
      <c r="H10" s="121">
        <v>-114723.37</v>
      </c>
      <c r="I10" s="121">
        <v>-363181.43061748438</v>
      </c>
      <c r="J10" s="34">
        <v>-454331.6554121949</v>
      </c>
      <c r="K10" s="34">
        <v>-118750.78</v>
      </c>
      <c r="L10" s="34">
        <v>-45472.28</v>
      </c>
      <c r="M10" s="484">
        <v>77081.081784552516</v>
      </c>
      <c r="N10" s="484">
        <v>-25010.232912110077</v>
      </c>
      <c r="O10" s="251">
        <f>SUM(LisäyksetVähennykset[[#This Row],[Kuntien yhdistymisavustus (-0,99 €/as)]:[TE25: Uudistuksen rahoituksen siirtymäajan porrastus (50 % kustannusperusteinen / 50 % vos-kriteerit)]])</f>
        <v>-1140561.747157237</v>
      </c>
      <c r="P10" s="112"/>
    </row>
    <row r="11" spans="1:16" s="45" customFormat="1">
      <c r="A11" s="239">
        <v>20</v>
      </c>
      <c r="B11" s="239" t="s">
        <v>18</v>
      </c>
      <c r="C11" s="326">
        <v>-16240.95</v>
      </c>
      <c r="D11" s="121">
        <v>-29364.95</v>
      </c>
      <c r="E11" s="121">
        <v>-16240.95</v>
      </c>
      <c r="F11" s="121">
        <v>-164.05</v>
      </c>
      <c r="G11" s="121">
        <v>-336302.5</v>
      </c>
      <c r="H11" s="121">
        <v>-849576.25</v>
      </c>
      <c r="I11" s="121">
        <v>-2785117.3322464745</v>
      </c>
      <c r="J11" s="34">
        <v>-2139434.9123358503</v>
      </c>
      <c r="K11" s="34">
        <v>-491821.9</v>
      </c>
      <c r="L11" s="34">
        <v>-188329.4</v>
      </c>
      <c r="M11" s="484">
        <v>1028469.863971878</v>
      </c>
      <c r="N11" s="484">
        <v>-38675.098552716547</v>
      </c>
      <c r="O11" s="251">
        <f>SUM(LisäyksetVähennykset[[#This Row],[Kuntien yhdistymisavustus (-0,99 €/as)]:[TE25: Uudistuksen rahoituksen siirtymäajan porrastus (50 % kustannusperusteinen / 50 % vos-kriteerit)]])</f>
        <v>-5862798.4291631645</v>
      </c>
      <c r="P11" s="112"/>
    </row>
    <row r="12" spans="1:16" s="45" customFormat="1">
      <c r="A12" s="239">
        <v>46</v>
      </c>
      <c r="B12" s="239" t="s">
        <v>19</v>
      </c>
      <c r="C12" s="326">
        <v>-1306.8</v>
      </c>
      <c r="D12" s="121">
        <v>-2362.8000000000002</v>
      </c>
      <c r="E12" s="121">
        <v>-1306.8</v>
      </c>
      <c r="F12" s="121">
        <v>-13.200000000000001</v>
      </c>
      <c r="G12" s="121">
        <v>-27060</v>
      </c>
      <c r="H12" s="121">
        <v>-43579.81</v>
      </c>
      <c r="I12" s="121">
        <v>386486.75930091698</v>
      </c>
      <c r="J12" s="34">
        <v>267658.30655259057</v>
      </c>
      <c r="K12" s="34">
        <v>-39573.599999999999</v>
      </c>
      <c r="L12" s="34">
        <v>-15153.6</v>
      </c>
      <c r="M12" s="484">
        <v>39422.009864600623</v>
      </c>
      <c r="N12" s="484">
        <v>20271.775258296875</v>
      </c>
      <c r="O12" s="251">
        <f>SUM(LisäyksetVähennykset[[#This Row],[Kuntien yhdistymisavustus (-0,99 €/as)]:[TE25: Uudistuksen rahoituksen siirtymäajan porrastus (50 % kustannusperusteinen / 50 % vos-kriteerit)]])</f>
        <v>583482.2409764051</v>
      </c>
      <c r="P12" s="112"/>
    </row>
    <row r="13" spans="1:16" s="45" customFormat="1">
      <c r="A13" s="239">
        <v>47</v>
      </c>
      <c r="B13" s="239" t="s">
        <v>20</v>
      </c>
      <c r="C13" s="326">
        <v>-1753.29</v>
      </c>
      <c r="D13" s="121">
        <v>-3170.09</v>
      </c>
      <c r="E13" s="121">
        <v>-1753.29</v>
      </c>
      <c r="F13" s="121">
        <v>-17.71</v>
      </c>
      <c r="G13" s="121">
        <v>-36305.5</v>
      </c>
      <c r="H13" s="121">
        <v>-28062.26</v>
      </c>
      <c r="I13" s="121">
        <v>-127873.58371498143</v>
      </c>
      <c r="J13" s="34">
        <v>544228.38619002944</v>
      </c>
      <c r="K13" s="34">
        <v>-53094.58</v>
      </c>
      <c r="L13" s="34">
        <v>-20331.080000000002</v>
      </c>
      <c r="M13" s="484">
        <v>44772.299622023187</v>
      </c>
      <c r="N13" s="484">
        <v>-6827.5590070950857</v>
      </c>
      <c r="O13" s="251">
        <f>SUM(LisäyksetVähennykset[[#This Row],[Kuntien yhdistymisavustus (-0,99 €/as)]:[TE25: Uudistuksen rahoituksen siirtymäajan porrastus (50 % kustannusperusteinen / 50 % vos-kriteerit)]])</f>
        <v>309811.74308997602</v>
      </c>
      <c r="P13" s="112"/>
    </row>
    <row r="14" spans="1:16" s="45" customFormat="1">
      <c r="A14" s="239">
        <v>49</v>
      </c>
      <c r="B14" s="239" t="s">
        <v>21</v>
      </c>
      <c r="C14" s="326">
        <v>-310883.76</v>
      </c>
      <c r="D14" s="121">
        <v>-562102.96</v>
      </c>
      <c r="E14" s="121">
        <v>-310883.76</v>
      </c>
      <c r="F14" s="121">
        <v>-3140.2400000000002</v>
      </c>
      <c r="G14" s="121">
        <v>-6437492</v>
      </c>
      <c r="H14" s="121">
        <v>-23734907.18</v>
      </c>
      <c r="I14" s="121">
        <v>116403180.46761133</v>
      </c>
      <c r="J14" s="34">
        <v>40012413.802446246</v>
      </c>
      <c r="K14" s="34">
        <v>-9414439.5199999996</v>
      </c>
      <c r="L14" s="34">
        <v>-3604995.52</v>
      </c>
      <c r="M14" s="484">
        <v>9001638.3093743287</v>
      </c>
      <c r="N14" s="484">
        <v>-2133879.9303534403</v>
      </c>
      <c r="O14" s="251">
        <f>SUM(LisäyksetVähennykset[[#This Row],[Kuntien yhdistymisavustus (-0,99 €/as)]:[TE25: Uudistuksen rahoituksen siirtymäajan porrastus (50 % kustannusperusteinen / 50 % vos-kriteerit)]])</f>
        <v>118904507.70907849</v>
      </c>
      <c r="P14" s="112"/>
    </row>
    <row r="15" spans="1:16" s="45" customFormat="1">
      <c r="A15" s="239">
        <v>50</v>
      </c>
      <c r="B15" s="239" t="s">
        <v>22</v>
      </c>
      <c r="C15" s="326">
        <v>-11072.16</v>
      </c>
      <c r="D15" s="121">
        <v>-20019.36</v>
      </c>
      <c r="E15" s="121">
        <v>-11072.16</v>
      </c>
      <c r="F15" s="121">
        <v>-111.84</v>
      </c>
      <c r="G15" s="121">
        <v>-229272</v>
      </c>
      <c r="H15" s="121">
        <v>-218322.13</v>
      </c>
      <c r="I15" s="121">
        <v>-901823.83140918578</v>
      </c>
      <c r="J15" s="34">
        <v>-339767.60508777661</v>
      </c>
      <c r="K15" s="34">
        <v>-335296.32</v>
      </c>
      <c r="L15" s="34">
        <v>-128392.32000000001</v>
      </c>
      <c r="M15" s="484">
        <v>295813.22828237887</v>
      </c>
      <c r="N15" s="484">
        <v>-84121.828383493237</v>
      </c>
      <c r="O15" s="251">
        <f>SUM(LisäyksetVähennykset[[#This Row],[Kuntien yhdistymisavustus (-0,99 €/as)]:[TE25: Uudistuksen rahoituksen siirtymäajan porrastus (50 % kustannusperusteinen / 50 % vos-kriteerit)]])</f>
        <v>-1983458.3265980766</v>
      </c>
      <c r="P15" s="112"/>
    </row>
    <row r="16" spans="1:16" s="104" customFormat="1">
      <c r="A16" s="239">
        <v>51</v>
      </c>
      <c r="B16" s="239" t="s">
        <v>23</v>
      </c>
      <c r="C16" s="326">
        <v>-9051.57</v>
      </c>
      <c r="D16" s="121">
        <v>-16365.970000000001</v>
      </c>
      <c r="E16" s="121">
        <v>-9051.57</v>
      </c>
      <c r="F16" s="121">
        <v>-91.43</v>
      </c>
      <c r="G16" s="121">
        <v>-187431.5</v>
      </c>
      <c r="H16" s="121">
        <v>-157020</v>
      </c>
      <c r="I16" s="121">
        <v>-4094168.4345235913</v>
      </c>
      <c r="J16" s="121">
        <v>-4343878.812916466</v>
      </c>
      <c r="K16" s="121">
        <v>-274107.14</v>
      </c>
      <c r="L16" s="121">
        <v>-104961.64</v>
      </c>
      <c r="M16" s="485">
        <v>263763.15918738878</v>
      </c>
      <c r="N16" s="485">
        <v>-58410.247076933156</v>
      </c>
      <c r="O16" s="251">
        <f>SUM(LisäyksetVähennykset[[#This Row],[Kuntien yhdistymisavustus (-0,99 €/as)]:[TE25: Uudistuksen rahoituksen siirtymäajan porrastus (50 % kustannusperusteinen / 50 % vos-kriteerit)]])</f>
        <v>-8990775.1553296018</v>
      </c>
      <c r="P16" s="60"/>
    </row>
    <row r="17" spans="1:16" s="45" customFormat="1">
      <c r="A17" s="239">
        <v>52</v>
      </c>
      <c r="B17" s="239" t="s">
        <v>24</v>
      </c>
      <c r="C17" s="326">
        <v>-2269.08</v>
      </c>
      <c r="D17" s="121">
        <v>-4102.68</v>
      </c>
      <c r="E17" s="121">
        <v>-2269.08</v>
      </c>
      <c r="F17" s="121">
        <v>-22.92</v>
      </c>
      <c r="G17" s="121">
        <v>-46986</v>
      </c>
      <c r="H17" s="121">
        <v>-25229.07</v>
      </c>
      <c r="I17" s="121">
        <v>435938.46574912104</v>
      </c>
      <c r="J17" s="34">
        <v>106639.63623406192</v>
      </c>
      <c r="K17" s="34">
        <v>-68714.16</v>
      </c>
      <c r="L17" s="34">
        <v>-26312.16</v>
      </c>
      <c r="M17" s="484">
        <v>65695.45264651801</v>
      </c>
      <c r="N17" s="484">
        <v>-2541.9784603274602</v>
      </c>
      <c r="O17" s="251">
        <f>SUM(LisäyksetVähennykset[[#This Row],[Kuntien yhdistymisavustus (-0,99 €/as)]:[TE25: Uudistuksen rahoituksen siirtymäajan porrastus (50 % kustannusperusteinen / 50 % vos-kriteerit)]])</f>
        <v>429826.42616937356</v>
      </c>
      <c r="P17" s="112"/>
    </row>
    <row r="18" spans="1:16" s="45" customFormat="1">
      <c r="A18" s="239">
        <v>61</v>
      </c>
      <c r="B18" s="239" t="s">
        <v>25</v>
      </c>
      <c r="C18" s="326">
        <v>-16304.31</v>
      </c>
      <c r="D18" s="121">
        <v>-29479.510000000002</v>
      </c>
      <c r="E18" s="121">
        <v>-16304.31</v>
      </c>
      <c r="F18" s="121">
        <v>-164.69</v>
      </c>
      <c r="G18" s="121">
        <v>-337614.5</v>
      </c>
      <c r="H18" s="121">
        <v>-1148842.6000000001</v>
      </c>
      <c r="I18" s="121">
        <v>680225.8650918114</v>
      </c>
      <c r="J18" s="34">
        <v>951481.85595671693</v>
      </c>
      <c r="K18" s="34">
        <v>-493740.62</v>
      </c>
      <c r="L18" s="34">
        <v>-189064.12</v>
      </c>
      <c r="M18" s="484">
        <v>1310691.9463011723</v>
      </c>
      <c r="N18" s="484">
        <v>149008.23836551048</v>
      </c>
      <c r="O18" s="251">
        <f>SUM(LisäyksetVähennykset[[#This Row],[Kuntien yhdistymisavustus (-0,99 €/as)]:[TE25: Uudistuksen rahoituksen siirtymäajan porrastus (50 % kustannusperusteinen / 50 % vos-kriteerit)]])</f>
        <v>859893.24571521091</v>
      </c>
      <c r="P18" s="112"/>
    </row>
    <row r="19" spans="1:16" s="45" customFormat="1">
      <c r="A19" s="239">
        <v>69</v>
      </c>
      <c r="B19" s="239" t="s">
        <v>26</v>
      </c>
      <c r="C19" s="326">
        <v>-6492.42</v>
      </c>
      <c r="D19" s="121">
        <v>-11738.82</v>
      </c>
      <c r="E19" s="121">
        <v>-6492.42</v>
      </c>
      <c r="F19" s="121">
        <v>-65.58</v>
      </c>
      <c r="G19" s="121">
        <v>-134439</v>
      </c>
      <c r="H19" s="121">
        <v>-206727.23</v>
      </c>
      <c r="I19" s="121">
        <v>-1819379.0551378445</v>
      </c>
      <c r="J19" s="34">
        <v>-1778632.6014557946</v>
      </c>
      <c r="K19" s="34">
        <v>-196608.84</v>
      </c>
      <c r="L19" s="34">
        <v>-75285.84</v>
      </c>
      <c r="M19" s="484">
        <v>225377.20761484338</v>
      </c>
      <c r="N19" s="484">
        <v>-30756.508334102924</v>
      </c>
      <c r="O19" s="251">
        <f>SUM(LisäyksetVähennykset[[#This Row],[Kuntien yhdistymisavustus (-0,99 €/as)]:[TE25: Uudistuksen rahoituksen siirtymäajan porrastus (50 % kustannusperusteinen / 50 % vos-kriteerit)]])</f>
        <v>-4041241.1073128986</v>
      </c>
      <c r="P19" s="112"/>
    </row>
    <row r="20" spans="1:16" s="45" customFormat="1">
      <c r="A20" s="239">
        <v>71</v>
      </c>
      <c r="B20" s="239" t="s">
        <v>27</v>
      </c>
      <c r="C20" s="326">
        <v>-6408.2699999999995</v>
      </c>
      <c r="D20" s="121">
        <v>-11586.67</v>
      </c>
      <c r="E20" s="121">
        <v>-6408.2699999999995</v>
      </c>
      <c r="F20" s="121">
        <v>-64.73</v>
      </c>
      <c r="G20" s="121">
        <v>-132696.5</v>
      </c>
      <c r="H20" s="121">
        <v>-167948.19</v>
      </c>
      <c r="I20" s="121">
        <v>-306682.04770555964</v>
      </c>
      <c r="J20" s="34">
        <v>-698838.7884267593</v>
      </c>
      <c r="K20" s="34">
        <v>-194060.54</v>
      </c>
      <c r="L20" s="34">
        <v>-74310.040000000008</v>
      </c>
      <c r="M20" s="484">
        <v>216053.06066545047</v>
      </c>
      <c r="N20" s="484">
        <v>-47362.09263628145</v>
      </c>
      <c r="O20" s="251">
        <f>SUM(LisäyksetVähennykset[[#This Row],[Kuntien yhdistymisavustus (-0,99 €/as)]:[TE25: Uudistuksen rahoituksen siirtymäajan porrastus (50 % kustannusperusteinen / 50 % vos-kriteerit)]])</f>
        <v>-1430313.07810315</v>
      </c>
      <c r="P20" s="112"/>
    </row>
    <row r="21" spans="1:16" s="45" customFormat="1">
      <c r="A21" s="239">
        <v>72</v>
      </c>
      <c r="B21" s="239" t="s">
        <v>28</v>
      </c>
      <c r="C21" s="326">
        <v>-938.52</v>
      </c>
      <c r="D21" s="121">
        <v>-1696.92</v>
      </c>
      <c r="E21" s="121">
        <v>-938.52</v>
      </c>
      <c r="F21" s="121">
        <v>-9.48</v>
      </c>
      <c r="G21" s="121">
        <v>-19434</v>
      </c>
      <c r="H21" s="121">
        <v>-15582.13</v>
      </c>
      <c r="I21" s="121">
        <v>-171618.28273126914</v>
      </c>
      <c r="J21" s="34">
        <v>-59425.425752845782</v>
      </c>
      <c r="K21" s="34">
        <v>-28421.040000000001</v>
      </c>
      <c r="L21" s="34">
        <v>-10883.04</v>
      </c>
      <c r="M21" s="484">
        <v>38544.153724807999</v>
      </c>
      <c r="N21" s="484">
        <v>11020.419102116561</v>
      </c>
      <c r="O21" s="251">
        <f>SUM(LisäyksetVähennykset[[#This Row],[Kuntien yhdistymisavustus (-0,99 €/as)]:[TE25: Uudistuksen rahoituksen siirtymäajan porrastus (50 % kustannusperusteinen / 50 % vos-kriteerit)]])</f>
        <v>-259382.78565719031</v>
      </c>
      <c r="P21" s="112"/>
    </row>
    <row r="22" spans="1:16" s="45" customFormat="1">
      <c r="A22" s="239">
        <v>74</v>
      </c>
      <c r="B22" s="239" t="s">
        <v>29</v>
      </c>
      <c r="C22" s="326">
        <v>-1002.87</v>
      </c>
      <c r="D22" s="121">
        <v>-1813.27</v>
      </c>
      <c r="E22" s="121">
        <v>-1002.87</v>
      </c>
      <c r="F22" s="121">
        <v>-10.130000000000001</v>
      </c>
      <c r="G22" s="121">
        <v>-20766.5</v>
      </c>
      <c r="H22" s="121">
        <v>-21036.38</v>
      </c>
      <c r="I22" s="121">
        <v>202287.86616323752</v>
      </c>
      <c r="J22" s="34">
        <v>41072.767158743933</v>
      </c>
      <c r="K22" s="34">
        <v>-30369.74</v>
      </c>
      <c r="L22" s="34">
        <v>-11629.24</v>
      </c>
      <c r="M22" s="484">
        <v>13527.519571801931</v>
      </c>
      <c r="N22" s="484">
        <v>6511.8184796957648</v>
      </c>
      <c r="O22" s="251">
        <f>SUM(LisäyksetVähennykset[[#This Row],[Kuntien yhdistymisavustus (-0,99 €/as)]:[TE25: Uudistuksen rahoituksen siirtymäajan porrastus (50 % kustannusperusteinen / 50 % vos-kriteerit)]])</f>
        <v>175768.97137347917</v>
      </c>
      <c r="P22" s="112"/>
    </row>
    <row r="23" spans="1:16" s="45" customFormat="1">
      <c r="A23" s="239">
        <v>75</v>
      </c>
      <c r="B23" s="239" t="s">
        <v>30</v>
      </c>
      <c r="C23" s="326">
        <v>-19338.66</v>
      </c>
      <c r="D23" s="121">
        <v>-34965.86</v>
      </c>
      <c r="E23" s="121">
        <v>-19338.66</v>
      </c>
      <c r="F23" s="121">
        <v>-195.34</v>
      </c>
      <c r="G23" s="121">
        <v>-400447</v>
      </c>
      <c r="H23" s="121">
        <v>-747336.12</v>
      </c>
      <c r="I23" s="121">
        <v>-4035140.9718102282</v>
      </c>
      <c r="J23" s="34">
        <v>-571813.33955003065</v>
      </c>
      <c r="K23" s="34">
        <v>-585629.32000000007</v>
      </c>
      <c r="L23" s="34">
        <v>-224250.32</v>
      </c>
      <c r="M23" s="484">
        <v>898453.91864475072</v>
      </c>
      <c r="N23" s="484">
        <v>50736.017258540262</v>
      </c>
      <c r="O23" s="251">
        <f>SUM(LisäyksetVähennykset[[#This Row],[Kuntien yhdistymisavustus (-0,99 €/as)]:[TE25: Uudistuksen rahoituksen siirtymäajan porrastus (50 % kustannusperusteinen / 50 % vos-kriteerit)]])</f>
        <v>-5689265.6554569677</v>
      </c>
      <c r="P23" s="112"/>
    </row>
    <row r="24" spans="1:16" s="45" customFormat="1">
      <c r="A24" s="239">
        <v>77</v>
      </c>
      <c r="B24" s="239" t="s">
        <v>31</v>
      </c>
      <c r="C24" s="326">
        <v>-4503.51</v>
      </c>
      <c r="D24" s="121">
        <v>-8142.71</v>
      </c>
      <c r="E24" s="121">
        <v>-4503.51</v>
      </c>
      <c r="F24" s="121">
        <v>-45.49</v>
      </c>
      <c r="G24" s="121">
        <v>-93254.5</v>
      </c>
      <c r="H24" s="121">
        <v>-142477.18</v>
      </c>
      <c r="I24" s="121">
        <v>-411774.1259344237</v>
      </c>
      <c r="J24" s="34">
        <v>-165082.38054579135</v>
      </c>
      <c r="K24" s="34">
        <v>-136379.01999999999</v>
      </c>
      <c r="L24" s="34">
        <v>-52222.520000000004</v>
      </c>
      <c r="M24" s="484">
        <v>207058.29587333102</v>
      </c>
      <c r="N24" s="484">
        <v>30524.938994398952</v>
      </c>
      <c r="O24" s="251">
        <f>SUM(LisäyksetVähennykset[[#This Row],[Kuntien yhdistymisavustus (-0,99 €/as)]:[TE25: Uudistuksen rahoituksen siirtymäajan porrastus (50 % kustannusperusteinen / 50 % vos-kriteerit)]])</f>
        <v>-780801.71161248512</v>
      </c>
      <c r="P24" s="112"/>
    </row>
    <row r="25" spans="1:16" s="45" customFormat="1">
      <c r="A25" s="239">
        <v>78</v>
      </c>
      <c r="B25" s="239" t="s">
        <v>32</v>
      </c>
      <c r="C25" s="326">
        <v>-7643.79</v>
      </c>
      <c r="D25" s="121">
        <v>-13820.59</v>
      </c>
      <c r="E25" s="121">
        <v>-7643.79</v>
      </c>
      <c r="F25" s="121">
        <v>-77.210000000000008</v>
      </c>
      <c r="G25" s="121">
        <v>-158280.5</v>
      </c>
      <c r="H25" s="121">
        <v>-341540.22</v>
      </c>
      <c r="I25" s="121">
        <v>-2245375.2181295166</v>
      </c>
      <c r="J25" s="34">
        <v>-633416.68429447222</v>
      </c>
      <c r="K25" s="34">
        <v>-231475.58000000002</v>
      </c>
      <c r="L25" s="34">
        <v>-88637.08</v>
      </c>
      <c r="M25" s="484">
        <v>329720.40269825689</v>
      </c>
      <c r="N25" s="484">
        <v>-27652.402024260198</v>
      </c>
      <c r="O25" s="251">
        <f>SUM(LisäyksetVähennykset[[#This Row],[Kuntien yhdistymisavustus (-0,99 €/as)]:[TE25: Uudistuksen rahoituksen siirtymäajan porrastus (50 % kustannusperusteinen / 50 % vos-kriteerit)]])</f>
        <v>-3425842.6617499921</v>
      </c>
      <c r="P25" s="112"/>
    </row>
    <row r="26" spans="1:16" s="45" customFormat="1">
      <c r="A26" s="239">
        <v>79</v>
      </c>
      <c r="B26" s="239" t="s">
        <v>33</v>
      </c>
      <c r="C26" s="326">
        <v>-6635.97</v>
      </c>
      <c r="D26" s="121">
        <v>-11998.37</v>
      </c>
      <c r="E26" s="121">
        <v>-6635.97</v>
      </c>
      <c r="F26" s="121">
        <v>-67.03</v>
      </c>
      <c r="G26" s="121">
        <v>-137411.5</v>
      </c>
      <c r="H26" s="121">
        <v>-358109.13</v>
      </c>
      <c r="I26" s="121">
        <v>-1053593.8958628413</v>
      </c>
      <c r="J26" s="34">
        <v>-798268.42399816879</v>
      </c>
      <c r="K26" s="34">
        <v>-200955.94</v>
      </c>
      <c r="L26" s="34">
        <v>-76950.44</v>
      </c>
      <c r="M26" s="484">
        <v>405339.7434121992</v>
      </c>
      <c r="N26" s="484">
        <v>-46982.46425413026</v>
      </c>
      <c r="O26" s="251">
        <f>SUM(LisäyksetVähennykset[[#This Row],[Kuntien yhdistymisavustus (-0,99 €/as)]:[TE25: Uudistuksen rahoituksen siirtymäajan porrastus (50 % kustannusperusteinen / 50 % vos-kriteerit)]])</f>
        <v>-2292269.390702941</v>
      </c>
      <c r="P26" s="112"/>
    </row>
    <row r="27" spans="1:16" s="45" customFormat="1">
      <c r="A27" s="239">
        <v>81</v>
      </c>
      <c r="B27" s="239" t="s">
        <v>34</v>
      </c>
      <c r="C27" s="326">
        <v>-2505.69</v>
      </c>
      <c r="D27" s="121">
        <v>-4530.49</v>
      </c>
      <c r="E27" s="121">
        <v>-2505.69</v>
      </c>
      <c r="F27" s="121">
        <v>-25.310000000000002</v>
      </c>
      <c r="G27" s="121">
        <v>-51885.5</v>
      </c>
      <c r="H27" s="121">
        <v>-84698.85</v>
      </c>
      <c r="I27" s="121">
        <v>-140682.24961389371</v>
      </c>
      <c r="J27" s="34">
        <v>30924.512983428147</v>
      </c>
      <c r="K27" s="34">
        <v>-75879.38</v>
      </c>
      <c r="L27" s="34">
        <v>-29055.88</v>
      </c>
      <c r="M27" s="484">
        <v>118360.59974001625</v>
      </c>
      <c r="N27" s="484">
        <v>52120.909618123522</v>
      </c>
      <c r="O27" s="251">
        <f>SUM(LisäyksetVähennykset[[#This Row],[Kuntien yhdistymisavustus (-0,99 €/as)]:[TE25: Uudistuksen rahoituksen siirtymäajan porrastus (50 % kustannusperusteinen / 50 % vos-kriteerit)]])</f>
        <v>-190363.01727232581</v>
      </c>
      <c r="P27" s="112"/>
    </row>
    <row r="28" spans="1:16" s="45" customFormat="1">
      <c r="A28" s="239">
        <v>82</v>
      </c>
      <c r="B28" s="239" t="s">
        <v>35</v>
      </c>
      <c r="C28" s="326">
        <v>-9277.2899999999991</v>
      </c>
      <c r="D28" s="121">
        <v>-16774.09</v>
      </c>
      <c r="E28" s="121">
        <v>-9277.2899999999991</v>
      </c>
      <c r="F28" s="121">
        <v>-93.710000000000008</v>
      </c>
      <c r="G28" s="121">
        <v>-192105.5</v>
      </c>
      <c r="H28" s="121">
        <v>-183331.41</v>
      </c>
      <c r="I28" s="121">
        <v>146175.49532770694</v>
      </c>
      <c r="J28" s="34">
        <v>-19108.502576521525</v>
      </c>
      <c r="K28" s="34">
        <v>-280942.58</v>
      </c>
      <c r="L28" s="34">
        <v>-107579.08</v>
      </c>
      <c r="M28" s="484">
        <v>235899.34011272225</v>
      </c>
      <c r="N28" s="484">
        <v>-6102.2327691583778</v>
      </c>
      <c r="O28" s="251">
        <f>SUM(LisäyksetVähennykset[[#This Row],[Kuntien yhdistymisavustus (-0,99 €/as)]:[TE25: Uudistuksen rahoituksen siirtymäajan porrastus (50 % kustannusperusteinen / 50 % vos-kriteerit)]])</f>
        <v>-442516.84990525077</v>
      </c>
      <c r="P28" s="112"/>
    </row>
    <row r="29" spans="1:16" s="45" customFormat="1">
      <c r="A29" s="239">
        <v>86</v>
      </c>
      <c r="B29" s="239" t="s">
        <v>36</v>
      </c>
      <c r="C29" s="326">
        <v>-7918.0199999999995</v>
      </c>
      <c r="D29" s="121">
        <v>-14316.42</v>
      </c>
      <c r="E29" s="121">
        <v>-7918.0199999999995</v>
      </c>
      <c r="F29" s="121">
        <v>-79.98</v>
      </c>
      <c r="G29" s="121">
        <v>-163959</v>
      </c>
      <c r="H29" s="121">
        <v>-235652.86</v>
      </c>
      <c r="I29" s="121">
        <v>-402318.4142881424</v>
      </c>
      <c r="J29" s="34">
        <v>-290734.49427277991</v>
      </c>
      <c r="K29" s="34">
        <v>-239780.04</v>
      </c>
      <c r="L29" s="34">
        <v>-91817.040000000008</v>
      </c>
      <c r="M29" s="484">
        <v>429084.17827694298</v>
      </c>
      <c r="N29" s="484">
        <v>-30190.233239103574</v>
      </c>
      <c r="O29" s="251">
        <f>SUM(LisäyksetVähennykset[[#This Row],[Kuntien yhdistymisavustus (-0,99 €/as)]:[TE25: Uudistuksen rahoituksen siirtymäajan porrastus (50 % kustannusperusteinen / 50 % vos-kriteerit)]])</f>
        <v>-1055600.3435230828</v>
      </c>
      <c r="P29" s="112"/>
    </row>
    <row r="30" spans="1:16" s="45" customFormat="1">
      <c r="A30" s="239">
        <v>90</v>
      </c>
      <c r="B30" s="239" t="s">
        <v>37</v>
      </c>
      <c r="C30" s="326">
        <v>-2970.99</v>
      </c>
      <c r="D30" s="121">
        <v>-5371.79</v>
      </c>
      <c r="E30" s="121">
        <v>-2970.99</v>
      </c>
      <c r="F30" s="121">
        <v>-30.01</v>
      </c>
      <c r="G30" s="121">
        <v>-61520.5</v>
      </c>
      <c r="H30" s="121">
        <v>-105493.43</v>
      </c>
      <c r="I30" s="121">
        <v>-485495.99844049948</v>
      </c>
      <c r="J30" s="34">
        <v>-990506.60409519274</v>
      </c>
      <c r="K30" s="34">
        <v>-89969.98</v>
      </c>
      <c r="L30" s="34">
        <v>-34451.480000000003</v>
      </c>
      <c r="M30" s="484">
        <v>157682.6419541467</v>
      </c>
      <c r="N30" s="484">
        <v>59908.305874767131</v>
      </c>
      <c r="O30" s="251">
        <f>SUM(LisäyksetVähennykset[[#This Row],[Kuntien yhdistymisavustus (-0,99 €/as)]:[TE25: Uudistuksen rahoituksen siirtymäajan porrastus (50 % kustannusperusteinen / 50 % vos-kriteerit)]])</f>
        <v>-1561190.8247067784</v>
      </c>
      <c r="P30" s="112"/>
    </row>
    <row r="31" spans="1:16" s="45" customFormat="1">
      <c r="A31" s="239">
        <v>91</v>
      </c>
      <c r="B31" s="239" t="s">
        <v>38</v>
      </c>
      <c r="C31" s="326">
        <v>-667755</v>
      </c>
      <c r="D31" s="121">
        <v>-1207355</v>
      </c>
      <c r="E31" s="121">
        <v>-667755</v>
      </c>
      <c r="F31" s="121">
        <v>-6745</v>
      </c>
      <c r="G31" s="121">
        <v>-13827250</v>
      </c>
      <c r="H31" s="121">
        <v>-62826123.759999998</v>
      </c>
      <c r="I31" s="121">
        <v>55076117.060363501</v>
      </c>
      <c r="J31" s="34">
        <v>-19779701.53538074</v>
      </c>
      <c r="K31" s="34">
        <v>-20221510</v>
      </c>
      <c r="L31" s="34">
        <v>-7743260</v>
      </c>
      <c r="M31" s="484">
        <v>17349434.160264015</v>
      </c>
      <c r="N31" s="484">
        <v>-7185599.912408337</v>
      </c>
      <c r="O31" s="251">
        <f>SUM(LisäyksetVähennykset[[#This Row],[Kuntien yhdistymisavustus (-0,99 €/as)]:[TE25: Uudistuksen rahoituksen siirtymäajan porrastus (50 % kustannusperusteinen / 50 % vos-kriteerit)]])</f>
        <v>-61707503.987161547</v>
      </c>
      <c r="P31" s="112"/>
    </row>
    <row r="32" spans="1:16" s="45" customFormat="1">
      <c r="A32" s="239">
        <v>92</v>
      </c>
      <c r="B32" s="239" t="s">
        <v>39</v>
      </c>
      <c r="C32" s="326">
        <v>-244968.57</v>
      </c>
      <c r="D32" s="121">
        <v>-442922.97000000003</v>
      </c>
      <c r="E32" s="121">
        <v>-244968.57</v>
      </c>
      <c r="F32" s="121">
        <v>-2474.4299999999998</v>
      </c>
      <c r="G32" s="121">
        <v>-5072581.5</v>
      </c>
      <c r="H32" s="121">
        <v>-27825503.23</v>
      </c>
      <c r="I32" s="121">
        <v>-26465622.019977588</v>
      </c>
      <c r="J32" s="34">
        <v>-495769.57870802219</v>
      </c>
      <c r="K32" s="34">
        <v>-7418341.1399999997</v>
      </c>
      <c r="L32" s="34">
        <v>-2840645.64</v>
      </c>
      <c r="M32" s="484">
        <v>10165974.187999807</v>
      </c>
      <c r="N32" s="484">
        <v>-1333642.5644538011</v>
      </c>
      <c r="O32" s="251">
        <f>SUM(LisäyksetVähennykset[[#This Row],[Kuntien yhdistymisavustus (-0,99 €/as)]:[TE25: Uudistuksen rahoituksen siirtymäajan porrastus (50 % kustannusperusteinen / 50 % vos-kriteerit)]])</f>
        <v>-62221466.025139615</v>
      </c>
      <c r="P32" s="112"/>
    </row>
    <row r="33" spans="1:16" s="45" customFormat="1">
      <c r="A33" s="239">
        <v>97</v>
      </c>
      <c r="B33" s="239" t="s">
        <v>40</v>
      </c>
      <c r="C33" s="326">
        <v>-2041.3799999999999</v>
      </c>
      <c r="D33" s="121">
        <v>-3690.98</v>
      </c>
      <c r="E33" s="121">
        <v>-2041.3799999999999</v>
      </c>
      <c r="F33" s="121">
        <v>-20.62</v>
      </c>
      <c r="G33" s="121">
        <v>-42271</v>
      </c>
      <c r="H33" s="121">
        <v>-89506.3</v>
      </c>
      <c r="I33" s="121">
        <v>-405409.91501179541</v>
      </c>
      <c r="J33" s="34">
        <v>135709.26166426818</v>
      </c>
      <c r="K33" s="34">
        <v>-61818.76</v>
      </c>
      <c r="L33" s="34">
        <v>-23671.760000000002</v>
      </c>
      <c r="M33" s="484">
        <v>71137.816863066037</v>
      </c>
      <c r="N33" s="484">
        <v>20416.839826619544</v>
      </c>
      <c r="O33" s="251">
        <f>SUM(LisäyksetVähennykset[[#This Row],[Kuntien yhdistymisavustus (-0,99 €/as)]:[TE25: Uudistuksen rahoituksen siirtymäajan porrastus (50 % kustannusperusteinen / 50 % vos-kriteerit)]])</f>
        <v>-403208.1766578416</v>
      </c>
      <c r="P33" s="112"/>
    </row>
    <row r="34" spans="1:16" s="104" customFormat="1">
      <c r="A34" s="237">
        <v>98</v>
      </c>
      <c r="B34" s="239" t="s">
        <v>41</v>
      </c>
      <c r="C34" s="326">
        <v>-22656.15</v>
      </c>
      <c r="D34" s="121">
        <v>-40964.15</v>
      </c>
      <c r="E34" s="121">
        <v>-22656.15</v>
      </c>
      <c r="F34" s="121">
        <v>-228.85</v>
      </c>
      <c r="G34" s="121">
        <v>-469142.5</v>
      </c>
      <c r="H34" s="121">
        <v>-833832.43</v>
      </c>
      <c r="I34" s="121">
        <v>4495154.9679005193</v>
      </c>
      <c r="J34" s="121">
        <v>2294189.3512036996</v>
      </c>
      <c r="K34" s="121">
        <v>-686092.3</v>
      </c>
      <c r="L34" s="121">
        <v>-262719.8</v>
      </c>
      <c r="M34" s="485">
        <v>721277.40261503099</v>
      </c>
      <c r="N34" s="485">
        <v>207839.01915640628</v>
      </c>
      <c r="O34" s="251">
        <f>SUM(LisäyksetVähennykset[[#This Row],[Kuntien yhdistymisavustus (-0,99 €/as)]:[TE25: Uudistuksen rahoituksen siirtymäajan porrastus (50 % kustannusperusteinen / 50 % vos-kriteerit)]])</f>
        <v>5380168.4108756566</v>
      </c>
      <c r="P34" s="60"/>
    </row>
    <row r="35" spans="1:16" s="45" customFormat="1">
      <c r="A35" s="239">
        <v>102</v>
      </c>
      <c r="B35" s="239" t="s">
        <v>42</v>
      </c>
      <c r="C35" s="326">
        <v>-9549.5399999999991</v>
      </c>
      <c r="D35" s="121">
        <v>-17266.34</v>
      </c>
      <c r="E35" s="121">
        <v>-9549.5399999999991</v>
      </c>
      <c r="F35" s="121">
        <v>-96.460000000000008</v>
      </c>
      <c r="G35" s="121">
        <v>-197743</v>
      </c>
      <c r="H35" s="121">
        <v>-235171.44</v>
      </c>
      <c r="I35" s="121">
        <v>310285.04827605054</v>
      </c>
      <c r="J35" s="34">
        <v>-19896.608356469947</v>
      </c>
      <c r="K35" s="34">
        <v>-289187.08</v>
      </c>
      <c r="L35" s="34">
        <v>-110736.08</v>
      </c>
      <c r="M35" s="484">
        <v>541626.13667940395</v>
      </c>
      <c r="N35" s="484">
        <v>-76969.691936936812</v>
      </c>
      <c r="O35" s="251">
        <f>SUM(LisäyksetVähennykset[[#This Row],[Kuntien yhdistymisavustus (-0,99 €/as)]:[TE25: Uudistuksen rahoituksen siirtymäajan porrastus (50 % kustannusperusteinen / 50 % vos-kriteerit)]])</f>
        <v>-114254.59533795225</v>
      </c>
      <c r="P35" s="112"/>
    </row>
    <row r="36" spans="1:16" s="45" customFormat="1">
      <c r="A36" s="239">
        <v>103</v>
      </c>
      <c r="B36" s="239" t="s">
        <v>43</v>
      </c>
      <c r="C36" s="326">
        <v>-2103.75</v>
      </c>
      <c r="D36" s="121">
        <v>-3803.75</v>
      </c>
      <c r="E36" s="121">
        <v>-2103.75</v>
      </c>
      <c r="F36" s="121">
        <v>-21.25</v>
      </c>
      <c r="G36" s="121">
        <v>-43562.5</v>
      </c>
      <c r="H36" s="121">
        <v>-74615.37</v>
      </c>
      <c r="I36" s="121">
        <v>142099.67890654004</v>
      </c>
      <c r="J36" s="34">
        <v>2391.2790878643864</v>
      </c>
      <c r="K36" s="34">
        <v>-63707.5</v>
      </c>
      <c r="L36" s="34">
        <v>-24395</v>
      </c>
      <c r="M36" s="484">
        <v>120371.25168263924</v>
      </c>
      <c r="N36" s="484">
        <v>-4501.4550415641861</v>
      </c>
      <c r="O36" s="251">
        <f>SUM(LisäyksetVähennykset[[#This Row],[Kuntien yhdistymisavustus (-0,99 €/as)]:[TE25: Uudistuksen rahoituksen siirtymäajan porrastus (50 % kustannusperusteinen / 50 % vos-kriteerit)]])</f>
        <v>46047.88463547948</v>
      </c>
      <c r="P36" s="112"/>
    </row>
    <row r="37" spans="1:16" s="45" customFormat="1">
      <c r="A37" s="239">
        <v>105</v>
      </c>
      <c r="B37" s="239" t="s">
        <v>44</v>
      </c>
      <c r="C37" s="326">
        <v>-2042.37</v>
      </c>
      <c r="D37" s="121">
        <v>-3692.77</v>
      </c>
      <c r="E37" s="121">
        <v>-2042.37</v>
      </c>
      <c r="F37" s="121">
        <v>-20.63</v>
      </c>
      <c r="G37" s="121">
        <v>-42291.5</v>
      </c>
      <c r="H37" s="121">
        <v>-52308.57</v>
      </c>
      <c r="I37" s="121">
        <v>416536.76124356815</v>
      </c>
      <c r="J37" s="34">
        <v>328455.82999370474</v>
      </c>
      <c r="K37" s="34">
        <v>-61848.74</v>
      </c>
      <c r="L37" s="34">
        <v>-23683.24</v>
      </c>
      <c r="M37" s="484">
        <v>112731.41746281052</v>
      </c>
      <c r="N37" s="484">
        <v>22917.963835480274</v>
      </c>
      <c r="O37" s="251">
        <f>SUM(LisäyksetVähennykset[[#This Row],[Kuntien yhdistymisavustus (-0,99 €/as)]:[TE25: Uudistuksen rahoituksen siirtymäajan porrastus (50 % kustannusperusteinen / 50 % vos-kriteerit)]])</f>
        <v>692711.78253556369</v>
      </c>
      <c r="P37" s="112"/>
    </row>
    <row r="38" spans="1:16" s="45" customFormat="1">
      <c r="A38" s="239">
        <v>106</v>
      </c>
      <c r="B38" s="239" t="s">
        <v>45</v>
      </c>
      <c r="C38" s="326">
        <v>-46431.99</v>
      </c>
      <c r="D38" s="121">
        <v>-83952.790000000008</v>
      </c>
      <c r="E38" s="121">
        <v>-46431.99</v>
      </c>
      <c r="F38" s="121">
        <v>-469.01</v>
      </c>
      <c r="G38" s="121">
        <v>-961470.5</v>
      </c>
      <c r="H38" s="121">
        <v>-3224298.72</v>
      </c>
      <c r="I38" s="121">
        <v>-1346101.2265264208</v>
      </c>
      <c r="J38" s="34">
        <v>-95546.596332244662</v>
      </c>
      <c r="K38" s="34">
        <v>-1406091.98</v>
      </c>
      <c r="L38" s="34">
        <v>-538423.48</v>
      </c>
      <c r="M38" s="484">
        <v>2167594.440275576</v>
      </c>
      <c r="N38" s="484">
        <v>-221747.33646902861</v>
      </c>
      <c r="O38" s="251">
        <f>SUM(LisäyksetVähennykset[[#This Row],[Kuntien yhdistymisavustus (-0,99 €/as)]:[TE25: Uudistuksen rahoituksen siirtymäajan porrastus (50 % kustannusperusteinen / 50 % vos-kriteerit)]])</f>
        <v>-5803371.1790521182</v>
      </c>
      <c r="P38" s="112"/>
    </row>
    <row r="39" spans="1:16" s="45" customFormat="1">
      <c r="A39" s="239">
        <v>108</v>
      </c>
      <c r="B39" s="239" t="s">
        <v>46</v>
      </c>
      <c r="C39" s="326">
        <v>-10215.81</v>
      </c>
      <c r="D39" s="121">
        <v>-18471.010000000002</v>
      </c>
      <c r="E39" s="121">
        <v>-10215.81</v>
      </c>
      <c r="F39" s="121">
        <v>-103.19</v>
      </c>
      <c r="G39" s="121">
        <v>-211539.5</v>
      </c>
      <c r="H39" s="121">
        <v>-351507.7</v>
      </c>
      <c r="I39" s="121">
        <v>874673.67666952522</v>
      </c>
      <c r="J39" s="34">
        <v>-20941.971463551796</v>
      </c>
      <c r="K39" s="34">
        <v>-309363.62</v>
      </c>
      <c r="L39" s="34">
        <v>-118462.12000000001</v>
      </c>
      <c r="M39" s="484">
        <v>386967.165501957</v>
      </c>
      <c r="N39" s="484">
        <v>-21031.335229176213</v>
      </c>
      <c r="O39" s="251">
        <f>SUM(LisäyksetVähennykset[[#This Row],[Kuntien yhdistymisavustus (-0,99 €/as)]:[TE25: Uudistuksen rahoituksen siirtymäajan porrastus (50 % kustannusperusteinen / 50 % vos-kriteerit)]])</f>
        <v>189788.77547875419</v>
      </c>
      <c r="P39" s="112"/>
    </row>
    <row r="40" spans="1:16" s="45" customFormat="1">
      <c r="A40" s="239">
        <v>109</v>
      </c>
      <c r="B40" s="239" t="s">
        <v>47</v>
      </c>
      <c r="C40" s="326">
        <v>-67635.81</v>
      </c>
      <c r="D40" s="121">
        <v>-122291.01000000001</v>
      </c>
      <c r="E40" s="121">
        <v>-67635.81</v>
      </c>
      <c r="F40" s="121">
        <v>-683.19</v>
      </c>
      <c r="G40" s="121">
        <v>-1400539.5</v>
      </c>
      <c r="H40" s="121">
        <v>-4628540.6100000003</v>
      </c>
      <c r="I40" s="121">
        <v>804310.22624768852</v>
      </c>
      <c r="J40" s="34">
        <v>998860.96547255316</v>
      </c>
      <c r="K40" s="34">
        <v>-2048203.62</v>
      </c>
      <c r="L40" s="34">
        <v>-784302.12</v>
      </c>
      <c r="M40" s="484">
        <v>2513980.6113185212</v>
      </c>
      <c r="N40" s="484">
        <v>-123305.76957446057</v>
      </c>
      <c r="O40" s="251">
        <f>SUM(LisäyksetVähennykset[[#This Row],[Kuntien yhdistymisavustus (-0,99 €/as)]:[TE25: Uudistuksen rahoituksen siirtymäajan porrastus (50 % kustannusperusteinen / 50 % vos-kriteerit)]])</f>
        <v>-4925985.6365356985</v>
      </c>
      <c r="P40" s="112"/>
    </row>
    <row r="41" spans="1:16" s="45" customFormat="1">
      <c r="A41" s="239">
        <v>111</v>
      </c>
      <c r="B41" s="239" t="s">
        <v>48</v>
      </c>
      <c r="C41" s="326">
        <v>-17773.47</v>
      </c>
      <c r="D41" s="121">
        <v>-32135.87</v>
      </c>
      <c r="E41" s="121">
        <v>-17773.47</v>
      </c>
      <c r="F41" s="121">
        <v>-179.53</v>
      </c>
      <c r="G41" s="121">
        <v>-368036.5</v>
      </c>
      <c r="H41" s="121">
        <v>-1031284.89</v>
      </c>
      <c r="I41" s="121">
        <v>3283324.5640364131</v>
      </c>
      <c r="J41" s="34">
        <v>3225428.107731347</v>
      </c>
      <c r="K41" s="34">
        <v>-538230.94000000006</v>
      </c>
      <c r="L41" s="34">
        <v>-206100.44</v>
      </c>
      <c r="M41" s="484">
        <v>580310.68038950115</v>
      </c>
      <c r="N41" s="484">
        <v>179809.7820217507</v>
      </c>
      <c r="O41" s="251">
        <f>SUM(LisäyksetVähennykset[[#This Row],[Kuntien yhdistymisavustus (-0,99 €/as)]:[TE25: Uudistuksen rahoituksen siirtymäajan porrastus (50 % kustannusperusteinen / 50 % vos-kriteerit)]])</f>
        <v>5057358.0241790107</v>
      </c>
      <c r="P41" s="112"/>
    </row>
    <row r="42" spans="1:16" s="45" customFormat="1">
      <c r="A42" s="239">
        <v>139</v>
      </c>
      <c r="B42" s="239" t="s">
        <v>49</v>
      </c>
      <c r="C42" s="326">
        <v>-9668.34</v>
      </c>
      <c r="D42" s="121">
        <v>-17481.14</v>
      </c>
      <c r="E42" s="121">
        <v>-9668.34</v>
      </c>
      <c r="F42" s="121">
        <v>-97.66</v>
      </c>
      <c r="G42" s="121">
        <v>-200203</v>
      </c>
      <c r="H42" s="121">
        <v>-248091.35</v>
      </c>
      <c r="I42" s="121">
        <v>-910061.4245212822</v>
      </c>
      <c r="J42" s="34">
        <v>-975970.95030888345</v>
      </c>
      <c r="K42" s="34">
        <v>-292784.68</v>
      </c>
      <c r="L42" s="34">
        <v>-112113.68000000001</v>
      </c>
      <c r="M42" s="484">
        <v>551606.1976680411</v>
      </c>
      <c r="N42" s="484">
        <v>-21863.993628415512</v>
      </c>
      <c r="O42" s="251">
        <f>SUM(LisäyksetVähennykset[[#This Row],[Kuntien yhdistymisavustus (-0,99 €/as)]:[TE25: Uudistuksen rahoituksen siirtymäajan porrastus (50 % kustannusperusteinen / 50 % vos-kriteerit)]])</f>
        <v>-2246398.3607905405</v>
      </c>
      <c r="P42" s="112"/>
    </row>
    <row r="43" spans="1:16" s="45" customFormat="1">
      <c r="A43" s="239">
        <v>140</v>
      </c>
      <c r="B43" s="239" t="s">
        <v>50</v>
      </c>
      <c r="C43" s="326">
        <v>-20411.82</v>
      </c>
      <c r="D43" s="121">
        <v>-36906.22</v>
      </c>
      <c r="E43" s="121">
        <v>-20411.82</v>
      </c>
      <c r="F43" s="121">
        <v>-206.18</v>
      </c>
      <c r="G43" s="121">
        <v>-422669</v>
      </c>
      <c r="H43" s="121">
        <v>-1111284</v>
      </c>
      <c r="I43" s="121">
        <v>5687944.3897173535</v>
      </c>
      <c r="J43" s="34">
        <v>2596793.7351489444</v>
      </c>
      <c r="K43" s="34">
        <v>-618127.64</v>
      </c>
      <c r="L43" s="34">
        <v>-236694.64</v>
      </c>
      <c r="M43" s="484">
        <v>778185.43467979413</v>
      </c>
      <c r="N43" s="484">
        <v>95173.226077933097</v>
      </c>
      <c r="O43" s="251">
        <f>SUM(LisäyksetVähennykset[[#This Row],[Kuntien yhdistymisavustus (-0,99 €/as)]:[TE25: Uudistuksen rahoituksen siirtymäajan porrastus (50 % kustannusperusteinen / 50 % vos-kriteerit)]])</f>
        <v>6691385.465624026</v>
      </c>
      <c r="P43" s="112"/>
    </row>
    <row r="44" spans="1:16" s="45" customFormat="1">
      <c r="A44" s="239">
        <v>142</v>
      </c>
      <c r="B44" s="239" t="s">
        <v>51</v>
      </c>
      <c r="C44" s="326">
        <v>-6379.5599999999995</v>
      </c>
      <c r="D44" s="121">
        <v>-11534.76</v>
      </c>
      <c r="E44" s="121">
        <v>-6379.5599999999995</v>
      </c>
      <c r="F44" s="121">
        <v>-64.44</v>
      </c>
      <c r="G44" s="121">
        <v>-132102</v>
      </c>
      <c r="H44" s="121">
        <v>-188889.27</v>
      </c>
      <c r="I44" s="121">
        <v>302401.4120114441</v>
      </c>
      <c r="J44" s="34">
        <v>151635.52981143817</v>
      </c>
      <c r="K44" s="34">
        <v>-193191.12</v>
      </c>
      <c r="L44" s="34">
        <v>-73977.12000000001</v>
      </c>
      <c r="M44" s="484">
        <v>182776.87291591475</v>
      </c>
      <c r="N44" s="484">
        <v>103493.03297188698</v>
      </c>
      <c r="O44" s="251">
        <f>SUM(LisäyksetVähennykset[[#This Row],[Kuntien yhdistymisavustus (-0,99 €/as)]:[TE25: Uudistuksen rahoituksen siirtymäajan porrastus (50 % kustannusperusteinen / 50 % vos-kriteerit)]])</f>
        <v>127789.01771068404</v>
      </c>
      <c r="P44" s="112"/>
    </row>
    <row r="45" spans="1:16" s="45" customFormat="1">
      <c r="A45" s="239">
        <v>143</v>
      </c>
      <c r="B45" s="239" t="s">
        <v>52</v>
      </c>
      <c r="C45" s="326">
        <v>-6781.5</v>
      </c>
      <c r="D45" s="121">
        <v>-12261.5</v>
      </c>
      <c r="E45" s="121">
        <v>-6781.5</v>
      </c>
      <c r="F45" s="121">
        <v>-68.5</v>
      </c>
      <c r="G45" s="121">
        <v>-140425</v>
      </c>
      <c r="H45" s="121">
        <v>-323110.83</v>
      </c>
      <c r="I45" s="121">
        <v>-569157.69478586689</v>
      </c>
      <c r="J45" s="34">
        <v>-13891.895665204878</v>
      </c>
      <c r="K45" s="34">
        <v>-205363</v>
      </c>
      <c r="L45" s="34">
        <v>-78638</v>
      </c>
      <c r="M45" s="484">
        <v>334277.64786337712</v>
      </c>
      <c r="N45" s="484">
        <v>-30698.06326210656</v>
      </c>
      <c r="O45" s="251">
        <f>SUM(LisäyksetVähennykset[[#This Row],[Kuntien yhdistymisavustus (-0,99 €/as)]:[TE25: Uudistuksen rahoituksen siirtymäajan porrastus (50 % kustannusperusteinen / 50 % vos-kriteerit)]])</f>
        <v>-1052899.8358498013</v>
      </c>
      <c r="P45" s="112"/>
    </row>
    <row r="46" spans="1:16" s="45" customFormat="1">
      <c r="A46" s="239">
        <v>145</v>
      </c>
      <c r="B46" s="239" t="s">
        <v>53</v>
      </c>
      <c r="C46" s="326">
        <v>-12219.57</v>
      </c>
      <c r="D46" s="121">
        <v>-22093.97</v>
      </c>
      <c r="E46" s="121">
        <v>-12219.57</v>
      </c>
      <c r="F46" s="121">
        <v>-123.43</v>
      </c>
      <c r="G46" s="121">
        <v>-253031.5</v>
      </c>
      <c r="H46" s="121">
        <v>-330115.8</v>
      </c>
      <c r="I46" s="121">
        <v>918783.69266658579</v>
      </c>
      <c r="J46" s="34">
        <v>-132802.5207368797</v>
      </c>
      <c r="K46" s="34">
        <v>-370043.14</v>
      </c>
      <c r="L46" s="34">
        <v>-141697.64000000001</v>
      </c>
      <c r="M46" s="484">
        <v>366573.14791111095</v>
      </c>
      <c r="N46" s="484">
        <v>-28996.128218111524</v>
      </c>
      <c r="O46" s="251">
        <f>SUM(LisäyksetVähennykset[[#This Row],[Kuntien yhdistymisavustus (-0,99 €/as)]:[TE25: Uudistuksen rahoituksen siirtymäajan porrastus (50 % kustannusperusteinen / 50 % vos-kriteerit)]])</f>
        <v>-17986.428377294447</v>
      </c>
      <c r="P46" s="112"/>
    </row>
    <row r="47" spans="1:16" s="45" customFormat="1">
      <c r="A47" s="239">
        <v>146</v>
      </c>
      <c r="B47" s="239" t="s">
        <v>54</v>
      </c>
      <c r="C47" s="326">
        <v>-4361.9399999999996</v>
      </c>
      <c r="D47" s="121">
        <v>-7886.74</v>
      </c>
      <c r="E47" s="121">
        <v>-4361.9399999999996</v>
      </c>
      <c r="F47" s="121">
        <v>-44.06</v>
      </c>
      <c r="G47" s="121">
        <v>-90323</v>
      </c>
      <c r="H47" s="121">
        <v>-112186.71</v>
      </c>
      <c r="I47" s="121">
        <v>304573.67127162195</v>
      </c>
      <c r="J47" s="34">
        <v>-9171.4278847884052</v>
      </c>
      <c r="K47" s="34">
        <v>-132091.88</v>
      </c>
      <c r="L47" s="34">
        <v>-50580.880000000005</v>
      </c>
      <c r="M47" s="484">
        <v>151013.83184553613</v>
      </c>
      <c r="N47" s="484">
        <v>109622.328486663</v>
      </c>
      <c r="O47" s="251">
        <f>SUM(LisäyksetVähennykset[[#This Row],[Kuntien yhdistymisavustus (-0,99 €/as)]:[TE25: Uudistuksen rahoituksen siirtymäajan porrastus (50 % kustannusperusteinen / 50 % vos-kriteerit)]])</f>
        <v>154201.25371903265</v>
      </c>
      <c r="P47" s="112"/>
    </row>
    <row r="48" spans="1:16" s="45" customFormat="1">
      <c r="A48" s="239">
        <v>148</v>
      </c>
      <c r="B48" s="239" t="s">
        <v>55</v>
      </c>
      <c r="C48" s="326">
        <v>-7055.73</v>
      </c>
      <c r="D48" s="121">
        <v>-12757.33</v>
      </c>
      <c r="E48" s="121">
        <v>-7055.73</v>
      </c>
      <c r="F48" s="121">
        <v>-71.27</v>
      </c>
      <c r="G48" s="121">
        <v>-146103.5</v>
      </c>
      <c r="H48" s="121">
        <v>-104189.14</v>
      </c>
      <c r="I48" s="121">
        <v>804492.87175756262</v>
      </c>
      <c r="J48" s="34">
        <v>2281919.1657308736</v>
      </c>
      <c r="K48" s="34">
        <v>-213667.46</v>
      </c>
      <c r="L48" s="34">
        <v>-81817.960000000006</v>
      </c>
      <c r="M48" s="484">
        <v>258610.77684593294</v>
      </c>
      <c r="N48" s="484">
        <v>19892.532452005602</v>
      </c>
      <c r="O48" s="251">
        <f>SUM(LisäyksetVähennykset[[#This Row],[Kuntien yhdistymisavustus (-0,99 €/as)]:[TE25: Uudistuksen rahoituksen siirtymäajan porrastus (50 % kustannusperusteinen / 50 % vos-kriteerit)]])</f>
        <v>2792197.2267863746</v>
      </c>
      <c r="P48" s="112"/>
    </row>
    <row r="49" spans="1:16" s="45" customFormat="1">
      <c r="A49" s="239">
        <v>149</v>
      </c>
      <c r="B49" s="239" t="s">
        <v>56</v>
      </c>
      <c r="C49" s="326">
        <v>-5325.21</v>
      </c>
      <c r="D49" s="121">
        <v>-9628.41</v>
      </c>
      <c r="E49" s="121">
        <v>-5325.21</v>
      </c>
      <c r="F49" s="121">
        <v>-53.79</v>
      </c>
      <c r="G49" s="121">
        <v>-110269.5</v>
      </c>
      <c r="H49" s="121">
        <v>-123815.32</v>
      </c>
      <c r="I49" s="121">
        <v>653747.95431239984</v>
      </c>
      <c r="J49" s="34">
        <v>314248.63122719532</v>
      </c>
      <c r="K49" s="34">
        <v>-161262.42000000001</v>
      </c>
      <c r="L49" s="34">
        <v>-61750.920000000006</v>
      </c>
      <c r="M49" s="484">
        <v>38187.848451073107</v>
      </c>
      <c r="N49" s="484">
        <v>-41273.641941106674</v>
      </c>
      <c r="O49" s="251">
        <f>SUM(LisäyksetVähennykset[[#This Row],[Kuntien yhdistymisavustus (-0,99 €/as)]:[TE25: Uudistuksen rahoituksen siirtymäajan porrastus (50 % kustannusperusteinen / 50 % vos-kriteerit)]])</f>
        <v>487480.0120495616</v>
      </c>
      <c r="P49" s="112"/>
    </row>
    <row r="50" spans="1:16" s="45" customFormat="1">
      <c r="A50" s="239">
        <v>151</v>
      </c>
      <c r="B50" s="239" t="s">
        <v>57</v>
      </c>
      <c r="C50" s="326">
        <v>-1795.86</v>
      </c>
      <c r="D50" s="121">
        <v>-3247.06</v>
      </c>
      <c r="E50" s="121">
        <v>-1795.86</v>
      </c>
      <c r="F50" s="121">
        <v>-18.14</v>
      </c>
      <c r="G50" s="121">
        <v>-37187</v>
      </c>
      <c r="H50" s="121">
        <v>-39937.15</v>
      </c>
      <c r="I50" s="121">
        <v>-213180.22948828325</v>
      </c>
      <c r="J50" s="34">
        <v>-246248.487306036</v>
      </c>
      <c r="K50" s="34">
        <v>-54383.72</v>
      </c>
      <c r="L50" s="34">
        <v>-20824.72</v>
      </c>
      <c r="M50" s="484">
        <v>60101.949634589699</v>
      </c>
      <c r="N50" s="484">
        <v>-17995.622120208107</v>
      </c>
      <c r="O50" s="251">
        <f>SUM(LisäyksetVähennykset[[#This Row],[Kuntien yhdistymisavustus (-0,99 €/as)]:[TE25: Uudistuksen rahoituksen siirtymäajan porrastus (50 % kustannusperusteinen / 50 % vos-kriteerit)]])</f>
        <v>-576511.89927993761</v>
      </c>
      <c r="P50" s="112"/>
    </row>
    <row r="51" spans="1:16" s="45" customFormat="1">
      <c r="A51" s="239">
        <v>152</v>
      </c>
      <c r="B51" s="239" t="s">
        <v>58</v>
      </c>
      <c r="C51" s="326">
        <v>-4313.43</v>
      </c>
      <c r="D51" s="121">
        <v>-7799.03</v>
      </c>
      <c r="E51" s="121">
        <v>-4313.43</v>
      </c>
      <c r="F51" s="121">
        <v>-43.57</v>
      </c>
      <c r="G51" s="121">
        <v>-89318.5</v>
      </c>
      <c r="H51" s="121">
        <v>-151875.29999999999</v>
      </c>
      <c r="I51" s="121">
        <v>225339.63208022303</v>
      </c>
      <c r="J51" s="34">
        <v>-120320.29680676878</v>
      </c>
      <c r="K51" s="34">
        <v>-130622.86</v>
      </c>
      <c r="L51" s="34">
        <v>-50018.36</v>
      </c>
      <c r="M51" s="484">
        <v>152581.63259346157</v>
      </c>
      <c r="N51" s="484">
        <v>5731.4119079385709</v>
      </c>
      <c r="O51" s="251">
        <f>SUM(LisäyksetVähennykset[[#This Row],[Kuntien yhdistymisavustus (-0,99 €/as)]:[TE25: Uudistuksen rahoituksen siirtymäajan porrastus (50 % kustannusperusteinen / 50 % vos-kriteerit)]])</f>
        <v>-174972.10022514558</v>
      </c>
      <c r="P51" s="112"/>
    </row>
    <row r="52" spans="1:16" s="45" customFormat="1">
      <c r="A52" s="239">
        <v>153</v>
      </c>
      <c r="B52" s="239" t="s">
        <v>59</v>
      </c>
      <c r="C52" s="326">
        <v>-24669.81</v>
      </c>
      <c r="D52" s="121">
        <v>-44605.01</v>
      </c>
      <c r="E52" s="121">
        <v>-24669.81</v>
      </c>
      <c r="F52" s="121">
        <v>-249.19</v>
      </c>
      <c r="G52" s="121">
        <v>-510839.5</v>
      </c>
      <c r="H52" s="121">
        <v>-1630508.78</v>
      </c>
      <c r="I52" s="121">
        <v>5223923.2469535852</v>
      </c>
      <c r="J52" s="34">
        <v>3525696.3191372911</v>
      </c>
      <c r="K52" s="34">
        <v>-747071.62</v>
      </c>
      <c r="L52" s="34">
        <v>-286070.12</v>
      </c>
      <c r="M52" s="484">
        <v>1970819.4952160623</v>
      </c>
      <c r="N52" s="484">
        <v>346274.98578856629</v>
      </c>
      <c r="O52" s="251">
        <f>SUM(LisäyksetVähennykset[[#This Row],[Kuntien yhdistymisavustus (-0,99 €/as)]:[TE25: Uudistuksen rahoituksen siirtymäajan porrastus (50 % kustannusperusteinen / 50 % vos-kriteerit)]])</f>
        <v>7798030.2070955047</v>
      </c>
      <c r="P52" s="112"/>
    </row>
    <row r="53" spans="1:16" s="45" customFormat="1">
      <c r="A53" s="239">
        <v>165</v>
      </c>
      <c r="B53" s="239" t="s">
        <v>60</v>
      </c>
      <c r="C53" s="326">
        <v>-15961.77</v>
      </c>
      <c r="D53" s="121">
        <v>-28860.170000000002</v>
      </c>
      <c r="E53" s="121">
        <v>-15961.77</v>
      </c>
      <c r="F53" s="121">
        <v>-161.22999999999999</v>
      </c>
      <c r="G53" s="121">
        <v>-330521.5</v>
      </c>
      <c r="H53" s="121">
        <v>-698647.92</v>
      </c>
      <c r="I53" s="121">
        <v>696649.80188388797</v>
      </c>
      <c r="J53" s="34">
        <v>-33239.280045493149</v>
      </c>
      <c r="K53" s="34">
        <v>-483367.54</v>
      </c>
      <c r="L53" s="34">
        <v>-185092.04</v>
      </c>
      <c r="M53" s="484">
        <v>637902.4292259661</v>
      </c>
      <c r="N53" s="484">
        <v>2000.5997718785657</v>
      </c>
      <c r="O53" s="251">
        <f>SUM(LisäyksetVähennykset[[#This Row],[Kuntien yhdistymisavustus (-0,99 €/as)]:[TE25: Uudistuksen rahoituksen siirtymäajan porrastus (50 % kustannusperusteinen / 50 % vos-kriteerit)]])</f>
        <v>-455260.38916376058</v>
      </c>
      <c r="P53" s="112"/>
    </row>
    <row r="54" spans="1:16" s="45" customFormat="1">
      <c r="A54" s="239">
        <v>167</v>
      </c>
      <c r="B54" s="239" t="s">
        <v>61</v>
      </c>
      <c r="C54" s="326">
        <v>-77281.38</v>
      </c>
      <c r="D54" s="121">
        <v>-139730.98000000001</v>
      </c>
      <c r="E54" s="121">
        <v>-77281.38</v>
      </c>
      <c r="F54" s="121">
        <v>-780.62</v>
      </c>
      <c r="G54" s="121">
        <v>-1600271</v>
      </c>
      <c r="H54" s="121">
        <v>-5101237.62</v>
      </c>
      <c r="I54" s="121">
        <v>1010348.5497270249</v>
      </c>
      <c r="J54" s="34">
        <v>128417.87922830612</v>
      </c>
      <c r="K54" s="34">
        <v>-2340298.7600000002</v>
      </c>
      <c r="L54" s="34">
        <v>-896151.76</v>
      </c>
      <c r="M54" s="484">
        <v>3139853.0823817085</v>
      </c>
      <c r="N54" s="484">
        <v>1502263.5776622919</v>
      </c>
      <c r="O54" s="251">
        <f>SUM(LisäyksetVähennykset[[#This Row],[Kuntien yhdistymisavustus (-0,99 €/as)]:[TE25: Uudistuksen rahoituksen siirtymäajan porrastus (50 % kustannusperusteinen / 50 % vos-kriteerit)]])</f>
        <v>-4452150.4110006699</v>
      </c>
      <c r="P54" s="112"/>
    </row>
    <row r="55" spans="1:16" s="45" customFormat="1">
      <c r="A55" s="239">
        <v>169</v>
      </c>
      <c r="B55" s="239" t="s">
        <v>62</v>
      </c>
      <c r="C55" s="326">
        <v>-4866.84</v>
      </c>
      <c r="D55" s="121">
        <v>-8799.64</v>
      </c>
      <c r="E55" s="121">
        <v>-4866.84</v>
      </c>
      <c r="F55" s="121">
        <v>-49.160000000000004</v>
      </c>
      <c r="G55" s="121">
        <v>-100778</v>
      </c>
      <c r="H55" s="121">
        <v>-152506.56</v>
      </c>
      <c r="I55" s="121">
        <v>348419.59021290694</v>
      </c>
      <c r="J55" s="34">
        <v>95834.853090436067</v>
      </c>
      <c r="K55" s="34">
        <v>-147381.68</v>
      </c>
      <c r="L55" s="34">
        <v>-56435.68</v>
      </c>
      <c r="M55" s="484">
        <v>236395.50705608181</v>
      </c>
      <c r="N55" s="484">
        <v>4768.3599613720144</v>
      </c>
      <c r="O55" s="251">
        <f>SUM(LisäyksetVähennykset[[#This Row],[Kuntien yhdistymisavustus (-0,99 €/as)]:[TE25: Uudistuksen rahoituksen siirtymäajan porrastus (50 % kustannusperusteinen / 50 % vos-kriteerit)]])</f>
        <v>209733.91032079689</v>
      </c>
      <c r="P55" s="112"/>
    </row>
    <row r="56" spans="1:16" s="45" customFormat="1">
      <c r="A56" s="239">
        <v>171</v>
      </c>
      <c r="B56" s="239" t="s">
        <v>63</v>
      </c>
      <c r="C56" s="326">
        <v>-4544.1000000000004</v>
      </c>
      <c r="D56" s="121">
        <v>-8216.1</v>
      </c>
      <c r="E56" s="121">
        <v>-4544.1000000000004</v>
      </c>
      <c r="F56" s="121">
        <v>-45.9</v>
      </c>
      <c r="G56" s="121">
        <v>-94095</v>
      </c>
      <c r="H56" s="121">
        <v>-148770.45000000001</v>
      </c>
      <c r="I56" s="121">
        <v>-11485.531544051584</v>
      </c>
      <c r="J56" s="34">
        <v>-81266.329255218458</v>
      </c>
      <c r="K56" s="34">
        <v>-137608.20000000001</v>
      </c>
      <c r="L56" s="34">
        <v>-52693.200000000004</v>
      </c>
      <c r="M56" s="484">
        <v>252707.80440952297</v>
      </c>
      <c r="N56" s="484">
        <v>38390.200908622122</v>
      </c>
      <c r="O56" s="251">
        <f>SUM(LisäyksetVähennykset[[#This Row],[Kuntien yhdistymisavustus (-0,99 €/as)]:[TE25: Uudistuksen rahoituksen siirtymäajan porrastus (50 % kustannusperusteinen / 50 % vos-kriteerit)]])</f>
        <v>-252170.90548112494</v>
      </c>
      <c r="P56" s="112"/>
    </row>
    <row r="57" spans="1:16" s="45" customFormat="1">
      <c r="A57" s="239">
        <v>172</v>
      </c>
      <c r="B57" s="239" t="s">
        <v>64</v>
      </c>
      <c r="C57" s="326">
        <v>-4038.21</v>
      </c>
      <c r="D57" s="121">
        <v>-7301.41</v>
      </c>
      <c r="E57" s="121">
        <v>-4038.21</v>
      </c>
      <c r="F57" s="121">
        <v>-40.79</v>
      </c>
      <c r="G57" s="121">
        <v>-83619.5</v>
      </c>
      <c r="H57" s="121">
        <v>-142144.06</v>
      </c>
      <c r="I57" s="121">
        <v>50478.673624909396</v>
      </c>
      <c r="J57" s="34">
        <v>-34976.630971635466</v>
      </c>
      <c r="K57" s="34">
        <v>-122288.42</v>
      </c>
      <c r="L57" s="34">
        <v>-46826.92</v>
      </c>
      <c r="M57" s="484">
        <v>155567.12333135976</v>
      </c>
      <c r="N57" s="484">
        <v>31736.553435443726</v>
      </c>
      <c r="O57" s="251">
        <f>SUM(LisäyksetVähennykset[[#This Row],[Kuntien yhdistymisavustus (-0,99 €/as)]:[TE25: Uudistuksen rahoituksen siirtymäajan porrastus (50 % kustannusperusteinen / 50 % vos-kriteerit)]])</f>
        <v>-207491.80057992256</v>
      </c>
      <c r="P57" s="112"/>
    </row>
    <row r="58" spans="1:16" s="45" customFormat="1">
      <c r="A58" s="239">
        <v>176</v>
      </c>
      <c r="B58" s="239" t="s">
        <v>65</v>
      </c>
      <c r="C58" s="326">
        <v>-4216.41</v>
      </c>
      <c r="D58" s="121">
        <v>-7623.6100000000006</v>
      </c>
      <c r="E58" s="121">
        <v>-4216.41</v>
      </c>
      <c r="F58" s="121">
        <v>-42.59</v>
      </c>
      <c r="G58" s="121">
        <v>-87309.5</v>
      </c>
      <c r="H58" s="121">
        <v>-166408.29999999999</v>
      </c>
      <c r="I58" s="121">
        <v>-1211231.1006262582</v>
      </c>
      <c r="J58" s="34">
        <v>-811796.08442966011</v>
      </c>
      <c r="K58" s="34">
        <v>-127684.82</v>
      </c>
      <c r="L58" s="34">
        <v>-48893.32</v>
      </c>
      <c r="M58" s="484">
        <v>223821.04717298021</v>
      </c>
      <c r="N58" s="484">
        <v>142040.3866616099</v>
      </c>
      <c r="O58" s="251">
        <f>SUM(LisäyksetVähennykset[[#This Row],[Kuntien yhdistymisavustus (-0,99 €/as)]:[TE25: Uudistuksen rahoituksen siirtymäajan porrastus (50 % kustannusperusteinen / 50 % vos-kriteerit)]])</f>
        <v>-2103560.7112213275</v>
      </c>
      <c r="P58" s="112"/>
    </row>
    <row r="59" spans="1:16" s="45" customFormat="1">
      <c r="A59" s="239">
        <v>177</v>
      </c>
      <c r="B59" s="239" t="s">
        <v>66</v>
      </c>
      <c r="C59" s="326">
        <v>-1690.92</v>
      </c>
      <c r="D59" s="121">
        <v>-3057.32</v>
      </c>
      <c r="E59" s="121">
        <v>-1690.92</v>
      </c>
      <c r="F59" s="121">
        <v>-17.080000000000002</v>
      </c>
      <c r="G59" s="121">
        <v>-35014</v>
      </c>
      <c r="H59" s="121">
        <v>-59333.88</v>
      </c>
      <c r="I59" s="121">
        <v>360287.54861490434</v>
      </c>
      <c r="J59" s="34">
        <v>300214.24050722696</v>
      </c>
      <c r="K59" s="34">
        <v>-51205.840000000004</v>
      </c>
      <c r="L59" s="34">
        <v>-19607.84</v>
      </c>
      <c r="M59" s="484">
        <v>82428.2548913098</v>
      </c>
      <c r="N59" s="484">
        <v>6621.2886668207648</v>
      </c>
      <c r="O59" s="251">
        <f>SUM(LisäyksetVähennykset[[#This Row],[Kuntien yhdistymisavustus (-0,99 €/as)]:[TE25: Uudistuksen rahoituksen siirtymäajan porrastus (50 % kustannusperusteinen / 50 % vos-kriteerit)]])</f>
        <v>577933.53268026176</v>
      </c>
      <c r="P59" s="112"/>
    </row>
    <row r="60" spans="1:16" s="45" customFormat="1">
      <c r="A60" s="239">
        <v>178</v>
      </c>
      <c r="B60" s="239" t="s">
        <v>67</v>
      </c>
      <c r="C60" s="326">
        <v>-5676.66</v>
      </c>
      <c r="D60" s="121">
        <v>-10263.86</v>
      </c>
      <c r="E60" s="121">
        <v>-5676.66</v>
      </c>
      <c r="F60" s="121">
        <v>-57.34</v>
      </c>
      <c r="G60" s="121">
        <v>-117547</v>
      </c>
      <c r="H60" s="121">
        <v>-128338.3</v>
      </c>
      <c r="I60" s="121">
        <v>563572.22020073293</v>
      </c>
      <c r="J60" s="34">
        <v>-11778.710478037468</v>
      </c>
      <c r="K60" s="34">
        <v>-171905.32</v>
      </c>
      <c r="L60" s="34">
        <v>-65826.320000000007</v>
      </c>
      <c r="M60" s="484">
        <v>203959.63121501342</v>
      </c>
      <c r="N60" s="484">
        <v>21442.610390423652</v>
      </c>
      <c r="O60" s="251">
        <f>SUM(LisäyksetVähennykset[[#This Row],[Kuntien yhdistymisavustus (-0,99 €/as)]:[TE25: Uudistuksen rahoituksen siirtymäajan porrastus (50 % kustannusperusteinen / 50 % vos-kriteerit)]])</f>
        <v>271904.2913281325</v>
      </c>
      <c r="P60" s="112"/>
    </row>
    <row r="61" spans="1:16" s="45" customFormat="1">
      <c r="A61" s="239">
        <v>179</v>
      </c>
      <c r="B61" s="239" t="s">
        <v>68</v>
      </c>
      <c r="C61" s="326">
        <v>-146268.54</v>
      </c>
      <c r="D61" s="121">
        <v>-264465.34000000003</v>
      </c>
      <c r="E61" s="121">
        <v>-146268.54</v>
      </c>
      <c r="F61" s="121">
        <v>-1477.46</v>
      </c>
      <c r="G61" s="121">
        <v>-3028793</v>
      </c>
      <c r="H61" s="121">
        <v>-13442261.689999999</v>
      </c>
      <c r="I61" s="121">
        <v>-16953557.2812845</v>
      </c>
      <c r="J61" s="34">
        <v>-2029882.8146062607</v>
      </c>
      <c r="K61" s="34">
        <v>-4429425.08</v>
      </c>
      <c r="L61" s="34">
        <v>-1696124.08</v>
      </c>
      <c r="M61" s="484">
        <v>7246237.8489585929</v>
      </c>
      <c r="N61" s="484">
        <v>1185752.7363789473</v>
      </c>
      <c r="O61" s="251">
        <f>SUM(LisäyksetVähennykset[[#This Row],[Kuntien yhdistymisavustus (-0,99 €/as)]:[TE25: Uudistuksen rahoituksen siirtymäajan porrastus (50 % kustannusperusteinen / 50 % vos-kriteerit)]])</f>
        <v>-33706533.240553223</v>
      </c>
      <c r="P61" s="112"/>
    </row>
    <row r="62" spans="1:16" s="45" customFormat="1">
      <c r="A62" s="239">
        <v>181</v>
      </c>
      <c r="B62" s="239" t="s">
        <v>69</v>
      </c>
      <c r="C62" s="326">
        <v>-1665.18</v>
      </c>
      <c r="D62" s="121">
        <v>-3010.78</v>
      </c>
      <c r="E62" s="121">
        <v>-1665.18</v>
      </c>
      <c r="F62" s="121">
        <v>-16.82</v>
      </c>
      <c r="G62" s="121">
        <v>-34481</v>
      </c>
      <c r="H62" s="121">
        <v>-34118.28</v>
      </c>
      <c r="I62" s="121">
        <v>394555.77329883224</v>
      </c>
      <c r="J62" s="34">
        <v>216051.59972624638</v>
      </c>
      <c r="K62" s="34">
        <v>-50426.36</v>
      </c>
      <c r="L62" s="34">
        <v>-19309.36</v>
      </c>
      <c r="M62" s="484">
        <v>67066.497713681718</v>
      </c>
      <c r="N62" s="484">
        <v>-16322.922481365204</v>
      </c>
      <c r="O62" s="251">
        <f>SUM(LisäyksetVähennykset[[#This Row],[Kuntien yhdistymisavustus (-0,99 €/as)]:[TE25: Uudistuksen rahoituksen siirtymäajan porrastus (50 % kustannusperusteinen / 50 % vos-kriteerit)]])</f>
        <v>516657.98825739516</v>
      </c>
      <c r="P62" s="112"/>
    </row>
    <row r="63" spans="1:16" s="45" customFormat="1">
      <c r="A63" s="239">
        <v>182</v>
      </c>
      <c r="B63" s="239" t="s">
        <v>70</v>
      </c>
      <c r="C63" s="326">
        <v>-18990.18</v>
      </c>
      <c r="D63" s="121">
        <v>-34335.78</v>
      </c>
      <c r="E63" s="121">
        <v>-18990.18</v>
      </c>
      <c r="F63" s="121">
        <v>-191.82</v>
      </c>
      <c r="G63" s="121">
        <v>-393231</v>
      </c>
      <c r="H63" s="121">
        <v>-842074.57</v>
      </c>
      <c r="I63" s="121">
        <v>-1698618.1868244917</v>
      </c>
      <c r="J63" s="34">
        <v>-39501.250063891646</v>
      </c>
      <c r="K63" s="34">
        <v>-575076.36</v>
      </c>
      <c r="L63" s="34">
        <v>-220209.36000000002</v>
      </c>
      <c r="M63" s="484">
        <v>1296076.7919070318</v>
      </c>
      <c r="N63" s="484">
        <v>97658.581142477226</v>
      </c>
      <c r="O63" s="251">
        <f>SUM(LisäyksetVähennykset[[#This Row],[Kuntien yhdistymisavustus (-0,99 €/as)]:[TE25: Uudistuksen rahoituksen siirtymäajan porrastus (50 % kustannusperusteinen / 50 % vos-kriteerit)]])</f>
        <v>-2447483.3138388735</v>
      </c>
      <c r="P63" s="112"/>
    </row>
    <row r="64" spans="1:16" s="45" customFormat="1">
      <c r="A64" s="239">
        <v>186</v>
      </c>
      <c r="B64" s="239" t="s">
        <v>71</v>
      </c>
      <c r="C64" s="326">
        <v>-46025.1</v>
      </c>
      <c r="D64" s="121">
        <v>-83217.100000000006</v>
      </c>
      <c r="E64" s="121">
        <v>-46025.1</v>
      </c>
      <c r="F64" s="121">
        <v>-464.90000000000003</v>
      </c>
      <c r="G64" s="121">
        <v>-953045</v>
      </c>
      <c r="H64" s="121">
        <v>-4112359.48</v>
      </c>
      <c r="I64" s="121">
        <v>-5507718.4701112546</v>
      </c>
      <c r="J64" s="34">
        <v>-1241404.6711998202</v>
      </c>
      <c r="K64" s="34">
        <v>-1393770.2</v>
      </c>
      <c r="L64" s="34">
        <v>-533705.20000000007</v>
      </c>
      <c r="M64" s="484">
        <v>1230984.5746319396</v>
      </c>
      <c r="N64" s="484">
        <v>-423112.6882463037</v>
      </c>
      <c r="O64" s="251">
        <f>SUM(LisäyksetVähennykset[[#This Row],[Kuntien yhdistymisavustus (-0,99 €/as)]:[TE25: Uudistuksen rahoituksen siirtymäajan porrastus (50 % kustannusperusteinen / 50 % vos-kriteerit)]])</f>
        <v>-13109863.334925437</v>
      </c>
      <c r="P64" s="112"/>
    </row>
    <row r="65" spans="1:16" s="45" customFormat="1">
      <c r="A65" s="239">
        <v>202</v>
      </c>
      <c r="B65" s="239" t="s">
        <v>72</v>
      </c>
      <c r="C65" s="326">
        <v>-35975.61</v>
      </c>
      <c r="D65" s="121">
        <v>-65046.81</v>
      </c>
      <c r="E65" s="121">
        <v>-35975.61</v>
      </c>
      <c r="F65" s="121">
        <v>-363.39</v>
      </c>
      <c r="G65" s="121">
        <v>-744949.5</v>
      </c>
      <c r="H65" s="121">
        <v>-1181887.3799999999</v>
      </c>
      <c r="I65" s="121">
        <v>5611023.2644015951</v>
      </c>
      <c r="J65" s="34">
        <v>1857878.1065678671</v>
      </c>
      <c r="K65" s="34">
        <v>-1089443.22</v>
      </c>
      <c r="L65" s="34">
        <v>-417171.72000000003</v>
      </c>
      <c r="M65" s="484">
        <v>1227989.8820834362</v>
      </c>
      <c r="N65" s="484">
        <v>-137273.46010994469</v>
      </c>
      <c r="O65" s="251">
        <f>SUM(LisäyksetVähennykset[[#This Row],[Kuntien yhdistymisavustus (-0,99 €/as)]:[TE25: Uudistuksen rahoituksen siirtymäajan porrastus (50 % kustannusperusteinen / 50 % vos-kriteerit)]])</f>
        <v>4988804.552942954</v>
      </c>
      <c r="P65" s="112"/>
    </row>
    <row r="66" spans="1:16" s="45" customFormat="1">
      <c r="A66" s="239">
        <v>204</v>
      </c>
      <c r="B66" s="239" t="s">
        <v>73</v>
      </c>
      <c r="C66" s="326">
        <v>-2601.7199999999998</v>
      </c>
      <c r="D66" s="121">
        <v>-4704.12</v>
      </c>
      <c r="E66" s="121">
        <v>-2601.7199999999998</v>
      </c>
      <c r="F66" s="121">
        <v>-26.28</v>
      </c>
      <c r="G66" s="121">
        <v>-53874</v>
      </c>
      <c r="H66" s="121">
        <v>-136277.56</v>
      </c>
      <c r="I66" s="121">
        <v>-781894.76511632674</v>
      </c>
      <c r="J66" s="34">
        <v>-869642.77397586929</v>
      </c>
      <c r="K66" s="34">
        <v>-78787.44</v>
      </c>
      <c r="L66" s="34">
        <v>-30169.440000000002</v>
      </c>
      <c r="M66" s="484">
        <v>80854.91897010681</v>
      </c>
      <c r="N66" s="484">
        <v>-12873.423818452764</v>
      </c>
      <c r="O66" s="251">
        <f>SUM(LisäyksetVähennykset[[#This Row],[Kuntien yhdistymisavustus (-0,99 €/as)]:[TE25: Uudistuksen rahoituksen siirtymäajan porrastus (50 % kustannusperusteinen / 50 % vos-kriteerit)]])</f>
        <v>-1892598.3239405418</v>
      </c>
      <c r="P66" s="112"/>
    </row>
    <row r="67" spans="1:16" s="45" customFormat="1">
      <c r="A67" s="239">
        <v>205</v>
      </c>
      <c r="B67" s="239" t="s">
        <v>74</v>
      </c>
      <c r="C67" s="326">
        <v>-36147.870000000003</v>
      </c>
      <c r="D67" s="121">
        <v>-65358.270000000004</v>
      </c>
      <c r="E67" s="121">
        <v>-36147.870000000003</v>
      </c>
      <c r="F67" s="121">
        <v>-365.13</v>
      </c>
      <c r="G67" s="121">
        <v>-748516.5</v>
      </c>
      <c r="H67" s="121">
        <v>-2039330.86</v>
      </c>
      <c r="I67" s="121">
        <v>-5505661.1376929609</v>
      </c>
      <c r="J67" s="34">
        <v>-2553780.6794888005</v>
      </c>
      <c r="K67" s="34">
        <v>-1094659.74</v>
      </c>
      <c r="L67" s="34">
        <v>-419169.24</v>
      </c>
      <c r="M67" s="484">
        <v>1831739.1055438765</v>
      </c>
      <c r="N67" s="484">
        <v>825911.9339898196</v>
      </c>
      <c r="O67" s="251">
        <f>SUM(LisäyksetVähennykset[[#This Row],[Kuntien yhdistymisavustus (-0,99 €/as)]:[TE25: Uudistuksen rahoituksen siirtymäajan porrastus (50 % kustannusperusteinen / 50 % vos-kriteerit)]])</f>
        <v>-9841486.2576480675</v>
      </c>
      <c r="P67" s="112"/>
    </row>
    <row r="68" spans="1:16" s="45" customFormat="1">
      <c r="A68" s="239">
        <v>208</v>
      </c>
      <c r="B68" s="239" t="s">
        <v>75</v>
      </c>
      <c r="C68" s="326">
        <v>-12248.28</v>
      </c>
      <c r="D68" s="121">
        <v>-22145.88</v>
      </c>
      <c r="E68" s="121">
        <v>-12248.28</v>
      </c>
      <c r="F68" s="121">
        <v>-123.72</v>
      </c>
      <c r="G68" s="121">
        <v>-253626</v>
      </c>
      <c r="H68" s="121">
        <v>-346978.71</v>
      </c>
      <c r="I68" s="121">
        <v>1090660.0327865274</v>
      </c>
      <c r="J68" s="34">
        <v>-25184.675636434768</v>
      </c>
      <c r="K68" s="34">
        <v>-370912.56</v>
      </c>
      <c r="L68" s="34">
        <v>-142030.56</v>
      </c>
      <c r="M68" s="484">
        <v>420396.04003848805</v>
      </c>
      <c r="N68" s="484">
        <v>-107148.13116009632</v>
      </c>
      <c r="O68" s="251">
        <f>SUM(LisäyksetVähennykset[[#This Row],[Kuntien yhdistymisavustus (-0,99 €/as)]:[TE25: Uudistuksen rahoituksen siirtymäajan porrastus (50 % kustannusperusteinen / 50 % vos-kriteerit)]])</f>
        <v>218409.27602848428</v>
      </c>
      <c r="P68" s="112"/>
    </row>
    <row r="69" spans="1:16" s="45" customFormat="1">
      <c r="A69" s="239">
        <v>211</v>
      </c>
      <c r="B69" s="239" t="s">
        <v>76</v>
      </c>
      <c r="C69" s="326">
        <v>-33138.269999999997</v>
      </c>
      <c r="D69" s="121">
        <v>-59916.67</v>
      </c>
      <c r="E69" s="121">
        <v>-33138.269999999997</v>
      </c>
      <c r="F69" s="121">
        <v>-334.73</v>
      </c>
      <c r="G69" s="121">
        <v>-686196.5</v>
      </c>
      <c r="H69" s="121">
        <v>-1164863.01</v>
      </c>
      <c r="I69" s="121">
        <v>227491.82921693509</v>
      </c>
      <c r="J69" s="34">
        <v>-67293.208293575473</v>
      </c>
      <c r="K69" s="34">
        <v>-1003520.54</v>
      </c>
      <c r="L69" s="34">
        <v>-384270.04000000004</v>
      </c>
      <c r="M69" s="484">
        <v>703191.42589983507</v>
      </c>
      <c r="N69" s="484">
        <v>-166716.6928596159</v>
      </c>
      <c r="O69" s="251">
        <f>SUM(LisäyksetVähennykset[[#This Row],[Kuntien yhdistymisavustus (-0,99 €/as)]:[TE25: Uudistuksen rahoituksen siirtymäajan porrastus (50 % kustannusperusteinen / 50 % vos-kriteerit)]])</f>
        <v>-2668704.6760364212</v>
      </c>
      <c r="P69" s="112"/>
    </row>
    <row r="70" spans="1:16" s="45" customFormat="1">
      <c r="A70" s="239">
        <v>213</v>
      </c>
      <c r="B70" s="239" t="s">
        <v>77</v>
      </c>
      <c r="C70" s="326">
        <v>-5062.8599999999997</v>
      </c>
      <c r="D70" s="121">
        <v>-9154.06</v>
      </c>
      <c r="E70" s="121">
        <v>-5062.8599999999997</v>
      </c>
      <c r="F70" s="121">
        <v>-51.14</v>
      </c>
      <c r="G70" s="121">
        <v>-104837</v>
      </c>
      <c r="H70" s="121">
        <v>-180648.98</v>
      </c>
      <c r="I70" s="121">
        <v>-469288.93150539533</v>
      </c>
      <c r="J70" s="34">
        <v>-35468.065877429173</v>
      </c>
      <c r="K70" s="34">
        <v>-153317.72</v>
      </c>
      <c r="L70" s="34">
        <v>-58708.72</v>
      </c>
      <c r="M70" s="484">
        <v>294952.8221835086</v>
      </c>
      <c r="N70" s="484">
        <v>99677.745951398654</v>
      </c>
      <c r="O70" s="251">
        <f>SUM(LisäyksetVähennykset[[#This Row],[Kuntien yhdistymisavustus (-0,99 €/as)]:[TE25: Uudistuksen rahoituksen siirtymäajan porrastus (50 % kustannusperusteinen / 50 % vos-kriteerit)]])</f>
        <v>-626969.76924791734</v>
      </c>
      <c r="P70" s="112"/>
    </row>
    <row r="71" spans="1:16" s="45" customFormat="1">
      <c r="A71" s="239">
        <v>214</v>
      </c>
      <c r="B71" s="243" t="s">
        <v>78</v>
      </c>
      <c r="C71" s="326">
        <v>-12270.06</v>
      </c>
      <c r="D71" s="121">
        <v>-22185.260000000002</v>
      </c>
      <c r="E71" s="121">
        <v>-12270.06</v>
      </c>
      <c r="F71" s="121">
        <v>-123.94</v>
      </c>
      <c r="G71" s="121">
        <v>-254077</v>
      </c>
      <c r="H71" s="121">
        <v>-335058.81</v>
      </c>
      <c r="I71" s="121">
        <v>-359613.47144234675</v>
      </c>
      <c r="J71" s="34">
        <v>-21353.084624993669</v>
      </c>
      <c r="K71" s="34">
        <v>-371572.12</v>
      </c>
      <c r="L71" s="34">
        <v>-142283.12</v>
      </c>
      <c r="M71" s="484">
        <v>899235.07130062208</v>
      </c>
      <c r="N71" s="484">
        <v>102284.7895763003</v>
      </c>
      <c r="O71" s="251">
        <f>SUM(LisäyksetVähennykset[[#This Row],[Kuntien yhdistymisavustus (-0,99 €/as)]:[TE25: Uudistuksen rahoituksen siirtymäajan porrastus (50 % kustannusperusteinen / 50 % vos-kriteerit)]])</f>
        <v>-529287.06519041827</v>
      </c>
      <c r="P71" s="112"/>
    </row>
    <row r="72" spans="1:16" s="45" customFormat="1">
      <c r="A72" s="239">
        <v>216</v>
      </c>
      <c r="B72" s="239" t="s">
        <v>79</v>
      </c>
      <c r="C72" s="326">
        <v>-1204.83</v>
      </c>
      <c r="D72" s="121">
        <v>-2178.4299999999998</v>
      </c>
      <c r="E72" s="121">
        <v>-1204.83</v>
      </c>
      <c r="F72" s="121">
        <v>-12.17</v>
      </c>
      <c r="G72" s="121">
        <v>-24948.5</v>
      </c>
      <c r="H72" s="121">
        <v>-27726.59</v>
      </c>
      <c r="I72" s="121">
        <v>82910.212932417213</v>
      </c>
      <c r="J72" s="34">
        <v>-2590.9487947009097</v>
      </c>
      <c r="K72" s="34">
        <v>-36485.660000000003</v>
      </c>
      <c r="L72" s="34">
        <v>-13971.16</v>
      </c>
      <c r="M72" s="484">
        <v>72270.500594464087</v>
      </c>
      <c r="N72" s="484">
        <v>16290.841766442682</v>
      </c>
      <c r="O72" s="251">
        <f>SUM(LisäyksetVähennykset[[#This Row],[Kuntien yhdistymisavustus (-0,99 €/as)]:[TE25: Uudistuksen rahoituksen siirtymäajan porrastus (50 % kustannusperusteinen / 50 % vos-kriteerit)]])</f>
        <v>61148.436498623065</v>
      </c>
      <c r="P72" s="112"/>
    </row>
    <row r="73" spans="1:16" s="45" customFormat="1">
      <c r="A73" s="239">
        <v>217</v>
      </c>
      <c r="B73" s="239" t="s">
        <v>80</v>
      </c>
      <c r="C73" s="326">
        <v>-5193.54</v>
      </c>
      <c r="D73" s="121">
        <v>-9390.34</v>
      </c>
      <c r="E73" s="121">
        <v>-5193.54</v>
      </c>
      <c r="F73" s="121">
        <v>-52.46</v>
      </c>
      <c r="G73" s="121">
        <v>-107543</v>
      </c>
      <c r="H73" s="121">
        <v>-126882.81</v>
      </c>
      <c r="I73" s="121">
        <v>-723950.50658415561</v>
      </c>
      <c r="J73" s="34">
        <v>-756201.79312371288</v>
      </c>
      <c r="K73" s="34">
        <v>-157275.08000000002</v>
      </c>
      <c r="L73" s="34">
        <v>-60224.08</v>
      </c>
      <c r="M73" s="484">
        <v>156458.54626414285</v>
      </c>
      <c r="N73" s="484">
        <v>-12861.935648909595</v>
      </c>
      <c r="O73" s="251">
        <f>SUM(LisäyksetVähennykset[[#This Row],[Kuntien yhdistymisavustus (-0,99 €/as)]:[TE25: Uudistuksen rahoituksen siirtymäajan porrastus (50 % kustannusperusteinen / 50 % vos-kriteerit)]])</f>
        <v>-1808310.5390926355</v>
      </c>
      <c r="P73" s="112"/>
    </row>
    <row r="74" spans="1:16" s="45" customFormat="1">
      <c r="A74" s="239">
        <v>218</v>
      </c>
      <c r="B74" s="239" t="s">
        <v>81</v>
      </c>
      <c r="C74" s="326">
        <v>-1176.1199999999999</v>
      </c>
      <c r="D74" s="121">
        <v>-2126.52</v>
      </c>
      <c r="E74" s="121">
        <v>-1176.1199999999999</v>
      </c>
      <c r="F74" s="121">
        <v>-11.88</v>
      </c>
      <c r="G74" s="121">
        <v>-24354</v>
      </c>
      <c r="H74" s="121">
        <v>-35642.980000000003</v>
      </c>
      <c r="I74" s="121">
        <v>331647.56100849988</v>
      </c>
      <c r="J74" s="34">
        <v>136625.94592829514</v>
      </c>
      <c r="K74" s="34">
        <v>-35616.239999999998</v>
      </c>
      <c r="L74" s="34">
        <v>-13638.24</v>
      </c>
      <c r="M74" s="484">
        <v>43032.407021864608</v>
      </c>
      <c r="N74" s="484">
        <v>-7711.6554202235566</v>
      </c>
      <c r="O74" s="251">
        <f>SUM(LisäyksetVähennykset[[#This Row],[Kuntien yhdistymisavustus (-0,99 €/as)]:[TE25: Uudistuksen rahoituksen siirtymäajan porrastus (50 % kustannusperusteinen / 50 % vos-kriteerit)]])</f>
        <v>389852.15853843611</v>
      </c>
      <c r="P74" s="112"/>
    </row>
    <row r="75" spans="1:16" s="45" customFormat="1">
      <c r="A75" s="239">
        <v>224</v>
      </c>
      <c r="B75" s="239" t="s">
        <v>82</v>
      </c>
      <c r="C75" s="326">
        <v>-8495.19</v>
      </c>
      <c r="D75" s="121">
        <v>-15359.99</v>
      </c>
      <c r="E75" s="121">
        <v>-8495.19</v>
      </c>
      <c r="F75" s="121">
        <v>-85.81</v>
      </c>
      <c r="G75" s="121">
        <v>-175910.5</v>
      </c>
      <c r="H75" s="121">
        <v>-534728.73</v>
      </c>
      <c r="I75" s="121">
        <v>-207149.17075832974</v>
      </c>
      <c r="J75" s="34">
        <v>-71560.757029676271</v>
      </c>
      <c r="K75" s="34">
        <v>-257258.38</v>
      </c>
      <c r="L75" s="34">
        <v>-98509.88</v>
      </c>
      <c r="M75" s="484">
        <v>536415.01299321395</v>
      </c>
      <c r="N75" s="484">
        <v>85914.076428868982</v>
      </c>
      <c r="O75" s="251">
        <f>SUM(LisäyksetVähennykset[[#This Row],[Kuntien yhdistymisavustus (-0,99 €/as)]:[TE25: Uudistuksen rahoituksen siirtymäajan porrastus (50 % kustannusperusteinen / 50 % vos-kriteerit)]])</f>
        <v>-755224.50836592307</v>
      </c>
      <c r="P75" s="112"/>
    </row>
    <row r="76" spans="1:16" s="45" customFormat="1">
      <c r="A76" s="239">
        <v>226</v>
      </c>
      <c r="B76" s="239" t="s">
        <v>83</v>
      </c>
      <c r="C76" s="326">
        <v>-3588.75</v>
      </c>
      <c r="D76" s="121">
        <v>-6488.75</v>
      </c>
      <c r="E76" s="121">
        <v>-3588.75</v>
      </c>
      <c r="F76" s="121">
        <v>-36.25</v>
      </c>
      <c r="G76" s="121">
        <v>-74312.5</v>
      </c>
      <c r="H76" s="121">
        <v>-96689.97</v>
      </c>
      <c r="I76" s="121">
        <v>391817.80303608027</v>
      </c>
      <c r="J76" s="34">
        <v>138686.8808685776</v>
      </c>
      <c r="K76" s="34">
        <v>-108677.5</v>
      </c>
      <c r="L76" s="34">
        <v>-41615</v>
      </c>
      <c r="M76" s="484">
        <v>220733.80584834173</v>
      </c>
      <c r="N76" s="484">
        <v>30643.651971774321</v>
      </c>
      <c r="O76" s="251">
        <f>SUM(LisäyksetVähennykset[[#This Row],[Kuntien yhdistymisavustus (-0,99 €/as)]:[TE25: Uudistuksen rahoituksen siirtymäajan porrastus (50 % kustannusperusteinen / 50 % vos-kriteerit)]])</f>
        <v>446884.67172477394</v>
      </c>
      <c r="P76" s="112"/>
    </row>
    <row r="77" spans="1:16" s="45" customFormat="1">
      <c r="A77" s="239">
        <v>230</v>
      </c>
      <c r="B77" s="239" t="s">
        <v>84</v>
      </c>
      <c r="C77" s="326">
        <v>-2193.84</v>
      </c>
      <c r="D77" s="121">
        <v>-3966.64</v>
      </c>
      <c r="E77" s="121">
        <v>-2193.84</v>
      </c>
      <c r="F77" s="121">
        <v>-22.16</v>
      </c>
      <c r="G77" s="121">
        <v>-45428</v>
      </c>
      <c r="H77" s="121">
        <v>-29495.67</v>
      </c>
      <c r="I77" s="121">
        <v>27730.53614179519</v>
      </c>
      <c r="J77" s="34">
        <v>-4573.4635934830876</v>
      </c>
      <c r="K77" s="34">
        <v>-66435.680000000008</v>
      </c>
      <c r="L77" s="34">
        <v>-25439.68</v>
      </c>
      <c r="M77" s="484">
        <v>155320.58292399131</v>
      </c>
      <c r="N77" s="484">
        <v>11521.406210722387</v>
      </c>
      <c r="O77" s="251">
        <f>SUM(LisäyksetVähennykset[[#This Row],[Kuntien yhdistymisavustus (-0,99 €/as)]:[TE25: Uudistuksen rahoituksen siirtymäajan porrastus (50 % kustannusperusteinen / 50 % vos-kriteerit)]])</f>
        <v>14823.551683025798</v>
      </c>
      <c r="P77" s="112"/>
    </row>
    <row r="78" spans="1:16" s="45" customFormat="1">
      <c r="A78" s="239">
        <v>231</v>
      </c>
      <c r="B78" s="239" t="s">
        <v>85</v>
      </c>
      <c r="C78" s="326">
        <v>-1195.92</v>
      </c>
      <c r="D78" s="121">
        <v>-2162.3200000000002</v>
      </c>
      <c r="E78" s="121">
        <v>-1195.92</v>
      </c>
      <c r="F78" s="121">
        <v>-12.08</v>
      </c>
      <c r="G78" s="121">
        <v>-24764</v>
      </c>
      <c r="H78" s="121">
        <v>-22334.82</v>
      </c>
      <c r="I78" s="121">
        <v>-858317.88405327871</v>
      </c>
      <c r="J78" s="34">
        <v>-501933.01748393947</v>
      </c>
      <c r="K78" s="34">
        <v>-36215.840000000004</v>
      </c>
      <c r="L78" s="34">
        <v>-13867.84</v>
      </c>
      <c r="M78" s="484">
        <v>46779.537654959298</v>
      </c>
      <c r="N78" s="484">
        <v>3472.4732189566785</v>
      </c>
      <c r="O78" s="251">
        <f>SUM(LisäyksetVähennykset[[#This Row],[Kuntien yhdistymisavustus (-0,99 €/as)]:[TE25: Uudistuksen rahoituksen siirtymäajan porrastus (50 % kustannusperusteinen / 50 % vos-kriteerit)]])</f>
        <v>-1411747.6306633023</v>
      </c>
      <c r="P78" s="112"/>
    </row>
    <row r="79" spans="1:16" s="45" customFormat="1">
      <c r="A79" s="239">
        <v>232</v>
      </c>
      <c r="B79" s="239" t="s">
        <v>86</v>
      </c>
      <c r="C79" s="326">
        <v>-12491.82</v>
      </c>
      <c r="D79" s="121">
        <v>-22586.22</v>
      </c>
      <c r="E79" s="121">
        <v>-12491.82</v>
      </c>
      <c r="F79" s="121">
        <v>-126.18</v>
      </c>
      <c r="G79" s="121">
        <v>-258669</v>
      </c>
      <c r="H79" s="121">
        <v>-493792.91</v>
      </c>
      <c r="I79" s="121">
        <v>-22726.03907395744</v>
      </c>
      <c r="J79" s="34">
        <v>-26031.99143612025</v>
      </c>
      <c r="K79" s="34">
        <v>-378287.64</v>
      </c>
      <c r="L79" s="34">
        <v>-144854.64000000001</v>
      </c>
      <c r="M79" s="484">
        <v>661631.74199529714</v>
      </c>
      <c r="N79" s="484">
        <v>42982.897539042751</v>
      </c>
      <c r="O79" s="251">
        <f>SUM(LisäyksetVähennykset[[#This Row],[Kuntien yhdistymisavustus (-0,99 €/as)]:[TE25: Uudistuksen rahoituksen siirtymäajan porrastus (50 % kustannusperusteinen / 50 % vos-kriteerit)]])</f>
        <v>-667443.62097573781</v>
      </c>
      <c r="P79" s="112"/>
    </row>
    <row r="80" spans="1:16" s="45" customFormat="1">
      <c r="A80" s="239">
        <v>233</v>
      </c>
      <c r="B80" s="239" t="s">
        <v>87</v>
      </c>
      <c r="C80" s="326">
        <v>-15013.35</v>
      </c>
      <c r="D80" s="121">
        <v>-27145.350000000002</v>
      </c>
      <c r="E80" s="121">
        <v>-15013.35</v>
      </c>
      <c r="F80" s="121">
        <v>-151.65</v>
      </c>
      <c r="G80" s="121">
        <v>-310882.5</v>
      </c>
      <c r="H80" s="121">
        <v>-404445.62</v>
      </c>
      <c r="I80" s="121">
        <v>2114932.4284441913</v>
      </c>
      <c r="J80" s="34">
        <v>-21465.401902524529</v>
      </c>
      <c r="K80" s="34">
        <v>-454646.7</v>
      </c>
      <c r="L80" s="34">
        <v>-174094.2</v>
      </c>
      <c r="M80" s="484">
        <v>447967.17303425906</v>
      </c>
      <c r="N80" s="484">
        <v>-1080.81466176908</v>
      </c>
      <c r="O80" s="251">
        <f>SUM(LisäyksetVähennykset[[#This Row],[Kuntien yhdistymisavustus (-0,99 €/as)]:[TE25: Uudistuksen rahoituksen siirtymäajan porrastus (50 % kustannusperusteinen / 50 % vos-kriteerit)]])</f>
        <v>1138960.6649141568</v>
      </c>
      <c r="P80" s="112"/>
    </row>
    <row r="81" spans="1:16" s="45" customFormat="1">
      <c r="A81" s="239">
        <v>235</v>
      </c>
      <c r="B81" s="239" t="s">
        <v>88</v>
      </c>
      <c r="C81" s="326">
        <v>-10167.299999999999</v>
      </c>
      <c r="D81" s="121">
        <v>-18383.3</v>
      </c>
      <c r="E81" s="121">
        <v>-10167.299999999999</v>
      </c>
      <c r="F81" s="121">
        <v>-102.7</v>
      </c>
      <c r="G81" s="121">
        <v>-210535</v>
      </c>
      <c r="H81" s="121">
        <v>-348142.43</v>
      </c>
      <c r="I81" s="121">
        <v>9961261.5929752979</v>
      </c>
      <c r="J81" s="34">
        <v>2842783.8395978427</v>
      </c>
      <c r="K81" s="34">
        <v>-307894.59999999998</v>
      </c>
      <c r="L81" s="34">
        <v>-117899.6</v>
      </c>
      <c r="M81" s="484">
        <v>107855.81223466899</v>
      </c>
      <c r="N81" s="484">
        <v>-96218.77068551624</v>
      </c>
      <c r="O81" s="251">
        <f>SUM(LisäyksetVähennykset[[#This Row],[Kuntien yhdistymisavustus (-0,99 €/as)]:[TE25: Uudistuksen rahoituksen siirtymäajan porrastus (50 % kustannusperusteinen / 50 % vos-kriteerit)]])</f>
        <v>11792390.244122297</v>
      </c>
      <c r="P81" s="112"/>
    </row>
    <row r="82" spans="1:16" s="45" customFormat="1">
      <c r="A82" s="239">
        <v>236</v>
      </c>
      <c r="B82" s="239" t="s">
        <v>89</v>
      </c>
      <c r="C82" s="326">
        <v>-4095.63</v>
      </c>
      <c r="D82" s="121">
        <v>-7405.2300000000005</v>
      </c>
      <c r="E82" s="121">
        <v>-4095.63</v>
      </c>
      <c r="F82" s="121">
        <v>-41.37</v>
      </c>
      <c r="G82" s="121">
        <v>-84808.5</v>
      </c>
      <c r="H82" s="121">
        <v>-78222.539999999994</v>
      </c>
      <c r="I82" s="121">
        <v>68777.110937036647</v>
      </c>
      <c r="J82" s="34">
        <v>-209988.01100541174</v>
      </c>
      <c r="K82" s="34">
        <v>-124027.26</v>
      </c>
      <c r="L82" s="34">
        <v>-47492.76</v>
      </c>
      <c r="M82" s="484">
        <v>120082.43017642369</v>
      </c>
      <c r="N82" s="484">
        <v>6790.4149284174491</v>
      </c>
      <c r="O82" s="251">
        <f>SUM(LisäyksetVähennykset[[#This Row],[Kuntien yhdistymisavustus (-0,99 €/as)]:[TE25: Uudistuksen rahoituksen siirtymäajan porrastus (50 % kustannusperusteinen / 50 % vos-kriteerit)]])</f>
        <v>-364526.97496353392</v>
      </c>
      <c r="P82" s="112"/>
    </row>
    <row r="83" spans="1:16" s="45" customFormat="1">
      <c r="A83" s="239">
        <v>239</v>
      </c>
      <c r="B83" s="239" t="s">
        <v>90</v>
      </c>
      <c r="C83" s="326">
        <v>-2014.65</v>
      </c>
      <c r="D83" s="121">
        <v>-3642.65</v>
      </c>
      <c r="E83" s="121">
        <v>-2014.65</v>
      </c>
      <c r="F83" s="121">
        <v>-20.350000000000001</v>
      </c>
      <c r="G83" s="121">
        <v>-41717.5</v>
      </c>
      <c r="H83" s="121">
        <v>-58865.79</v>
      </c>
      <c r="I83" s="121">
        <v>275453.80411995272</v>
      </c>
      <c r="J83" s="34">
        <v>-187093.52694298269</v>
      </c>
      <c r="K83" s="34">
        <v>-61009.3</v>
      </c>
      <c r="L83" s="34">
        <v>-23361.8</v>
      </c>
      <c r="M83" s="484">
        <v>52983.364186655905</v>
      </c>
      <c r="N83" s="484">
        <v>-14679.949812153973</v>
      </c>
      <c r="O83" s="251">
        <f>SUM(LisäyksetVähennykset[[#This Row],[Kuntien yhdistymisavustus (-0,99 €/as)]:[TE25: Uudistuksen rahoituksen siirtymäajan porrastus (50 % kustannusperusteinen / 50 % vos-kriteerit)]])</f>
        <v>-65982.998448528029</v>
      </c>
      <c r="P83" s="112"/>
    </row>
    <row r="84" spans="1:16" s="45" customFormat="1">
      <c r="A84" s="239">
        <v>240</v>
      </c>
      <c r="B84" s="239" t="s">
        <v>91</v>
      </c>
      <c r="C84" s="326">
        <v>-19177.29</v>
      </c>
      <c r="D84" s="121">
        <v>-34674.090000000004</v>
      </c>
      <c r="E84" s="121">
        <v>-19177.29</v>
      </c>
      <c r="F84" s="121">
        <v>-193.71</v>
      </c>
      <c r="G84" s="121">
        <v>-397105.5</v>
      </c>
      <c r="H84" s="121">
        <v>-1326738.58</v>
      </c>
      <c r="I84" s="121">
        <v>-7918485.2210957278</v>
      </c>
      <c r="J84" s="34">
        <v>-4489884.4718814008</v>
      </c>
      <c r="K84" s="34">
        <v>-580742.57999999996</v>
      </c>
      <c r="L84" s="34">
        <v>-222379.08000000002</v>
      </c>
      <c r="M84" s="484">
        <v>1076442.2995433707</v>
      </c>
      <c r="N84" s="484">
        <v>420980.12594553642</v>
      </c>
      <c r="O84" s="251">
        <f>SUM(LisäyksetVähennykset[[#This Row],[Kuntien yhdistymisavustus (-0,99 €/as)]:[TE25: Uudistuksen rahoituksen siirtymäajan porrastus (50 % kustannusperusteinen / 50 % vos-kriteerit)]])</f>
        <v>-13511135.38748822</v>
      </c>
      <c r="P84" s="112"/>
    </row>
    <row r="85" spans="1:16" s="45" customFormat="1">
      <c r="A85" s="239">
        <v>241</v>
      </c>
      <c r="B85" s="239" t="s">
        <v>92</v>
      </c>
      <c r="C85" s="326">
        <v>-7614.09</v>
      </c>
      <c r="D85" s="121">
        <v>-13766.89</v>
      </c>
      <c r="E85" s="121">
        <v>-7614.09</v>
      </c>
      <c r="F85" s="121">
        <v>-76.91</v>
      </c>
      <c r="G85" s="121">
        <v>-157665.5</v>
      </c>
      <c r="H85" s="121">
        <v>-147729.82999999999</v>
      </c>
      <c r="I85" s="121">
        <v>-1733822.0016617521</v>
      </c>
      <c r="J85" s="34">
        <v>-1019096.6159147463</v>
      </c>
      <c r="K85" s="34">
        <v>-230576.18</v>
      </c>
      <c r="L85" s="34">
        <v>-88292.680000000008</v>
      </c>
      <c r="M85" s="484">
        <v>299052.76508254994</v>
      </c>
      <c r="N85" s="484">
        <v>18222.399201311113</v>
      </c>
      <c r="O85" s="251">
        <f>SUM(LisäyksetVähennykset[[#This Row],[Kuntien yhdistymisavustus (-0,99 €/as)]:[TE25: Uudistuksen rahoituksen siirtymäajan porrastus (50 % kustannusperusteinen / 50 % vos-kriteerit)]])</f>
        <v>-3088979.623292638</v>
      </c>
      <c r="P85" s="112"/>
    </row>
    <row r="86" spans="1:16" s="45" customFormat="1">
      <c r="A86" s="239">
        <v>244</v>
      </c>
      <c r="B86" s="239" t="s">
        <v>93</v>
      </c>
      <c r="C86" s="326">
        <v>-19318.86</v>
      </c>
      <c r="D86" s="121">
        <v>-34930.06</v>
      </c>
      <c r="E86" s="121">
        <v>-19318.86</v>
      </c>
      <c r="F86" s="121">
        <v>-195.14000000000001</v>
      </c>
      <c r="G86" s="121">
        <v>-400037</v>
      </c>
      <c r="H86" s="121">
        <v>-401124.48</v>
      </c>
      <c r="I86" s="121">
        <v>565142.12860777462</v>
      </c>
      <c r="J86" s="34">
        <v>-181874.61365396754</v>
      </c>
      <c r="K86" s="34">
        <v>-585029.72</v>
      </c>
      <c r="L86" s="34">
        <v>-224020.72</v>
      </c>
      <c r="M86" s="484">
        <v>661114.28346313501</v>
      </c>
      <c r="N86" s="484">
        <v>-182245.48574373475</v>
      </c>
      <c r="O86" s="251">
        <f>SUM(LisäyksetVähennykset[[#This Row],[Kuntien yhdistymisavustus (-0,99 €/as)]:[TE25: Uudistuksen rahoituksen siirtymäajan porrastus (50 % kustannusperusteinen / 50 % vos-kriteerit)]])</f>
        <v>-821838.52732679236</v>
      </c>
      <c r="P86" s="112"/>
    </row>
    <row r="87" spans="1:16" s="45" customFormat="1">
      <c r="A87" s="239">
        <v>245</v>
      </c>
      <c r="B87" s="239" t="s">
        <v>94</v>
      </c>
      <c r="C87" s="326">
        <v>-37828.89</v>
      </c>
      <c r="D87" s="121">
        <v>-68397.69</v>
      </c>
      <c r="E87" s="121">
        <v>-37828.89</v>
      </c>
      <c r="F87" s="121">
        <v>-382.11</v>
      </c>
      <c r="G87" s="121">
        <v>-783325.5</v>
      </c>
      <c r="H87" s="121">
        <v>-4221222.0599999996</v>
      </c>
      <c r="I87" s="121">
        <v>-2323876.9373060782</v>
      </c>
      <c r="J87" s="34">
        <v>-76924.024262530715</v>
      </c>
      <c r="K87" s="34">
        <v>-1145565.78</v>
      </c>
      <c r="L87" s="34">
        <v>-438662.28</v>
      </c>
      <c r="M87" s="484">
        <v>1730561.8999086642</v>
      </c>
      <c r="N87" s="484">
        <v>-110459.29961294401</v>
      </c>
      <c r="O87" s="251">
        <f>SUM(LisäyksetVähennykset[[#This Row],[Kuntien yhdistymisavustus (-0,99 €/as)]:[TE25: Uudistuksen rahoituksen siirtymäajan porrastus (50 % kustannusperusteinen / 50 % vos-kriteerit)]])</f>
        <v>-7513911.5612728884</v>
      </c>
      <c r="P87" s="112"/>
    </row>
    <row r="88" spans="1:16" s="45" customFormat="1">
      <c r="A88" s="239">
        <v>249</v>
      </c>
      <c r="B88" s="239" t="s">
        <v>95</v>
      </c>
      <c r="C88" s="326">
        <v>-9092.16</v>
      </c>
      <c r="D88" s="121">
        <v>-16439.36</v>
      </c>
      <c r="E88" s="121">
        <v>-9092.16</v>
      </c>
      <c r="F88" s="121">
        <v>-91.84</v>
      </c>
      <c r="G88" s="121">
        <v>-188272</v>
      </c>
      <c r="H88" s="121">
        <v>-383529.28</v>
      </c>
      <c r="I88" s="121">
        <v>321804.04423444072</v>
      </c>
      <c r="J88" s="34">
        <v>511084.19154129567</v>
      </c>
      <c r="K88" s="34">
        <v>-275336.32000000001</v>
      </c>
      <c r="L88" s="34">
        <v>-105432.32000000001</v>
      </c>
      <c r="M88" s="484">
        <v>811247.26835366606</v>
      </c>
      <c r="N88" s="484">
        <v>57879.836160634528</v>
      </c>
      <c r="O88" s="251">
        <f>SUM(LisäyksetVähennykset[[#This Row],[Kuntien yhdistymisavustus (-0,99 €/as)]:[TE25: Uudistuksen rahoituksen siirtymäajan porrastus (50 % kustannusperusteinen / 50 % vos-kriteerit)]])</f>
        <v>714729.90029003692</v>
      </c>
      <c r="P88" s="112"/>
    </row>
    <row r="89" spans="1:16" s="45" customFormat="1">
      <c r="A89" s="239">
        <v>250</v>
      </c>
      <c r="B89" s="239" t="s">
        <v>96</v>
      </c>
      <c r="C89" s="326">
        <v>-1731.51</v>
      </c>
      <c r="D89" s="121">
        <v>-3130.71</v>
      </c>
      <c r="E89" s="121">
        <v>-1731.51</v>
      </c>
      <c r="F89" s="121">
        <v>-17.490000000000002</v>
      </c>
      <c r="G89" s="121">
        <v>-35854.5</v>
      </c>
      <c r="H89" s="121">
        <v>-44565.03</v>
      </c>
      <c r="I89" s="121">
        <v>-33912.46675835787</v>
      </c>
      <c r="J89" s="34">
        <v>-41376.361747731185</v>
      </c>
      <c r="K89" s="34">
        <v>-52435.020000000004</v>
      </c>
      <c r="L89" s="34">
        <v>-20078.52</v>
      </c>
      <c r="M89" s="484">
        <v>96046.634196465311</v>
      </c>
      <c r="N89" s="484">
        <v>4574.029276241039</v>
      </c>
      <c r="O89" s="251">
        <f>SUM(LisäyksetVähennykset[[#This Row],[Kuntien yhdistymisavustus (-0,99 €/as)]:[TE25: Uudistuksen rahoituksen siirtymäajan porrastus (50 % kustannusperusteinen / 50 % vos-kriteerit)]])</f>
        <v>-134212.45503338269</v>
      </c>
      <c r="P89" s="112"/>
    </row>
    <row r="90" spans="1:16" s="45" customFormat="1">
      <c r="A90" s="239">
        <v>256</v>
      </c>
      <c r="B90" s="239" t="s">
        <v>97</v>
      </c>
      <c r="C90" s="326">
        <v>-1507.77</v>
      </c>
      <c r="D90" s="121">
        <v>-2726.17</v>
      </c>
      <c r="E90" s="121">
        <v>-1507.77</v>
      </c>
      <c r="F90" s="121">
        <v>-15.23</v>
      </c>
      <c r="G90" s="121">
        <v>-31221.5</v>
      </c>
      <c r="H90" s="121">
        <v>-19726.57</v>
      </c>
      <c r="I90" s="121">
        <v>-362507.93580721266</v>
      </c>
      <c r="J90" s="34">
        <v>-415405.65800969629</v>
      </c>
      <c r="K90" s="34">
        <v>-45659.54</v>
      </c>
      <c r="L90" s="34">
        <v>-17484.04</v>
      </c>
      <c r="M90" s="484">
        <v>56619.720282913098</v>
      </c>
      <c r="N90" s="484">
        <v>52077.719962255898</v>
      </c>
      <c r="O90" s="251">
        <f>SUM(LisäyksetVähennykset[[#This Row],[Kuntien yhdistymisavustus (-0,99 €/as)]:[TE25: Uudistuksen rahoituksen siirtymäajan porrastus (50 % kustannusperusteinen / 50 % vos-kriteerit)]])</f>
        <v>-789064.74357174011</v>
      </c>
      <c r="P90" s="112"/>
    </row>
    <row r="91" spans="1:16" s="45" customFormat="1">
      <c r="A91" s="239">
        <v>257</v>
      </c>
      <c r="B91" s="239" t="s">
        <v>98</v>
      </c>
      <c r="C91" s="326">
        <v>-40742.46</v>
      </c>
      <c r="D91" s="121">
        <v>-73665.66</v>
      </c>
      <c r="E91" s="121">
        <v>-40742.46</v>
      </c>
      <c r="F91" s="121">
        <v>-411.54</v>
      </c>
      <c r="G91" s="121">
        <v>-843657</v>
      </c>
      <c r="H91" s="121">
        <v>-2355334.1800000002</v>
      </c>
      <c r="I91" s="121">
        <v>6730177.9833535608</v>
      </c>
      <c r="J91" s="34">
        <v>3337469.6488440041</v>
      </c>
      <c r="K91" s="34">
        <v>-1233796.92</v>
      </c>
      <c r="L91" s="34">
        <v>-472447.92000000004</v>
      </c>
      <c r="M91" s="484">
        <v>1203900.2007343438</v>
      </c>
      <c r="N91" s="484">
        <v>-264412.88792424952</v>
      </c>
      <c r="O91" s="251">
        <f>SUM(LisäyksetVähennykset[[#This Row],[Kuntien yhdistymisavustus (-0,99 €/as)]:[TE25: Uudistuksen rahoituksen siirtymäajan porrastus (50 % kustannusperusteinen / 50 % vos-kriteerit)]])</f>
        <v>5946336.8050076598</v>
      </c>
      <c r="P91" s="112"/>
    </row>
    <row r="92" spans="1:16" s="45" customFormat="1">
      <c r="A92" s="239">
        <v>260</v>
      </c>
      <c r="B92" s="239" t="s">
        <v>99</v>
      </c>
      <c r="C92" s="326">
        <v>-9592.11</v>
      </c>
      <c r="D92" s="121">
        <v>-17343.310000000001</v>
      </c>
      <c r="E92" s="121">
        <v>-9592.11</v>
      </c>
      <c r="F92" s="121">
        <v>-96.89</v>
      </c>
      <c r="G92" s="121">
        <v>-198624.5</v>
      </c>
      <c r="H92" s="121">
        <v>-287318.24</v>
      </c>
      <c r="I92" s="121">
        <v>2820993.2121783863</v>
      </c>
      <c r="J92" s="34">
        <v>1481210.9874121395</v>
      </c>
      <c r="K92" s="34">
        <v>-290476.22000000003</v>
      </c>
      <c r="L92" s="34">
        <v>-111229.72</v>
      </c>
      <c r="M92" s="484">
        <v>452936.70176236902</v>
      </c>
      <c r="N92" s="484">
        <v>288194.84151859442</v>
      </c>
      <c r="O92" s="251">
        <f>SUM(LisäyksetVähennykset[[#This Row],[Kuntien yhdistymisavustus (-0,99 €/as)]:[TE25: Uudistuksen rahoituksen siirtymäajan porrastus (50 % kustannusperusteinen / 50 % vos-kriteerit)]])</f>
        <v>4119062.6428714884</v>
      </c>
      <c r="P92" s="112"/>
    </row>
    <row r="93" spans="1:16" s="45" customFormat="1">
      <c r="A93" s="239">
        <v>261</v>
      </c>
      <c r="B93" s="239" t="s">
        <v>100</v>
      </c>
      <c r="C93" s="326">
        <v>-6753.78</v>
      </c>
      <c r="D93" s="121">
        <v>-12211.380000000001</v>
      </c>
      <c r="E93" s="121">
        <v>-6753.78</v>
      </c>
      <c r="F93" s="121">
        <v>-68.22</v>
      </c>
      <c r="G93" s="121">
        <v>-139851</v>
      </c>
      <c r="H93" s="121">
        <v>-93977.42</v>
      </c>
      <c r="I93" s="121">
        <v>610566.06775582687</v>
      </c>
      <c r="J93" s="34">
        <v>1728170.3007235958</v>
      </c>
      <c r="K93" s="34">
        <v>-204523.56</v>
      </c>
      <c r="L93" s="34">
        <v>-78316.56</v>
      </c>
      <c r="M93" s="484">
        <v>217308.11656047197</v>
      </c>
      <c r="N93" s="484">
        <v>61029.752592936275</v>
      </c>
      <c r="O93" s="251">
        <f>SUM(LisäyksetVähennykset[[#This Row],[Kuntien yhdistymisavustus (-0,99 €/as)]:[TE25: Uudistuksen rahoituksen siirtymäajan porrastus (50 % kustannusperusteinen / 50 % vos-kriteerit)]])</f>
        <v>2074618.5376328309</v>
      </c>
      <c r="P93" s="112"/>
    </row>
    <row r="94" spans="1:16" s="45" customFormat="1">
      <c r="A94" s="239">
        <v>263</v>
      </c>
      <c r="B94" s="239" t="s">
        <v>101</v>
      </c>
      <c r="C94" s="326">
        <v>-7400.25</v>
      </c>
      <c r="D94" s="121">
        <v>-13380.25</v>
      </c>
      <c r="E94" s="121">
        <v>-7400.25</v>
      </c>
      <c r="F94" s="121">
        <v>-74.75</v>
      </c>
      <c r="G94" s="121">
        <v>-153237.5</v>
      </c>
      <c r="H94" s="121">
        <v>-304647.18</v>
      </c>
      <c r="I94" s="121">
        <v>1100378.9465230771</v>
      </c>
      <c r="J94" s="34">
        <v>355779.52166364162</v>
      </c>
      <c r="K94" s="34">
        <v>-224100.5</v>
      </c>
      <c r="L94" s="34">
        <v>-85813</v>
      </c>
      <c r="M94" s="484">
        <v>321467.68671890185</v>
      </c>
      <c r="N94" s="484">
        <v>31305.572550922923</v>
      </c>
      <c r="O94" s="251">
        <f>SUM(LisäyksetVähennykset[[#This Row],[Kuntien yhdistymisavustus (-0,99 €/as)]:[TE25: Uudistuksen rahoituksen siirtymäajan porrastus (50 % kustannusperusteinen / 50 % vos-kriteerit)]])</f>
        <v>1012878.0474565434</v>
      </c>
      <c r="P94" s="112"/>
    </row>
    <row r="95" spans="1:16" s="45" customFormat="1">
      <c r="A95" s="239">
        <v>265</v>
      </c>
      <c r="B95" s="239" t="s">
        <v>102</v>
      </c>
      <c r="C95" s="326">
        <v>-1024.6500000000001</v>
      </c>
      <c r="D95" s="121">
        <v>-1852.65</v>
      </c>
      <c r="E95" s="121">
        <v>-1024.6500000000001</v>
      </c>
      <c r="F95" s="121">
        <v>-10.35</v>
      </c>
      <c r="G95" s="121">
        <v>-21217.5</v>
      </c>
      <c r="H95" s="121">
        <v>-34368.5</v>
      </c>
      <c r="I95" s="121">
        <v>405673.08716618933</v>
      </c>
      <c r="J95" s="34">
        <v>151387.78490488135</v>
      </c>
      <c r="K95" s="34">
        <v>-31029.3</v>
      </c>
      <c r="L95" s="34">
        <v>-11881.800000000001</v>
      </c>
      <c r="M95" s="484">
        <v>41838.376239138408</v>
      </c>
      <c r="N95" s="484">
        <v>-496.19361058730283</v>
      </c>
      <c r="O95" s="251">
        <f>SUM(LisäyksetVähennykset[[#This Row],[Kuntien yhdistymisavustus (-0,99 €/as)]:[TE25: Uudistuksen rahoituksen siirtymäajan porrastus (50 % kustannusperusteinen / 50 % vos-kriteerit)]])</f>
        <v>495993.65469962184</v>
      </c>
      <c r="P95" s="112"/>
    </row>
    <row r="96" spans="1:16" s="45" customFormat="1">
      <c r="A96" s="239">
        <v>271</v>
      </c>
      <c r="B96" s="239" t="s">
        <v>103</v>
      </c>
      <c r="C96" s="326">
        <v>-6698.34</v>
      </c>
      <c r="D96" s="121">
        <v>-12111.14</v>
      </c>
      <c r="E96" s="121">
        <v>-6698.34</v>
      </c>
      <c r="F96" s="121">
        <v>-67.66</v>
      </c>
      <c r="G96" s="121">
        <v>-138703</v>
      </c>
      <c r="H96" s="121">
        <v>-267065.61</v>
      </c>
      <c r="I96" s="121">
        <v>-695416.62654656218</v>
      </c>
      <c r="J96" s="34">
        <v>-288897.79604321177</v>
      </c>
      <c r="K96" s="34">
        <v>-202844.68</v>
      </c>
      <c r="L96" s="34">
        <v>-77673.680000000008</v>
      </c>
      <c r="M96" s="484">
        <v>491867.1777064018</v>
      </c>
      <c r="N96" s="484">
        <v>-36815.729274353769</v>
      </c>
      <c r="O96" s="251">
        <f>SUM(LisäyksetVähennykset[[#This Row],[Kuntien yhdistymisavustus (-0,99 €/as)]:[TE25: Uudistuksen rahoituksen siirtymäajan porrastus (50 % kustannusperusteinen / 50 % vos-kriteerit)]])</f>
        <v>-1241125.4241577256</v>
      </c>
      <c r="P96" s="112"/>
    </row>
    <row r="97" spans="1:16" s="45" customFormat="1">
      <c r="A97" s="239">
        <v>272</v>
      </c>
      <c r="B97" s="239" t="s">
        <v>104</v>
      </c>
      <c r="C97" s="326">
        <v>-47812.05</v>
      </c>
      <c r="D97" s="121">
        <v>-86448.05</v>
      </c>
      <c r="E97" s="121">
        <v>-47812.05</v>
      </c>
      <c r="F97" s="121">
        <v>-482.95</v>
      </c>
      <c r="G97" s="121">
        <v>-990047.5</v>
      </c>
      <c r="H97" s="121">
        <v>-1716918.33</v>
      </c>
      <c r="I97" s="121">
        <v>-9731663.1440515183</v>
      </c>
      <c r="J97" s="34">
        <v>-3895295.1946086255</v>
      </c>
      <c r="K97" s="34">
        <v>-1447884.1</v>
      </c>
      <c r="L97" s="34">
        <v>-554426.6</v>
      </c>
      <c r="M97" s="484">
        <v>1723871.8277831194</v>
      </c>
      <c r="N97" s="484">
        <v>-4787.614334999118</v>
      </c>
      <c r="O97" s="251">
        <f>SUM(LisäyksetVähennykset[[#This Row],[Kuntien yhdistymisavustus (-0,99 €/as)]:[TE25: Uudistuksen rahoituksen siirtymäajan porrastus (50 % kustannusperusteinen / 50 % vos-kriteerit)]])</f>
        <v>-16799705.755212028</v>
      </c>
      <c r="P97" s="112"/>
    </row>
    <row r="98" spans="1:16" s="45" customFormat="1">
      <c r="A98" s="239">
        <v>273</v>
      </c>
      <c r="B98" s="239" t="s">
        <v>105</v>
      </c>
      <c r="C98" s="326">
        <v>-3970.89</v>
      </c>
      <c r="D98" s="121">
        <v>-7179.6900000000005</v>
      </c>
      <c r="E98" s="121">
        <v>-3970.89</v>
      </c>
      <c r="F98" s="121">
        <v>-40.11</v>
      </c>
      <c r="G98" s="121">
        <v>-82225.5</v>
      </c>
      <c r="H98" s="121">
        <v>-50134.47</v>
      </c>
      <c r="I98" s="121">
        <v>-708765.87479334534</v>
      </c>
      <c r="J98" s="34">
        <v>883514.76714593463</v>
      </c>
      <c r="K98" s="34">
        <v>-120249.78</v>
      </c>
      <c r="L98" s="34">
        <v>-46046.28</v>
      </c>
      <c r="M98" s="484">
        <v>110023.6460623637</v>
      </c>
      <c r="N98" s="484">
        <v>65049.66060494713</v>
      </c>
      <c r="O98" s="251">
        <f>SUM(LisäyksetVähennykset[[#This Row],[Kuntien yhdistymisavustus (-0,99 €/as)]:[TE25: Uudistuksen rahoituksen siirtymäajan porrastus (50 % kustannusperusteinen / 50 % vos-kriteerit)]])</f>
        <v>36004.589019900071</v>
      </c>
      <c r="P98" s="112"/>
    </row>
    <row r="99" spans="1:16" s="45" customFormat="1">
      <c r="A99" s="239">
        <v>275</v>
      </c>
      <c r="B99" s="239" t="s">
        <v>106</v>
      </c>
      <c r="C99" s="326">
        <v>-2474.0099999999998</v>
      </c>
      <c r="D99" s="121">
        <v>-4473.21</v>
      </c>
      <c r="E99" s="121">
        <v>-2474.0099999999998</v>
      </c>
      <c r="F99" s="121">
        <v>-24.990000000000002</v>
      </c>
      <c r="G99" s="121">
        <v>-51229.5</v>
      </c>
      <c r="H99" s="121">
        <v>-61170.45</v>
      </c>
      <c r="I99" s="121">
        <v>182024.72181221083</v>
      </c>
      <c r="J99" s="34">
        <v>190761.17591229931</v>
      </c>
      <c r="K99" s="34">
        <v>-74920.02</v>
      </c>
      <c r="L99" s="34">
        <v>-28688.52</v>
      </c>
      <c r="M99" s="484">
        <v>143997.92338687764</v>
      </c>
      <c r="N99" s="484">
        <v>13221.289510776056</v>
      </c>
      <c r="O99" s="251">
        <f>SUM(LisäyksetVähennykset[[#This Row],[Kuntien yhdistymisavustus (-0,99 €/as)]:[TE25: Uudistuksen rahoituksen siirtymäajan porrastus (50 % kustannusperusteinen / 50 % vos-kriteerit)]])</f>
        <v>304550.40062216378</v>
      </c>
      <c r="P99" s="112"/>
    </row>
    <row r="100" spans="1:16" s="45" customFormat="1">
      <c r="A100" s="239">
        <v>276</v>
      </c>
      <c r="B100" s="239" t="s">
        <v>107</v>
      </c>
      <c r="C100" s="326">
        <v>-14984.64</v>
      </c>
      <c r="D100" s="121">
        <v>-27093.440000000002</v>
      </c>
      <c r="E100" s="121">
        <v>-14984.64</v>
      </c>
      <c r="F100" s="121">
        <v>-151.36000000000001</v>
      </c>
      <c r="G100" s="121">
        <v>-310288</v>
      </c>
      <c r="H100" s="121">
        <v>-469291.76</v>
      </c>
      <c r="I100" s="121">
        <v>1190534.1531384191</v>
      </c>
      <c r="J100" s="34">
        <v>-30946.42307429605</v>
      </c>
      <c r="K100" s="34">
        <v>-453777.28</v>
      </c>
      <c r="L100" s="34">
        <v>-173761.28</v>
      </c>
      <c r="M100" s="484">
        <v>506644.39112731232</v>
      </c>
      <c r="N100" s="484">
        <v>131825.83973579155</v>
      </c>
      <c r="O100" s="251">
        <f>SUM(LisäyksetVähennykset[[#This Row],[Kuntien yhdistymisavustus (-0,99 €/as)]:[TE25: Uudistuksen rahoituksen siirtymäajan porrastus (50 % kustannusperusteinen / 50 % vos-kriteerit)]])</f>
        <v>333725.56092722691</v>
      </c>
      <c r="P100" s="112"/>
    </row>
    <row r="101" spans="1:16" s="45" customFormat="1">
      <c r="A101" s="239">
        <v>280</v>
      </c>
      <c r="B101" s="239" t="s">
        <v>108</v>
      </c>
      <c r="C101" s="326">
        <v>-1994.85</v>
      </c>
      <c r="D101" s="121">
        <v>-3606.85</v>
      </c>
      <c r="E101" s="121">
        <v>-1994.85</v>
      </c>
      <c r="F101" s="121">
        <v>-20.150000000000002</v>
      </c>
      <c r="G101" s="121">
        <v>-41307.5</v>
      </c>
      <c r="H101" s="121">
        <v>-31441.200000000001</v>
      </c>
      <c r="I101" s="121">
        <v>105036.56164960016</v>
      </c>
      <c r="J101" s="34">
        <v>258014.96424134757</v>
      </c>
      <c r="K101" s="34">
        <v>-60409.700000000004</v>
      </c>
      <c r="L101" s="34">
        <v>-23132.2</v>
      </c>
      <c r="M101" s="484">
        <v>86845.478161897903</v>
      </c>
      <c r="N101" s="484">
        <v>-16840.697067018526</v>
      </c>
      <c r="O101" s="251">
        <f>SUM(LisäyksetVähennykset[[#This Row],[Kuntien yhdistymisavustus (-0,99 €/as)]:[TE25: Uudistuksen rahoituksen siirtymäajan porrastus (50 % kustannusperusteinen / 50 % vos-kriteerit)]])</f>
        <v>269149.00698582712</v>
      </c>
      <c r="P101" s="112"/>
    </row>
    <row r="102" spans="1:16" s="45" customFormat="1">
      <c r="A102" s="239">
        <v>284</v>
      </c>
      <c r="B102" s="239" t="s">
        <v>109</v>
      </c>
      <c r="C102" s="326">
        <v>-2184.9299999999998</v>
      </c>
      <c r="D102" s="121">
        <v>-3950.53</v>
      </c>
      <c r="E102" s="121">
        <v>-2184.9299999999998</v>
      </c>
      <c r="F102" s="121">
        <v>-22.07</v>
      </c>
      <c r="G102" s="121">
        <v>-45243.5</v>
      </c>
      <c r="H102" s="121">
        <v>-37974.18</v>
      </c>
      <c r="I102" s="121">
        <v>495986.30034370022</v>
      </c>
      <c r="J102" s="34">
        <v>398178.74872597912</v>
      </c>
      <c r="K102" s="34">
        <v>-66165.86</v>
      </c>
      <c r="L102" s="34">
        <v>-25336.36</v>
      </c>
      <c r="M102" s="484">
        <v>87024.389776757715</v>
      </c>
      <c r="N102" s="484">
        <v>-10551.733300654669</v>
      </c>
      <c r="O102" s="251">
        <f>SUM(LisäyksetVähennykset[[#This Row],[Kuntien yhdistymisavustus (-0,99 €/as)]:[TE25: Uudistuksen rahoituksen siirtymäajan porrastus (50 % kustannusperusteinen / 50 % vos-kriteerit)]])</f>
        <v>787575.34554578236</v>
      </c>
      <c r="P102" s="112"/>
    </row>
    <row r="103" spans="1:16" s="45" customFormat="1">
      <c r="A103" s="239">
        <v>285</v>
      </c>
      <c r="B103" s="239" t="s">
        <v>110</v>
      </c>
      <c r="C103" s="326">
        <v>-49995</v>
      </c>
      <c r="D103" s="121">
        <v>-90395</v>
      </c>
      <c r="E103" s="121">
        <v>-49995</v>
      </c>
      <c r="F103" s="121">
        <v>-505</v>
      </c>
      <c r="G103" s="121">
        <v>-1035250</v>
      </c>
      <c r="H103" s="121">
        <v>-3971676.12</v>
      </c>
      <c r="I103" s="121">
        <v>-9374034.1984421462</v>
      </c>
      <c r="J103" s="34">
        <v>-1747825.7558154666</v>
      </c>
      <c r="K103" s="34">
        <v>-1513990</v>
      </c>
      <c r="L103" s="34">
        <v>-579740</v>
      </c>
      <c r="M103" s="484">
        <v>2531911.9897187669</v>
      </c>
      <c r="N103" s="484">
        <v>326268.3791987556</v>
      </c>
      <c r="O103" s="251">
        <f>SUM(LisäyksetVähennykset[[#This Row],[Kuntien yhdistymisavustus (-0,99 €/as)]:[TE25: Uudistuksen rahoituksen siirtymäajan porrastus (50 % kustannusperusteinen / 50 % vos-kriteerit)]])</f>
        <v>-15555225.705340089</v>
      </c>
      <c r="P103" s="112"/>
    </row>
    <row r="104" spans="1:16" s="45" customFormat="1">
      <c r="A104" s="239">
        <v>286</v>
      </c>
      <c r="B104" s="239" t="s">
        <v>111</v>
      </c>
      <c r="C104" s="326">
        <v>-78091.199999999997</v>
      </c>
      <c r="D104" s="121">
        <v>-141195.20000000001</v>
      </c>
      <c r="E104" s="121">
        <v>-78091.199999999997</v>
      </c>
      <c r="F104" s="121">
        <v>-788.80000000000007</v>
      </c>
      <c r="G104" s="121">
        <v>-1617040</v>
      </c>
      <c r="H104" s="121">
        <v>-4206768.97</v>
      </c>
      <c r="I104" s="121">
        <v>-15053612.211614927</v>
      </c>
      <c r="J104" s="34">
        <v>-5724739.5424404703</v>
      </c>
      <c r="K104" s="34">
        <v>-2364822.4</v>
      </c>
      <c r="L104" s="34">
        <v>-905542.4</v>
      </c>
      <c r="M104" s="484">
        <v>3290555.4031940103</v>
      </c>
      <c r="N104" s="484">
        <v>416730.16744745802</v>
      </c>
      <c r="O104" s="251">
        <f>SUM(LisäyksetVähennykset[[#This Row],[Kuntien yhdistymisavustus (-0,99 €/as)]:[TE25: Uudistuksen rahoituksen siirtymäajan porrastus (50 % kustannusperusteinen / 50 % vos-kriteerit)]])</f>
        <v>-26463406.353413925</v>
      </c>
      <c r="P104" s="112"/>
    </row>
    <row r="105" spans="1:16" s="45" customFormat="1">
      <c r="A105" s="239">
        <v>287</v>
      </c>
      <c r="B105" s="239" t="s">
        <v>112</v>
      </c>
      <c r="C105" s="326">
        <v>-6137.01</v>
      </c>
      <c r="D105" s="121">
        <v>-11096.210000000001</v>
      </c>
      <c r="E105" s="121">
        <v>-6137.01</v>
      </c>
      <c r="F105" s="121">
        <v>-61.99</v>
      </c>
      <c r="G105" s="121">
        <v>-127079.5</v>
      </c>
      <c r="H105" s="121">
        <v>-87018.71</v>
      </c>
      <c r="I105" s="121">
        <v>1344414.7852380527</v>
      </c>
      <c r="J105" s="34">
        <v>668235.70676461852</v>
      </c>
      <c r="K105" s="34">
        <v>-185846.02</v>
      </c>
      <c r="L105" s="34">
        <v>-71164.52</v>
      </c>
      <c r="M105" s="484">
        <v>89345.671418381593</v>
      </c>
      <c r="N105" s="484">
        <v>-10636.164596848655</v>
      </c>
      <c r="O105" s="251">
        <f>SUM(LisäyksetVähennykset[[#This Row],[Kuntien yhdistymisavustus (-0,99 €/as)]:[TE25: Uudistuksen rahoituksen siirtymäajan porrastus (50 % kustannusperusteinen / 50 % vos-kriteerit)]])</f>
        <v>1596819.0288242043</v>
      </c>
      <c r="P105" s="112"/>
    </row>
    <row r="106" spans="1:16" s="45" customFormat="1">
      <c r="A106" s="239">
        <v>288</v>
      </c>
      <c r="B106" s="239" t="s">
        <v>113</v>
      </c>
      <c r="C106" s="326">
        <v>-6304.32</v>
      </c>
      <c r="D106" s="121">
        <v>-11398.72</v>
      </c>
      <c r="E106" s="121">
        <v>-6304.32</v>
      </c>
      <c r="F106" s="121">
        <v>-63.68</v>
      </c>
      <c r="G106" s="121">
        <v>-130544</v>
      </c>
      <c r="H106" s="121">
        <v>-63115.19</v>
      </c>
      <c r="I106" s="121">
        <v>3202.2815455690056</v>
      </c>
      <c r="J106" s="34">
        <v>-147687.15759335511</v>
      </c>
      <c r="K106" s="34">
        <v>-190912.64000000001</v>
      </c>
      <c r="L106" s="34">
        <v>-73104.639999999999</v>
      </c>
      <c r="M106" s="484">
        <v>191605.2700826042</v>
      </c>
      <c r="N106" s="484">
        <v>-68481.608670288464</v>
      </c>
      <c r="O106" s="251">
        <f>SUM(LisäyksetVähennykset[[#This Row],[Kuntien yhdistymisavustus (-0,99 €/as)]:[TE25: Uudistuksen rahoituksen siirtymäajan porrastus (50 % kustannusperusteinen / 50 % vos-kriteerit)]])</f>
        <v>-503108.72463547037</v>
      </c>
      <c r="P106" s="112"/>
    </row>
    <row r="107" spans="1:16" s="45" customFormat="1">
      <c r="A107" s="239">
        <v>290</v>
      </c>
      <c r="B107" s="239" t="s">
        <v>114</v>
      </c>
      <c r="C107" s="326">
        <v>-7506.18</v>
      </c>
      <c r="D107" s="121">
        <v>-13571.78</v>
      </c>
      <c r="E107" s="121">
        <v>-7506.18</v>
      </c>
      <c r="F107" s="121">
        <v>-75.820000000000007</v>
      </c>
      <c r="G107" s="121">
        <v>-155431</v>
      </c>
      <c r="H107" s="121">
        <v>-186678.81</v>
      </c>
      <c r="I107" s="121">
        <v>398281.32944976032</v>
      </c>
      <c r="J107" s="34">
        <v>576814.12336733611</v>
      </c>
      <c r="K107" s="34">
        <v>-227308.36000000002</v>
      </c>
      <c r="L107" s="34">
        <v>-87041.36</v>
      </c>
      <c r="M107" s="484">
        <v>332602.48980097397</v>
      </c>
      <c r="N107" s="484">
        <v>126646.12419663346</v>
      </c>
      <c r="O107" s="251">
        <f>SUM(LisäyksetVähennykset[[#This Row],[Kuntien yhdistymisavustus (-0,99 €/as)]:[TE25: Uudistuksen rahoituksen siirtymäajan porrastus (50 % kustannusperusteinen / 50 % vos-kriteerit)]])</f>
        <v>749224.57681470388</v>
      </c>
      <c r="P107" s="112"/>
    </row>
    <row r="108" spans="1:16" s="45" customFormat="1">
      <c r="A108" s="239">
        <v>291</v>
      </c>
      <c r="B108" s="239" t="s">
        <v>115</v>
      </c>
      <c r="C108" s="326">
        <v>-2071.08</v>
      </c>
      <c r="D108" s="121">
        <v>-3744.6800000000003</v>
      </c>
      <c r="E108" s="121">
        <v>-2071.08</v>
      </c>
      <c r="F108" s="121">
        <v>-20.92</v>
      </c>
      <c r="G108" s="121">
        <v>-42886</v>
      </c>
      <c r="H108" s="121">
        <v>-44869.38</v>
      </c>
      <c r="I108" s="121">
        <v>1054656.6899326986</v>
      </c>
      <c r="J108" s="34">
        <v>887550.04459031741</v>
      </c>
      <c r="K108" s="34">
        <v>-62718.16</v>
      </c>
      <c r="L108" s="34">
        <v>-24016.16</v>
      </c>
      <c r="M108" s="484">
        <v>104221.2387876336</v>
      </c>
      <c r="N108" s="484">
        <v>-15236.262303751064</v>
      </c>
      <c r="O108" s="251">
        <f>SUM(LisäyksetVähennykset[[#This Row],[Kuntien yhdistymisavustus (-0,99 €/as)]:[TE25: Uudistuksen rahoituksen siirtymäajan porrastus (50 % kustannusperusteinen / 50 % vos-kriteerit)]])</f>
        <v>1848794.2510068987</v>
      </c>
      <c r="P108" s="112"/>
    </row>
    <row r="109" spans="1:16" s="45" customFormat="1">
      <c r="A109" s="239">
        <v>297</v>
      </c>
      <c r="B109" s="239" t="s">
        <v>116</v>
      </c>
      <c r="C109" s="326">
        <v>-122780.79</v>
      </c>
      <c r="D109" s="121">
        <v>-221997.59</v>
      </c>
      <c r="E109" s="121">
        <v>-122780.79</v>
      </c>
      <c r="F109" s="121">
        <v>-1240.21</v>
      </c>
      <c r="G109" s="121">
        <v>-2542430.5</v>
      </c>
      <c r="H109" s="121">
        <v>-9813154.1600000001</v>
      </c>
      <c r="I109" s="121">
        <v>-12747671.117118452</v>
      </c>
      <c r="J109" s="34">
        <v>-2695160.6953525324</v>
      </c>
      <c r="K109" s="34">
        <v>-3718149.58</v>
      </c>
      <c r="L109" s="34">
        <v>-1423761.08</v>
      </c>
      <c r="M109" s="484">
        <v>2566588.426436061</v>
      </c>
      <c r="N109" s="484">
        <v>-559873.45380018465</v>
      </c>
      <c r="O109" s="251">
        <f>SUM(LisäyksetVähennykset[[#This Row],[Kuntien yhdistymisavustus (-0,99 €/as)]:[TE25: Uudistuksen rahoituksen siirtymäajan porrastus (50 % kustannusperusteinen / 50 % vos-kriteerit)]])</f>
        <v>-31402411.53983511</v>
      </c>
      <c r="P109" s="112"/>
    </row>
    <row r="110" spans="1:16" s="45" customFormat="1">
      <c r="A110" s="237">
        <v>300</v>
      </c>
      <c r="B110" s="239" t="s">
        <v>117</v>
      </c>
      <c r="C110" s="326">
        <v>-3347.19</v>
      </c>
      <c r="D110" s="121">
        <v>-6051.99</v>
      </c>
      <c r="E110" s="121">
        <v>-3347.19</v>
      </c>
      <c r="F110" s="121">
        <v>-33.81</v>
      </c>
      <c r="G110" s="121">
        <v>-69310.5</v>
      </c>
      <c r="H110" s="121">
        <v>-60055.76</v>
      </c>
      <c r="I110" s="121">
        <v>1409171.1510585283</v>
      </c>
      <c r="J110" s="121">
        <v>658465.17737253441</v>
      </c>
      <c r="K110" s="121">
        <v>-101362.38</v>
      </c>
      <c r="L110" s="121">
        <v>-38813.880000000005</v>
      </c>
      <c r="M110" s="485">
        <v>68336.454363216923</v>
      </c>
      <c r="N110" s="485">
        <v>-12059.039669452046</v>
      </c>
      <c r="O110" s="251">
        <f>SUM(LisäyksetVähennykset[[#This Row],[Kuntien yhdistymisavustus (-0,99 €/as)]:[TE25: Uudistuksen rahoituksen siirtymäajan porrastus (50 % kustannusperusteinen / 50 % vos-kriteerit)]])</f>
        <v>1841591.043124828</v>
      </c>
      <c r="P110" s="112"/>
    </row>
    <row r="111" spans="1:16" s="45" customFormat="1">
      <c r="A111" s="239">
        <v>301</v>
      </c>
      <c r="B111" s="239" t="s">
        <v>118</v>
      </c>
      <c r="C111" s="326">
        <v>-19561.41</v>
      </c>
      <c r="D111" s="121">
        <v>-35368.61</v>
      </c>
      <c r="E111" s="121">
        <v>-19561.41</v>
      </c>
      <c r="F111" s="121">
        <v>-197.59</v>
      </c>
      <c r="G111" s="121">
        <v>-405059.5</v>
      </c>
      <c r="H111" s="121">
        <v>-548094.81999999995</v>
      </c>
      <c r="I111" s="121">
        <v>-1709106.965171943</v>
      </c>
      <c r="J111" s="34">
        <v>-1789013.0013835176</v>
      </c>
      <c r="K111" s="34">
        <v>-592374.82000000007</v>
      </c>
      <c r="L111" s="34">
        <v>-226833.32</v>
      </c>
      <c r="M111" s="484">
        <v>724219.97566554113</v>
      </c>
      <c r="N111" s="484">
        <v>136021.98766038998</v>
      </c>
      <c r="O111" s="251">
        <f>SUM(LisäyksetVähennykset[[#This Row],[Kuntien yhdistymisavustus (-0,99 €/as)]:[TE25: Uudistuksen rahoituksen siirtymäajan porrastus (50 % kustannusperusteinen / 50 % vos-kriteerit)]])</f>
        <v>-4484929.4832295291</v>
      </c>
      <c r="P111" s="112"/>
    </row>
    <row r="112" spans="1:16" s="104" customFormat="1">
      <c r="A112" s="237">
        <v>304</v>
      </c>
      <c r="B112" s="239" t="s">
        <v>119</v>
      </c>
      <c r="C112" s="326">
        <v>-939.51</v>
      </c>
      <c r="D112" s="121">
        <v>-1698.71</v>
      </c>
      <c r="E112" s="121">
        <v>-939.51</v>
      </c>
      <c r="F112" s="121">
        <v>-9.49</v>
      </c>
      <c r="G112" s="121">
        <v>-19454.5</v>
      </c>
      <c r="H112" s="121">
        <v>-18383.330000000002</v>
      </c>
      <c r="I112" s="121">
        <v>-267775.09514843271</v>
      </c>
      <c r="J112" s="121">
        <v>-2340.3859379224123</v>
      </c>
      <c r="K112" s="121">
        <v>-28451.02</v>
      </c>
      <c r="L112" s="121">
        <v>-10894.52</v>
      </c>
      <c r="M112" s="485">
        <v>17393.835863849803</v>
      </c>
      <c r="N112" s="485">
        <v>19388.480436081212</v>
      </c>
      <c r="O112" s="251">
        <f>SUM(LisäyksetVähennykset[[#This Row],[Kuntien yhdistymisavustus (-0,99 €/as)]:[TE25: Uudistuksen rahoituksen siirtymäajan porrastus (50 % kustannusperusteinen / 50 % vos-kriteerit)]])</f>
        <v>-314103.75478642411</v>
      </c>
      <c r="P112" s="60"/>
    </row>
    <row r="113" spans="1:16" s="45" customFormat="1">
      <c r="A113" s="239">
        <v>305</v>
      </c>
      <c r="B113" s="239" t="s">
        <v>120</v>
      </c>
      <c r="C113" s="326">
        <v>-14868.81</v>
      </c>
      <c r="D113" s="121">
        <v>-26884.010000000002</v>
      </c>
      <c r="E113" s="121">
        <v>-14868.81</v>
      </c>
      <c r="F113" s="121">
        <v>-150.19</v>
      </c>
      <c r="G113" s="121">
        <v>-307889.5</v>
      </c>
      <c r="H113" s="121">
        <v>-383710.86</v>
      </c>
      <c r="I113" s="121">
        <v>708301.42696446052</v>
      </c>
      <c r="J113" s="34">
        <v>1011035.4280378964</v>
      </c>
      <c r="K113" s="34">
        <v>-450269.62</v>
      </c>
      <c r="L113" s="34">
        <v>-172418.12</v>
      </c>
      <c r="M113" s="484">
        <v>826203.6637767629</v>
      </c>
      <c r="N113" s="484">
        <v>103806.93000169133</v>
      </c>
      <c r="O113" s="251">
        <f>SUM(LisäyksetVähennykset[[#This Row],[Kuntien yhdistymisavustus (-0,99 €/as)]:[TE25: Uudistuksen rahoituksen siirtymäajan porrastus (50 % kustannusperusteinen / 50 % vos-kriteerit)]])</f>
        <v>1278287.5287808115</v>
      </c>
      <c r="P113" s="112"/>
    </row>
    <row r="114" spans="1:16" s="45" customFormat="1">
      <c r="A114" s="239">
        <v>309</v>
      </c>
      <c r="B114" s="239" t="s">
        <v>121</v>
      </c>
      <c r="C114" s="326">
        <v>-6344.91</v>
      </c>
      <c r="D114" s="121">
        <v>-11472.11</v>
      </c>
      <c r="E114" s="121">
        <v>-6344.91</v>
      </c>
      <c r="F114" s="121">
        <v>-64.09</v>
      </c>
      <c r="G114" s="121">
        <v>-131384.5</v>
      </c>
      <c r="H114" s="121">
        <v>-496126.59</v>
      </c>
      <c r="I114" s="121">
        <v>-1325671.1750459524</v>
      </c>
      <c r="J114" s="34">
        <v>-899186.1989079538</v>
      </c>
      <c r="K114" s="34">
        <v>-192141.82</v>
      </c>
      <c r="L114" s="34">
        <v>-73575.320000000007</v>
      </c>
      <c r="M114" s="484">
        <v>456450.37067146297</v>
      </c>
      <c r="N114" s="484">
        <v>193698.89210974216</v>
      </c>
      <c r="O114" s="251">
        <f>SUM(LisäyksetVähennykset[[#This Row],[Kuntien yhdistymisavustus (-0,99 €/as)]:[TE25: Uudistuksen rahoituksen siirtymäajan porrastus (50 % kustannusperusteinen / 50 % vos-kriteerit)]])</f>
        <v>-2492162.3611727003</v>
      </c>
      <c r="P114" s="112"/>
    </row>
    <row r="115" spans="1:16" s="45" customFormat="1">
      <c r="A115" s="239">
        <v>312</v>
      </c>
      <c r="B115" s="239" t="s">
        <v>122</v>
      </c>
      <c r="C115" s="326">
        <v>-1162.26</v>
      </c>
      <c r="D115" s="121">
        <v>-2101.46</v>
      </c>
      <c r="E115" s="121">
        <v>-1162.26</v>
      </c>
      <c r="F115" s="121">
        <v>-11.74</v>
      </c>
      <c r="G115" s="121">
        <v>-24067</v>
      </c>
      <c r="H115" s="121">
        <v>-17970.22</v>
      </c>
      <c r="I115" s="121">
        <v>-92523.861880266297</v>
      </c>
      <c r="J115" s="34">
        <v>-112230.03612909753</v>
      </c>
      <c r="K115" s="34">
        <v>-35196.520000000004</v>
      </c>
      <c r="L115" s="34">
        <v>-13477.52</v>
      </c>
      <c r="M115" s="484">
        <v>87511.863550312206</v>
      </c>
      <c r="N115" s="484">
        <v>-6550.7666826203131</v>
      </c>
      <c r="O115" s="251">
        <f>SUM(LisäyksetVähennykset[[#This Row],[Kuntien yhdistymisavustus (-0,99 €/as)]:[TE25: Uudistuksen rahoituksen siirtymäajan porrastus (50 % kustannusperusteinen / 50 % vos-kriteerit)]])</f>
        <v>-218941.78114167193</v>
      </c>
      <c r="P115" s="112"/>
    </row>
    <row r="116" spans="1:16" s="45" customFormat="1">
      <c r="A116" s="239">
        <v>316</v>
      </c>
      <c r="B116" s="239" t="s">
        <v>123</v>
      </c>
      <c r="C116" s="326">
        <v>-4072.86</v>
      </c>
      <c r="D116" s="121">
        <v>-7364.06</v>
      </c>
      <c r="E116" s="121">
        <v>-4072.86</v>
      </c>
      <c r="F116" s="121">
        <v>-41.14</v>
      </c>
      <c r="G116" s="121">
        <v>-84337</v>
      </c>
      <c r="H116" s="121">
        <v>-346205.06</v>
      </c>
      <c r="I116" s="121">
        <v>-213263.92770545735</v>
      </c>
      <c r="J116" s="34">
        <v>-123402.79418268686</v>
      </c>
      <c r="K116" s="34">
        <v>-123337.72</v>
      </c>
      <c r="L116" s="34">
        <v>-47228.72</v>
      </c>
      <c r="M116" s="484">
        <v>221465.72235582871</v>
      </c>
      <c r="N116" s="484">
        <v>90112.143549875618</v>
      </c>
      <c r="O116" s="251">
        <f>SUM(LisäyksetVähennykset[[#This Row],[Kuntien yhdistymisavustus (-0,99 €/as)]:[TE25: Uudistuksen rahoituksen siirtymäajan porrastus (50 % kustannusperusteinen / 50 % vos-kriteerit)]])</f>
        <v>-641748.27598243975</v>
      </c>
      <c r="P116" s="112"/>
    </row>
    <row r="117" spans="1:16" s="45" customFormat="1">
      <c r="A117" s="239">
        <v>317</v>
      </c>
      <c r="B117" s="239" t="s">
        <v>124</v>
      </c>
      <c r="C117" s="326">
        <v>-2415.6</v>
      </c>
      <c r="D117" s="121">
        <v>-4367.6000000000004</v>
      </c>
      <c r="E117" s="121">
        <v>-2415.6</v>
      </c>
      <c r="F117" s="121">
        <v>-24.400000000000002</v>
      </c>
      <c r="G117" s="121">
        <v>-50020</v>
      </c>
      <c r="H117" s="121">
        <v>-61603.76</v>
      </c>
      <c r="I117" s="121">
        <v>603531.88054677029</v>
      </c>
      <c r="J117" s="34">
        <v>183028.05217427577</v>
      </c>
      <c r="K117" s="34">
        <v>-73151.199999999997</v>
      </c>
      <c r="L117" s="34">
        <v>-28011.200000000001</v>
      </c>
      <c r="M117" s="484">
        <v>72162.395143372414</v>
      </c>
      <c r="N117" s="484">
        <v>11432.790870165554</v>
      </c>
      <c r="O117" s="251">
        <f>SUM(LisäyksetVähennykset[[#This Row],[Kuntien yhdistymisavustus (-0,99 €/as)]:[TE25: Uudistuksen rahoituksen siirtymäajan porrastus (50 % kustannusperusteinen / 50 % vos-kriteerit)]])</f>
        <v>648145.7587345842</v>
      </c>
      <c r="P117" s="112"/>
    </row>
    <row r="118" spans="1:16" s="45" customFormat="1">
      <c r="A118" s="239">
        <v>320</v>
      </c>
      <c r="B118" s="239" t="s">
        <v>125</v>
      </c>
      <c r="C118" s="326">
        <v>-6959.7</v>
      </c>
      <c r="D118" s="121">
        <v>-12583.7</v>
      </c>
      <c r="E118" s="121">
        <v>-6959.7</v>
      </c>
      <c r="F118" s="121">
        <v>-70.3</v>
      </c>
      <c r="G118" s="121">
        <v>-144115</v>
      </c>
      <c r="H118" s="121">
        <v>-213479.33</v>
      </c>
      <c r="I118" s="121">
        <v>428143.17379731592</v>
      </c>
      <c r="J118" s="34">
        <v>602844.79852892633</v>
      </c>
      <c r="K118" s="34">
        <v>-210759.4</v>
      </c>
      <c r="L118" s="34">
        <v>-80704.400000000009</v>
      </c>
      <c r="M118" s="484">
        <v>337314.3377577379</v>
      </c>
      <c r="N118" s="484">
        <v>110510.55808518734</v>
      </c>
      <c r="O118" s="251">
        <f>SUM(LisäyksetVähennykset[[#This Row],[Kuntien yhdistymisavustus (-0,99 €/as)]:[TE25: Uudistuksen rahoituksen siirtymäajan porrastus (50 % kustannusperusteinen / 50 % vos-kriteerit)]])</f>
        <v>803181.33816916752</v>
      </c>
      <c r="P118" s="112"/>
    </row>
    <row r="119" spans="1:16" s="45" customFormat="1">
      <c r="A119" s="239">
        <v>322</v>
      </c>
      <c r="B119" s="239" t="s">
        <v>126</v>
      </c>
      <c r="C119" s="326">
        <v>-6397.38</v>
      </c>
      <c r="D119" s="121">
        <v>-11566.98</v>
      </c>
      <c r="E119" s="121">
        <v>-6397.38</v>
      </c>
      <c r="F119" s="121">
        <v>-64.62</v>
      </c>
      <c r="G119" s="121">
        <v>-132471</v>
      </c>
      <c r="H119" s="121">
        <v>-166262.89000000001</v>
      </c>
      <c r="I119" s="121">
        <v>1132721.2076239495</v>
      </c>
      <c r="J119" s="34">
        <v>916083.17633939581</v>
      </c>
      <c r="K119" s="34">
        <v>-193730.76</v>
      </c>
      <c r="L119" s="34">
        <v>-74183.760000000009</v>
      </c>
      <c r="M119" s="484">
        <v>121282.15696706448</v>
      </c>
      <c r="N119" s="484">
        <v>15982.220548440178</v>
      </c>
      <c r="O119" s="251">
        <f>SUM(LisäyksetVähennykset[[#This Row],[Kuntien yhdistymisavustus (-0,99 €/as)]:[TE25: Uudistuksen rahoituksen siirtymäajan porrastus (50 % kustannusperusteinen / 50 % vos-kriteerit)]])</f>
        <v>1594993.9914788501</v>
      </c>
      <c r="P119" s="112"/>
    </row>
    <row r="120" spans="1:16" s="45" customFormat="1">
      <c r="A120" s="239">
        <v>398</v>
      </c>
      <c r="B120" s="239" t="s">
        <v>127</v>
      </c>
      <c r="C120" s="326">
        <v>-119486.06999999999</v>
      </c>
      <c r="D120" s="121">
        <v>-216040.47</v>
      </c>
      <c r="E120" s="121">
        <v>-119486.06999999999</v>
      </c>
      <c r="F120" s="121">
        <v>-1206.93</v>
      </c>
      <c r="G120" s="121">
        <v>-2474206.5</v>
      </c>
      <c r="H120" s="121">
        <v>-12058214.52</v>
      </c>
      <c r="I120" s="121">
        <v>9529173.0882378947</v>
      </c>
      <c r="J120" s="34">
        <v>12146816.647058593</v>
      </c>
      <c r="K120" s="34">
        <v>-3618376.14</v>
      </c>
      <c r="L120" s="34">
        <v>-1385555.6400000001</v>
      </c>
      <c r="M120" s="484">
        <v>3107047.1546566971</v>
      </c>
      <c r="N120" s="484">
        <v>1067165.8377809795</v>
      </c>
      <c r="O120" s="251">
        <f>SUM(LisäyksetVähennykset[[#This Row],[Kuntien yhdistymisavustus (-0,99 €/as)]:[TE25: Uudistuksen rahoituksen siirtymäajan porrastus (50 % kustannusperusteinen / 50 % vos-kriteerit)]])</f>
        <v>5857630.3877341654</v>
      </c>
      <c r="P120" s="112"/>
    </row>
    <row r="121" spans="1:16" s="104" customFormat="1">
      <c r="A121" s="237">
        <v>399</v>
      </c>
      <c r="B121" s="239" t="s">
        <v>128</v>
      </c>
      <c r="C121" s="326">
        <v>-7605.18</v>
      </c>
      <c r="D121" s="121">
        <v>-13750.78</v>
      </c>
      <c r="E121" s="121">
        <v>-7605.18</v>
      </c>
      <c r="F121" s="121">
        <v>-76.820000000000007</v>
      </c>
      <c r="G121" s="121">
        <v>-157481</v>
      </c>
      <c r="H121" s="121">
        <v>-172773.31</v>
      </c>
      <c r="I121" s="121">
        <v>-1522000.7555946151</v>
      </c>
      <c r="J121" s="121">
        <v>-1582925.842596849</v>
      </c>
      <c r="K121" s="121">
        <v>-230306.36000000002</v>
      </c>
      <c r="L121" s="121">
        <v>-88189.36</v>
      </c>
      <c r="M121" s="485">
        <v>216844.37315656018</v>
      </c>
      <c r="N121" s="485">
        <v>-16777.368394702266</v>
      </c>
      <c r="O121" s="251">
        <f>SUM(LisäyksetVähennykset[[#This Row],[Kuntien yhdistymisavustus (-0,99 €/as)]:[TE25: Uudistuksen rahoituksen siirtymäajan porrastus (50 % kustannusperusteinen / 50 % vos-kriteerit)]])</f>
        <v>-3582647.5834296057</v>
      </c>
      <c r="P121" s="60"/>
    </row>
    <row r="122" spans="1:16" s="45" customFormat="1">
      <c r="A122" s="239">
        <v>400</v>
      </c>
      <c r="B122" s="239" t="s">
        <v>129</v>
      </c>
      <c r="C122" s="326">
        <v>-8356.59</v>
      </c>
      <c r="D122" s="121">
        <v>-15109.39</v>
      </c>
      <c r="E122" s="121">
        <v>-8356.59</v>
      </c>
      <c r="F122" s="121">
        <v>-84.41</v>
      </c>
      <c r="G122" s="121">
        <v>-173040.5</v>
      </c>
      <c r="H122" s="121">
        <v>-173535.94</v>
      </c>
      <c r="I122" s="121">
        <v>1537828.7900891798</v>
      </c>
      <c r="J122" s="34">
        <v>942867.58353209926</v>
      </c>
      <c r="K122" s="34">
        <v>-253061.18</v>
      </c>
      <c r="L122" s="34">
        <v>-96902.680000000008</v>
      </c>
      <c r="M122" s="484">
        <v>275336.38565458701</v>
      </c>
      <c r="N122" s="484">
        <v>37281.997451173433</v>
      </c>
      <c r="O122" s="251">
        <f>SUM(LisäyksetVähennykset[[#This Row],[Kuntien yhdistymisavustus (-0,99 €/as)]:[TE25: Uudistuksen rahoituksen siirtymäajan porrastus (50 % kustannusperusteinen / 50 % vos-kriteerit)]])</f>
        <v>2064867.4767270396</v>
      </c>
      <c r="P122" s="112"/>
    </row>
    <row r="123" spans="1:16" s="45" customFormat="1">
      <c r="A123" s="239">
        <v>402</v>
      </c>
      <c r="B123" s="239" t="s">
        <v>130</v>
      </c>
      <c r="C123" s="326">
        <v>-8885.25</v>
      </c>
      <c r="D123" s="121">
        <v>-16065.25</v>
      </c>
      <c r="E123" s="121">
        <v>-8885.25</v>
      </c>
      <c r="F123" s="121">
        <v>-89.75</v>
      </c>
      <c r="G123" s="121">
        <v>-183987.5</v>
      </c>
      <c r="H123" s="121">
        <v>-390143.63</v>
      </c>
      <c r="I123" s="121">
        <v>-1869385.7573780392</v>
      </c>
      <c r="J123" s="34">
        <v>-1467390.3375077748</v>
      </c>
      <c r="K123" s="34">
        <v>-269070.5</v>
      </c>
      <c r="L123" s="34">
        <v>-103033</v>
      </c>
      <c r="M123" s="484">
        <v>410445.25392134901</v>
      </c>
      <c r="N123" s="484">
        <v>48422.484946574608</v>
      </c>
      <c r="O123" s="251">
        <f>SUM(LisäyksetVähennykset[[#This Row],[Kuntien yhdistymisavustus (-0,99 €/as)]:[TE25: Uudistuksen rahoituksen siirtymäajan porrastus (50 % kustannusperusteinen / 50 % vos-kriteerit)]])</f>
        <v>-3858068.4860178903</v>
      </c>
      <c r="P123" s="112"/>
    </row>
    <row r="124" spans="1:16" s="45" customFormat="1">
      <c r="A124" s="239">
        <v>403</v>
      </c>
      <c r="B124" s="239" t="s">
        <v>131</v>
      </c>
      <c r="C124" s="326">
        <v>-2761.11</v>
      </c>
      <c r="D124" s="121">
        <v>-4992.3100000000004</v>
      </c>
      <c r="E124" s="121">
        <v>-2761.11</v>
      </c>
      <c r="F124" s="121">
        <v>-27.89</v>
      </c>
      <c r="G124" s="121">
        <v>-57174.5</v>
      </c>
      <c r="H124" s="121">
        <v>-48030.23</v>
      </c>
      <c r="I124" s="121">
        <v>275941.70974205603</v>
      </c>
      <c r="J124" s="34">
        <v>-5757.6639882242434</v>
      </c>
      <c r="K124" s="34">
        <v>-83614.22</v>
      </c>
      <c r="L124" s="34">
        <v>-32017.72</v>
      </c>
      <c r="M124" s="484">
        <v>71252.250560115805</v>
      </c>
      <c r="N124" s="484">
        <v>-752.9037455758662</v>
      </c>
      <c r="O124" s="251">
        <f>SUM(LisäyksetVähennykset[[#This Row],[Kuntien yhdistymisavustus (-0,99 €/as)]:[TE25: Uudistuksen rahoituksen siirtymäajan porrastus (50 % kustannusperusteinen / 50 % vos-kriteerit)]])</f>
        <v>109304.30256837174</v>
      </c>
      <c r="P124" s="112"/>
    </row>
    <row r="125" spans="1:16" s="45" customFormat="1">
      <c r="A125" s="239">
        <v>405</v>
      </c>
      <c r="B125" s="239" t="s">
        <v>132</v>
      </c>
      <c r="C125" s="326">
        <v>-72258.12</v>
      </c>
      <c r="D125" s="121">
        <v>-130648.52</v>
      </c>
      <c r="E125" s="121">
        <v>-72258.12</v>
      </c>
      <c r="F125" s="121">
        <v>-729.88</v>
      </c>
      <c r="G125" s="121">
        <v>-1496254</v>
      </c>
      <c r="H125" s="121">
        <v>-4620333.84</v>
      </c>
      <c r="I125" s="121">
        <v>-2680554.9973284649</v>
      </c>
      <c r="J125" s="34">
        <v>-51516.040430971458</v>
      </c>
      <c r="K125" s="34">
        <v>-2188180.2400000002</v>
      </c>
      <c r="L125" s="34">
        <v>-837902.24</v>
      </c>
      <c r="M125" s="484">
        <v>3915041.4755051285</v>
      </c>
      <c r="N125" s="484">
        <v>343675.65988771198</v>
      </c>
      <c r="O125" s="251">
        <f>SUM(LisäyksetVähennykset[[#This Row],[Kuntien yhdistymisavustus (-0,99 €/as)]:[TE25: Uudistuksen rahoituksen siirtymäajan porrastus (50 % kustannusperusteinen / 50 % vos-kriteerit)]])</f>
        <v>-7891918.8623665962</v>
      </c>
      <c r="P125" s="112"/>
    </row>
    <row r="126" spans="1:16" s="45" customFormat="1">
      <c r="A126" s="239">
        <v>407</v>
      </c>
      <c r="B126" s="239" t="s">
        <v>133</v>
      </c>
      <c r="C126" s="326">
        <v>-2424.5099999999998</v>
      </c>
      <c r="D126" s="121">
        <v>-4383.71</v>
      </c>
      <c r="E126" s="121">
        <v>-2424.5099999999998</v>
      </c>
      <c r="F126" s="121">
        <v>-24.490000000000002</v>
      </c>
      <c r="G126" s="121">
        <v>-50204.5</v>
      </c>
      <c r="H126" s="121">
        <v>-95785.08</v>
      </c>
      <c r="I126" s="121">
        <v>219185.76756665396</v>
      </c>
      <c r="J126" s="34">
        <v>11190.566682903422</v>
      </c>
      <c r="K126" s="34">
        <v>-73421.02</v>
      </c>
      <c r="L126" s="34">
        <v>-28114.52</v>
      </c>
      <c r="M126" s="484">
        <v>34873.246195508516</v>
      </c>
      <c r="N126" s="484">
        <v>7744.6114294152649</v>
      </c>
      <c r="O126" s="251">
        <f>SUM(LisäyksetVähennykset[[#This Row],[Kuntien yhdistymisavustus (-0,99 €/as)]:[TE25: Uudistuksen rahoituksen siirtymäajan porrastus (50 % kustannusperusteinen / 50 % vos-kriteerit)]])</f>
        <v>16211.851874481163</v>
      </c>
      <c r="P126" s="112"/>
    </row>
    <row r="127" spans="1:16" s="45" customFormat="1">
      <c r="A127" s="239">
        <v>408</v>
      </c>
      <c r="B127" s="239" t="s">
        <v>134</v>
      </c>
      <c r="C127" s="326">
        <v>-13883.76</v>
      </c>
      <c r="D127" s="121">
        <v>-25102.959999999999</v>
      </c>
      <c r="E127" s="121">
        <v>-13883.76</v>
      </c>
      <c r="F127" s="121">
        <v>-140.24</v>
      </c>
      <c r="G127" s="121">
        <v>-287492</v>
      </c>
      <c r="H127" s="121">
        <v>-427074.85</v>
      </c>
      <c r="I127" s="121">
        <v>580006.69596974109</v>
      </c>
      <c r="J127" s="34">
        <v>-28786.2782163027</v>
      </c>
      <c r="K127" s="34">
        <v>-420439.52</v>
      </c>
      <c r="L127" s="34">
        <v>-160995.52000000002</v>
      </c>
      <c r="M127" s="484">
        <v>444363.51897678513</v>
      </c>
      <c r="N127" s="484">
        <v>8053.1056092069484</v>
      </c>
      <c r="O127" s="251">
        <f>SUM(LisäyksetVähennykset[[#This Row],[Kuntien yhdistymisavustus (-0,99 €/as)]:[TE25: Uudistuksen rahoituksen siirtymäajan porrastus (50 % kustannusperusteinen / 50 % vos-kriteerit)]])</f>
        <v>-345375.56766056956</v>
      </c>
      <c r="P127" s="112"/>
    </row>
    <row r="128" spans="1:16" s="45" customFormat="1">
      <c r="A128" s="239">
        <v>410</v>
      </c>
      <c r="B128" s="239" t="s">
        <v>135</v>
      </c>
      <c r="C128" s="326">
        <v>-18574.38</v>
      </c>
      <c r="D128" s="121">
        <v>-33583.980000000003</v>
      </c>
      <c r="E128" s="121">
        <v>-18574.38</v>
      </c>
      <c r="F128" s="121">
        <v>-187.62</v>
      </c>
      <c r="G128" s="121">
        <v>-384621</v>
      </c>
      <c r="H128" s="121">
        <v>-687384.66</v>
      </c>
      <c r="I128" s="121">
        <v>-3718134.796940987</v>
      </c>
      <c r="J128" s="34">
        <v>-2591394.8819405236</v>
      </c>
      <c r="K128" s="34">
        <v>-562484.76</v>
      </c>
      <c r="L128" s="34">
        <v>-215387.76</v>
      </c>
      <c r="M128" s="484">
        <v>691918.92126286472</v>
      </c>
      <c r="N128" s="484">
        <v>132019.89212043874</v>
      </c>
      <c r="O128" s="251">
        <f>SUM(LisäyksetVähennykset[[#This Row],[Kuntien yhdistymisavustus (-0,99 €/as)]:[TE25: Uudistuksen rahoituksen siirtymäajan porrastus (50 % kustannusperusteinen / 50 % vos-kriteerit)]])</f>
        <v>-7406389.4054982066</v>
      </c>
      <c r="P128" s="112"/>
    </row>
    <row r="129" spans="1:16" s="45" customFormat="1">
      <c r="A129" s="239">
        <v>416</v>
      </c>
      <c r="B129" s="239" t="s">
        <v>136</v>
      </c>
      <c r="C129" s="326">
        <v>-2833.38</v>
      </c>
      <c r="D129" s="121">
        <v>-5122.9800000000005</v>
      </c>
      <c r="E129" s="121">
        <v>-2833.38</v>
      </c>
      <c r="F129" s="121">
        <v>-28.62</v>
      </c>
      <c r="G129" s="121">
        <v>-58671</v>
      </c>
      <c r="H129" s="121">
        <v>-103479.76</v>
      </c>
      <c r="I129" s="121">
        <v>-449151.69105400209</v>
      </c>
      <c r="J129" s="34">
        <v>-272009.83502868289</v>
      </c>
      <c r="K129" s="34">
        <v>-85802.76</v>
      </c>
      <c r="L129" s="34">
        <v>-32855.760000000002</v>
      </c>
      <c r="M129" s="484">
        <v>111354.64634443299</v>
      </c>
      <c r="N129" s="484">
        <v>-23181.337186705307</v>
      </c>
      <c r="O129" s="251">
        <f>SUM(LisäyksetVähennykset[[#This Row],[Kuntien yhdistymisavustus (-0,99 €/as)]:[TE25: Uudistuksen rahoituksen siirtymäajan porrastus (50 % kustannusperusteinen / 50 % vos-kriteerit)]])</f>
        <v>-924615.85692495725</v>
      </c>
      <c r="P129" s="112"/>
    </row>
    <row r="130" spans="1:16" s="45" customFormat="1">
      <c r="A130" s="239">
        <v>418</v>
      </c>
      <c r="B130" s="243" t="s">
        <v>137</v>
      </c>
      <c r="C130" s="326">
        <v>-24463.89</v>
      </c>
      <c r="D130" s="121">
        <v>-44232.69</v>
      </c>
      <c r="E130" s="121">
        <v>-24463.89</v>
      </c>
      <c r="F130" s="121">
        <v>-247.11</v>
      </c>
      <c r="G130" s="121">
        <v>-506575.5</v>
      </c>
      <c r="H130" s="121">
        <v>-1033906.4</v>
      </c>
      <c r="I130" s="121">
        <v>87527.887049725701</v>
      </c>
      <c r="J130" s="34">
        <v>-50185.596039202806</v>
      </c>
      <c r="K130" s="34">
        <v>-740835.78</v>
      </c>
      <c r="L130" s="34">
        <v>-283682.28000000003</v>
      </c>
      <c r="M130" s="484">
        <v>1003107.1265508151</v>
      </c>
      <c r="N130" s="484">
        <v>-153866.64973585412</v>
      </c>
      <c r="O130" s="251">
        <f>SUM(LisäyksetVähennykset[[#This Row],[Kuntien yhdistymisavustus (-0,99 €/as)]:[TE25: Uudistuksen rahoituksen siirtymäajan porrastus (50 % kustannusperusteinen / 50 % vos-kriteerit)]])</f>
        <v>-1771824.7721745158</v>
      </c>
      <c r="P130" s="112"/>
    </row>
    <row r="131" spans="1:16" s="45" customFormat="1">
      <c r="A131" s="239">
        <v>420</v>
      </c>
      <c r="B131" s="239" t="s">
        <v>138</v>
      </c>
      <c r="C131" s="326">
        <v>-8958.51</v>
      </c>
      <c r="D131" s="121">
        <v>-16197.710000000001</v>
      </c>
      <c r="E131" s="121">
        <v>-8958.51</v>
      </c>
      <c r="F131" s="121">
        <v>-90.49</v>
      </c>
      <c r="G131" s="121">
        <v>-185504.5</v>
      </c>
      <c r="H131" s="121">
        <v>-347998.46</v>
      </c>
      <c r="I131" s="121">
        <v>830477.12585432839</v>
      </c>
      <c r="J131" s="34">
        <v>130934.93454927237</v>
      </c>
      <c r="K131" s="34">
        <v>-271289.02</v>
      </c>
      <c r="L131" s="34">
        <v>-103882.52</v>
      </c>
      <c r="M131" s="484">
        <v>269247.38487045898</v>
      </c>
      <c r="N131" s="484">
        <v>68408.552506785258</v>
      </c>
      <c r="O131" s="251">
        <f>SUM(LisäyksetVähennykset[[#This Row],[Kuntien yhdistymisavustus (-0,99 €/as)]:[TE25: Uudistuksen rahoituksen siirtymäajan porrastus (50 % kustannusperusteinen / 50 % vos-kriteerit)]])</f>
        <v>356188.27778084489</v>
      </c>
      <c r="P131" s="112"/>
    </row>
    <row r="132" spans="1:16" s="45" customFormat="1">
      <c r="A132" s="239">
        <v>421</v>
      </c>
      <c r="B132" s="239" t="s">
        <v>139</v>
      </c>
      <c r="C132" s="326">
        <v>-675.18</v>
      </c>
      <c r="D132" s="121">
        <v>-1220.78</v>
      </c>
      <c r="E132" s="121">
        <v>-675.18</v>
      </c>
      <c r="F132" s="121">
        <v>-6.82</v>
      </c>
      <c r="G132" s="121">
        <v>-13981</v>
      </c>
      <c r="H132" s="121">
        <v>-22371.94</v>
      </c>
      <c r="I132" s="121">
        <v>339846.08488809998</v>
      </c>
      <c r="J132" s="34">
        <v>110482.24746328652</v>
      </c>
      <c r="K132" s="34">
        <v>-20446.36</v>
      </c>
      <c r="L132" s="34">
        <v>-7829.3600000000006</v>
      </c>
      <c r="M132" s="484">
        <v>14029.129123728864</v>
      </c>
      <c r="N132" s="484">
        <v>2082.9110145326413</v>
      </c>
      <c r="O132" s="251">
        <f>SUM(LisäyksetVähennykset[[#This Row],[Kuntien yhdistymisavustus (-0,99 €/as)]:[TE25: Uudistuksen rahoituksen siirtymäajan porrastus (50 % kustannusperusteinen / 50 % vos-kriteerit)]])</f>
        <v>399233.75248964806</v>
      </c>
      <c r="P132" s="112"/>
    </row>
    <row r="133" spans="1:16" s="45" customFormat="1">
      <c r="A133" s="239">
        <v>422</v>
      </c>
      <c r="B133" s="239" t="s">
        <v>140</v>
      </c>
      <c r="C133" s="326">
        <v>-10125.719999999999</v>
      </c>
      <c r="D133" s="121">
        <v>-18308.12</v>
      </c>
      <c r="E133" s="121">
        <v>-10125.719999999999</v>
      </c>
      <c r="F133" s="121">
        <v>-102.28</v>
      </c>
      <c r="G133" s="121">
        <v>-209674</v>
      </c>
      <c r="H133" s="121">
        <v>-466740.46</v>
      </c>
      <c r="I133" s="121">
        <v>-303805.50825229962</v>
      </c>
      <c r="J133" s="34">
        <v>-21176.76981768151</v>
      </c>
      <c r="K133" s="34">
        <v>-306635.44</v>
      </c>
      <c r="L133" s="34">
        <v>-117417.44</v>
      </c>
      <c r="M133" s="484">
        <v>530407.05315925088</v>
      </c>
      <c r="N133" s="484">
        <v>284679.19345047406</v>
      </c>
      <c r="O133" s="251">
        <f>SUM(LisäyksetVähennykset[[#This Row],[Kuntien yhdistymisavustus (-0,99 €/as)]:[TE25: Uudistuksen rahoituksen siirtymäajan porrastus (50 % kustannusperusteinen / 50 % vos-kriteerit)]])</f>
        <v>-649025.21146025613</v>
      </c>
      <c r="P133" s="112"/>
    </row>
    <row r="134" spans="1:16" s="45" customFormat="1">
      <c r="A134" s="239">
        <v>423</v>
      </c>
      <c r="B134" s="239" t="s">
        <v>141</v>
      </c>
      <c r="C134" s="326">
        <v>-20430.63</v>
      </c>
      <c r="D134" s="121">
        <v>-36940.230000000003</v>
      </c>
      <c r="E134" s="121">
        <v>-20430.63</v>
      </c>
      <c r="F134" s="121">
        <v>-206.37</v>
      </c>
      <c r="G134" s="121">
        <v>-423058.5</v>
      </c>
      <c r="H134" s="121">
        <v>-441715.11</v>
      </c>
      <c r="I134" s="121">
        <v>2692273.7804819779</v>
      </c>
      <c r="J134" s="34">
        <v>303527.620550978</v>
      </c>
      <c r="K134" s="34">
        <v>-618697.26</v>
      </c>
      <c r="L134" s="34">
        <v>-236912.76</v>
      </c>
      <c r="M134" s="484">
        <v>595485.90554074803</v>
      </c>
      <c r="N134" s="484">
        <v>-154915.27532723197</v>
      </c>
      <c r="O134" s="251">
        <f>SUM(LisäyksetVähennykset[[#This Row],[Kuntien yhdistymisavustus (-0,99 €/as)]:[TE25: Uudistuksen rahoituksen siirtymäajan porrastus (50 % kustannusperusteinen / 50 % vos-kriteerit)]])</f>
        <v>1637980.5412464719</v>
      </c>
      <c r="P134" s="112"/>
    </row>
    <row r="135" spans="1:16" s="45" customFormat="1">
      <c r="A135" s="237">
        <v>425</v>
      </c>
      <c r="B135" s="239" t="s">
        <v>142</v>
      </c>
      <c r="C135" s="326">
        <v>-10153.44</v>
      </c>
      <c r="D135" s="121">
        <v>-18358.240000000002</v>
      </c>
      <c r="E135" s="121">
        <v>-10153.44</v>
      </c>
      <c r="F135" s="121">
        <v>-102.56</v>
      </c>
      <c r="G135" s="121">
        <v>-210248</v>
      </c>
      <c r="H135" s="121">
        <v>-177332.58</v>
      </c>
      <c r="I135" s="121">
        <v>-655908.62277299759</v>
      </c>
      <c r="J135" s="121">
        <v>-1321458.3660615019</v>
      </c>
      <c r="K135" s="121">
        <v>-307474.88</v>
      </c>
      <c r="L135" s="121">
        <v>-117738.88</v>
      </c>
      <c r="M135" s="485">
        <v>255461.48908469806</v>
      </c>
      <c r="N135" s="485">
        <v>-27847.365952453634</v>
      </c>
      <c r="O135" s="251">
        <f>SUM(LisäyksetVähennykset[[#This Row],[Kuntien yhdistymisavustus (-0,99 €/as)]:[TE25: Uudistuksen rahoituksen siirtymäajan porrastus (50 % kustannusperusteinen / 50 % vos-kriteerit)]])</f>
        <v>-2601314.8857022543</v>
      </c>
      <c r="P135" s="112"/>
    </row>
    <row r="136" spans="1:16" s="45" customFormat="1">
      <c r="A136" s="239">
        <v>426</v>
      </c>
      <c r="B136" s="239" t="s">
        <v>143</v>
      </c>
      <c r="C136" s="326">
        <v>-11849.31</v>
      </c>
      <c r="D136" s="121">
        <v>-21424.510000000002</v>
      </c>
      <c r="E136" s="121">
        <v>-11849.31</v>
      </c>
      <c r="F136" s="121">
        <v>-119.69</v>
      </c>
      <c r="G136" s="121">
        <v>-245364.5</v>
      </c>
      <c r="H136" s="121">
        <v>-451850.88</v>
      </c>
      <c r="I136" s="121">
        <v>-1689718.2459034517</v>
      </c>
      <c r="J136" s="34">
        <v>-966959.65594380279</v>
      </c>
      <c r="K136" s="34">
        <v>-358830.62</v>
      </c>
      <c r="L136" s="34">
        <v>-137404.12</v>
      </c>
      <c r="M136" s="484">
        <v>406244.44872973999</v>
      </c>
      <c r="N136" s="484">
        <v>176966.97062256001</v>
      </c>
      <c r="O136" s="251">
        <f>SUM(LisäyksetVähennykset[[#This Row],[Kuntien yhdistymisavustus (-0,99 €/as)]:[TE25: Uudistuksen rahoituksen siirtymäajan porrastus (50 % kustannusperusteinen / 50 % vos-kriteerit)]])</f>
        <v>-3312159.4224949549</v>
      </c>
      <c r="P136" s="112"/>
    </row>
    <row r="137" spans="1:16" s="45" customFormat="1">
      <c r="A137" s="239">
        <v>430</v>
      </c>
      <c r="B137" s="239" t="s">
        <v>144</v>
      </c>
      <c r="C137" s="326">
        <v>-15265.8</v>
      </c>
      <c r="D137" s="121">
        <v>-27601.8</v>
      </c>
      <c r="E137" s="121">
        <v>-15265.8</v>
      </c>
      <c r="F137" s="121">
        <v>-154.20000000000002</v>
      </c>
      <c r="G137" s="121">
        <v>-316110</v>
      </c>
      <c r="H137" s="121">
        <v>-596219.67000000004</v>
      </c>
      <c r="I137" s="121">
        <v>1261488.4010607996</v>
      </c>
      <c r="J137" s="34">
        <v>169688.06954953549</v>
      </c>
      <c r="K137" s="34">
        <v>-462291.60000000003</v>
      </c>
      <c r="L137" s="34">
        <v>-177021.6</v>
      </c>
      <c r="M137" s="484">
        <v>798173.09282262519</v>
      </c>
      <c r="N137" s="484">
        <v>81233.316853354452</v>
      </c>
      <c r="O137" s="251">
        <f>SUM(LisäyksetVähennykset[[#This Row],[Kuntien yhdistymisavustus (-0,99 €/as)]:[TE25: Uudistuksen rahoituksen siirtymäajan porrastus (50 % kustannusperusteinen / 50 % vos-kriteerit)]])</f>
        <v>700652.41028631467</v>
      </c>
      <c r="P137" s="112"/>
    </row>
    <row r="138" spans="1:16" s="45" customFormat="1">
      <c r="A138" s="239">
        <v>433</v>
      </c>
      <c r="B138" s="239" t="s">
        <v>145</v>
      </c>
      <c r="C138" s="326">
        <v>-7615.08</v>
      </c>
      <c r="D138" s="121">
        <v>-13768.68</v>
      </c>
      <c r="E138" s="121">
        <v>-7615.08</v>
      </c>
      <c r="F138" s="121">
        <v>-76.92</v>
      </c>
      <c r="G138" s="121">
        <v>-157686</v>
      </c>
      <c r="H138" s="121">
        <v>-232822.53</v>
      </c>
      <c r="I138" s="121">
        <v>55291.691277203128</v>
      </c>
      <c r="J138" s="34">
        <v>-15821.325618705554</v>
      </c>
      <c r="K138" s="34">
        <v>-230606.16</v>
      </c>
      <c r="L138" s="34">
        <v>-88304.16</v>
      </c>
      <c r="M138" s="484">
        <v>265265.14442149957</v>
      </c>
      <c r="N138" s="484">
        <v>-34260.78024594931</v>
      </c>
      <c r="O138" s="251">
        <f>SUM(LisäyksetVähennykset[[#This Row],[Kuntien yhdistymisavustus (-0,99 €/as)]:[TE25: Uudistuksen rahoituksen siirtymäajan porrastus (50 % kustannusperusteinen / 50 % vos-kriteerit)]])</f>
        <v>-468019.88016595214</v>
      </c>
      <c r="P138" s="112"/>
    </row>
    <row r="139" spans="1:16" s="45" customFormat="1">
      <c r="A139" s="239">
        <v>434</v>
      </c>
      <c r="B139" s="239" t="s">
        <v>146</v>
      </c>
      <c r="C139" s="326">
        <v>-14313.42</v>
      </c>
      <c r="D139" s="121">
        <v>-25879.82</v>
      </c>
      <c r="E139" s="121">
        <v>-14313.42</v>
      </c>
      <c r="F139" s="121">
        <v>-144.58000000000001</v>
      </c>
      <c r="G139" s="121">
        <v>-296389</v>
      </c>
      <c r="H139" s="121">
        <v>-578334.31000000006</v>
      </c>
      <c r="I139" s="121">
        <v>2253525.4227396073</v>
      </c>
      <c r="J139" s="34">
        <v>903433.40304117778</v>
      </c>
      <c r="K139" s="34">
        <v>-433450.84</v>
      </c>
      <c r="L139" s="34">
        <v>-165977.84</v>
      </c>
      <c r="M139" s="484">
        <v>379376.06370399124</v>
      </c>
      <c r="N139" s="484">
        <v>44234.711632656166</v>
      </c>
      <c r="O139" s="251">
        <f>SUM(LisäyksetVähennykset[[#This Row],[Kuntien yhdistymisavustus (-0,99 €/as)]:[TE25: Uudistuksen rahoituksen siirtymäajan porrastus (50 % kustannusperusteinen / 50 % vos-kriteerit)]])</f>
        <v>2051766.3711174321</v>
      </c>
      <c r="P139" s="112"/>
    </row>
    <row r="140" spans="1:16" s="45" customFormat="1">
      <c r="A140" s="239">
        <v>435</v>
      </c>
      <c r="B140" s="239" t="s">
        <v>147</v>
      </c>
      <c r="C140" s="326">
        <v>-694.98</v>
      </c>
      <c r="D140" s="121">
        <v>-1256.58</v>
      </c>
      <c r="E140" s="121">
        <v>-694.98</v>
      </c>
      <c r="F140" s="121">
        <v>-7.0200000000000005</v>
      </c>
      <c r="G140" s="121">
        <v>-14391</v>
      </c>
      <c r="H140" s="121">
        <v>-10358.31</v>
      </c>
      <c r="I140" s="121">
        <v>386514.52093453839</v>
      </c>
      <c r="J140" s="34">
        <v>386578.45951530093</v>
      </c>
      <c r="K140" s="34">
        <v>-21045.96</v>
      </c>
      <c r="L140" s="34">
        <v>-8058.96</v>
      </c>
      <c r="M140" s="484">
        <v>24003.422800615794</v>
      </c>
      <c r="N140" s="484">
        <v>-13081.340840510831</v>
      </c>
      <c r="O140" s="251">
        <f>SUM(LisäyksetVähennykset[[#This Row],[Kuntien yhdistymisavustus (-0,99 €/as)]:[TE25: Uudistuksen rahoituksen siirtymäajan porrastus (50 % kustannusperusteinen / 50 % vos-kriteerit)]])</f>
        <v>727507.27240994445</v>
      </c>
      <c r="P140" s="112"/>
    </row>
    <row r="141" spans="1:16" s="45" customFormat="1">
      <c r="A141" s="239">
        <v>436</v>
      </c>
      <c r="B141" s="239" t="s">
        <v>148</v>
      </c>
      <c r="C141" s="326">
        <v>-2012.67</v>
      </c>
      <c r="D141" s="121">
        <v>-3639.07</v>
      </c>
      <c r="E141" s="121">
        <v>-2012.67</v>
      </c>
      <c r="F141" s="121">
        <v>-20.330000000000002</v>
      </c>
      <c r="G141" s="121">
        <v>-41676.5</v>
      </c>
      <c r="H141" s="121">
        <v>-25987.35</v>
      </c>
      <c r="I141" s="121">
        <v>-93853.417441251542</v>
      </c>
      <c r="J141" s="34">
        <v>-173088.44383799279</v>
      </c>
      <c r="K141" s="34">
        <v>-60949.340000000004</v>
      </c>
      <c r="L141" s="34">
        <v>-23338.84</v>
      </c>
      <c r="M141" s="484">
        <v>33436.819269533007</v>
      </c>
      <c r="N141" s="484">
        <v>-16362.309184908358</v>
      </c>
      <c r="O141" s="251">
        <f>SUM(LisäyksetVähennykset[[#This Row],[Kuntien yhdistymisavustus (-0,99 €/as)]:[TE25: Uudistuksen rahoituksen siirtymäajan porrastus (50 % kustannusperusteinen / 50 % vos-kriteerit)]])</f>
        <v>-409504.12119461974</v>
      </c>
      <c r="P141" s="112"/>
    </row>
    <row r="142" spans="1:16" s="45" customFormat="1">
      <c r="A142" s="239">
        <v>440</v>
      </c>
      <c r="B142" s="239" t="s">
        <v>149</v>
      </c>
      <c r="C142" s="326">
        <v>-5784.57</v>
      </c>
      <c r="D142" s="121">
        <v>-10458.969999999999</v>
      </c>
      <c r="E142" s="121">
        <v>-5784.57</v>
      </c>
      <c r="F142" s="121">
        <v>-58.43</v>
      </c>
      <c r="G142" s="121">
        <v>-119781.5</v>
      </c>
      <c r="H142" s="121">
        <v>-38658.379999999997</v>
      </c>
      <c r="I142" s="121">
        <v>-1088842.0824706783</v>
      </c>
      <c r="J142" s="34">
        <v>-1089444.3965874782</v>
      </c>
      <c r="K142" s="34">
        <v>-175173.14</v>
      </c>
      <c r="L142" s="34">
        <v>-67077.64</v>
      </c>
      <c r="M142" s="484">
        <v>83198.100267148111</v>
      </c>
      <c r="N142" s="484">
        <v>-84856.541523910491</v>
      </c>
      <c r="O142" s="251">
        <f>SUM(LisäyksetVähennykset[[#This Row],[Kuntien yhdistymisavustus (-0,99 €/as)]:[TE25: Uudistuksen rahoituksen siirtymäajan porrastus (50 % kustannusperusteinen / 50 % vos-kriteerit)]])</f>
        <v>-2602722.1203149194</v>
      </c>
      <c r="P142" s="112"/>
    </row>
    <row r="143" spans="1:16" s="45" customFormat="1">
      <c r="A143" s="239">
        <v>441</v>
      </c>
      <c r="B143" s="239" t="s">
        <v>150</v>
      </c>
      <c r="C143" s="326">
        <v>-4352.04</v>
      </c>
      <c r="D143" s="121">
        <v>-7868.84</v>
      </c>
      <c r="E143" s="121">
        <v>-4352.04</v>
      </c>
      <c r="F143" s="121">
        <v>-43.96</v>
      </c>
      <c r="G143" s="121">
        <v>-90118</v>
      </c>
      <c r="H143" s="121">
        <v>-163770.37</v>
      </c>
      <c r="I143" s="121">
        <v>-829996.46312295948</v>
      </c>
      <c r="J143" s="34">
        <v>-191905.90727631422</v>
      </c>
      <c r="K143" s="34">
        <v>-131792.08000000002</v>
      </c>
      <c r="L143" s="34">
        <v>-50466.080000000002</v>
      </c>
      <c r="M143" s="484">
        <v>229570.70439166753</v>
      </c>
      <c r="N143" s="484">
        <v>27016.825864598621</v>
      </c>
      <c r="O143" s="251">
        <f>SUM(LisäyksetVähennykset[[#This Row],[Kuntien yhdistymisavustus (-0,99 €/as)]:[TE25: Uudistuksen rahoituksen siirtymäajan porrastus (50 % kustannusperusteinen / 50 % vos-kriteerit)]])</f>
        <v>-1218078.2501430076</v>
      </c>
      <c r="P143" s="112"/>
    </row>
    <row r="144" spans="1:16" s="45" customFormat="1">
      <c r="A144" s="239">
        <v>444</v>
      </c>
      <c r="B144" s="239" t="s">
        <v>151</v>
      </c>
      <c r="C144" s="326">
        <v>-45188.55</v>
      </c>
      <c r="D144" s="121">
        <v>-81704.55</v>
      </c>
      <c r="E144" s="121">
        <v>-45188.55</v>
      </c>
      <c r="F144" s="121">
        <v>-456.45</v>
      </c>
      <c r="G144" s="121">
        <v>-935722.5</v>
      </c>
      <c r="H144" s="121">
        <v>-2752630.88</v>
      </c>
      <c r="I144" s="121">
        <v>2478386.7976316563</v>
      </c>
      <c r="J144" s="34">
        <v>2770592.6734258309</v>
      </c>
      <c r="K144" s="34">
        <v>-1368437.1</v>
      </c>
      <c r="L144" s="34">
        <v>-524004.60000000003</v>
      </c>
      <c r="M144" s="484">
        <v>2117799.1890837396</v>
      </c>
      <c r="N144" s="484">
        <v>-192598.47239516163</v>
      </c>
      <c r="O144" s="251">
        <f>SUM(LisäyksetVähennykset[[#This Row],[Kuntien yhdistymisavustus (-0,99 €/as)]:[TE25: Uudistuksen rahoituksen siirtymäajan porrastus (50 % kustannusperusteinen / 50 % vos-kriteerit)]])</f>
        <v>1420847.007746065</v>
      </c>
      <c r="P144" s="112"/>
    </row>
    <row r="145" spans="1:16" s="45" customFormat="1">
      <c r="A145" s="239">
        <v>445</v>
      </c>
      <c r="B145" s="239" t="s">
        <v>152</v>
      </c>
      <c r="C145" s="326">
        <v>-14849.01</v>
      </c>
      <c r="D145" s="121">
        <v>-26848.21</v>
      </c>
      <c r="E145" s="121">
        <v>-14849.01</v>
      </c>
      <c r="F145" s="121">
        <v>-149.99</v>
      </c>
      <c r="G145" s="121">
        <v>-307479.5</v>
      </c>
      <c r="H145" s="121">
        <v>-344187.67</v>
      </c>
      <c r="I145" s="121">
        <v>-4499630.5183719164</v>
      </c>
      <c r="J145" s="34">
        <v>-606234.18406749435</v>
      </c>
      <c r="K145" s="34">
        <v>-449670.02</v>
      </c>
      <c r="L145" s="34">
        <v>-172188.52000000002</v>
      </c>
      <c r="M145" s="484">
        <v>337696.10070079088</v>
      </c>
      <c r="N145" s="484">
        <v>-61233.413355314347</v>
      </c>
      <c r="O145" s="251">
        <f>SUM(LisäyksetVähennykset[[#This Row],[Kuntien yhdistymisavustus (-0,99 €/as)]:[TE25: Uudistuksen rahoituksen siirtymäajan porrastus (50 % kustannusperusteinen / 50 % vos-kriteerit)]])</f>
        <v>-6159623.9450939335</v>
      </c>
      <c r="P145" s="112"/>
    </row>
    <row r="146" spans="1:16" s="45" customFormat="1">
      <c r="A146" s="239">
        <v>475</v>
      </c>
      <c r="B146" s="239" t="s">
        <v>153</v>
      </c>
      <c r="C146" s="326">
        <v>-5401.44</v>
      </c>
      <c r="D146" s="121">
        <v>-9766.24</v>
      </c>
      <c r="E146" s="121">
        <v>-5401.44</v>
      </c>
      <c r="F146" s="121">
        <v>-54.56</v>
      </c>
      <c r="G146" s="121">
        <v>-111848</v>
      </c>
      <c r="H146" s="121">
        <v>-57989.5</v>
      </c>
      <c r="I146" s="121">
        <v>-1368804.3046799542</v>
      </c>
      <c r="J146" s="34">
        <v>-913452.49427803652</v>
      </c>
      <c r="K146" s="34">
        <v>-163570.88</v>
      </c>
      <c r="L146" s="34">
        <v>-62634.880000000005</v>
      </c>
      <c r="M146" s="484">
        <v>95482.600630911737</v>
      </c>
      <c r="N146" s="484">
        <v>-36704.904826696118</v>
      </c>
      <c r="O146" s="251">
        <f>SUM(LisäyksetVähennykset[[#This Row],[Kuntien yhdistymisavustus (-0,99 €/as)]:[TE25: Uudistuksen rahoituksen siirtymäajan porrastus (50 % kustannusperusteinen / 50 % vos-kriteerit)]])</f>
        <v>-2640146.0431537749</v>
      </c>
      <c r="P146" s="112"/>
    </row>
    <row r="147" spans="1:16" s="45" customFormat="1">
      <c r="A147" s="239">
        <v>480</v>
      </c>
      <c r="B147" s="239" t="s">
        <v>154</v>
      </c>
      <c r="C147" s="326">
        <v>-1910.7</v>
      </c>
      <c r="D147" s="121">
        <v>-3454.7000000000003</v>
      </c>
      <c r="E147" s="121">
        <v>-1910.7</v>
      </c>
      <c r="F147" s="121">
        <v>-19.3</v>
      </c>
      <c r="G147" s="121">
        <v>-39565</v>
      </c>
      <c r="H147" s="121">
        <v>-47608.65</v>
      </c>
      <c r="I147" s="121">
        <v>111836.96442156307</v>
      </c>
      <c r="J147" s="34">
        <v>-4038.5316910310476</v>
      </c>
      <c r="K147" s="34">
        <v>-57861.4</v>
      </c>
      <c r="L147" s="34">
        <v>-22156.400000000001</v>
      </c>
      <c r="M147" s="484">
        <v>87338.324722934267</v>
      </c>
      <c r="N147" s="484">
        <v>-7514.7089441159769</v>
      </c>
      <c r="O147" s="251">
        <f>SUM(LisäyksetVähennykset[[#This Row],[Kuntien yhdistymisavustus (-0,99 €/as)]:[TE25: Uudistuksen rahoituksen siirtymäajan porrastus (50 % kustannusperusteinen / 50 % vos-kriteerit)]])</f>
        <v>13135.198509350303</v>
      </c>
      <c r="P147" s="112"/>
    </row>
    <row r="148" spans="1:16" s="45" customFormat="1">
      <c r="A148" s="239">
        <v>481</v>
      </c>
      <c r="B148" s="239" t="s">
        <v>155</v>
      </c>
      <c r="C148" s="326">
        <v>-9522.81</v>
      </c>
      <c r="D148" s="121">
        <v>-17218.010000000002</v>
      </c>
      <c r="E148" s="121">
        <v>-9522.81</v>
      </c>
      <c r="F148" s="121">
        <v>-96.19</v>
      </c>
      <c r="G148" s="121">
        <v>-197189.5</v>
      </c>
      <c r="H148" s="121">
        <v>-102419.49</v>
      </c>
      <c r="I148" s="121">
        <v>328508.05771031545</v>
      </c>
      <c r="J148" s="34">
        <v>-19686.310700162467</v>
      </c>
      <c r="K148" s="34">
        <v>-288377.62</v>
      </c>
      <c r="L148" s="34">
        <v>-110426.12000000001</v>
      </c>
      <c r="M148" s="484">
        <v>183448.77365064411</v>
      </c>
      <c r="N148" s="484">
        <v>-79204.773690559028</v>
      </c>
      <c r="O148" s="251">
        <f>SUM(LisäyksetVähennykset[[#This Row],[Kuntien yhdistymisavustus (-0,99 €/as)]:[TE25: Uudistuksen rahoituksen siirtymäajan porrastus (50 % kustannusperusteinen / 50 % vos-kriteerit)]])</f>
        <v>-321706.80302976194</v>
      </c>
      <c r="P148" s="112"/>
    </row>
    <row r="149" spans="1:16" s="45" customFormat="1">
      <c r="A149" s="239">
        <v>483</v>
      </c>
      <c r="B149" s="239" t="s">
        <v>156</v>
      </c>
      <c r="C149" s="326">
        <v>-1044.45</v>
      </c>
      <c r="D149" s="121">
        <v>-1888.45</v>
      </c>
      <c r="E149" s="121">
        <v>-1044.45</v>
      </c>
      <c r="F149" s="121">
        <v>-10.55</v>
      </c>
      <c r="G149" s="121">
        <v>-21627.5</v>
      </c>
      <c r="H149" s="121">
        <v>-34163.75</v>
      </c>
      <c r="I149" s="121">
        <v>-212018.61245962916</v>
      </c>
      <c r="J149" s="34">
        <v>-262134.66453407961</v>
      </c>
      <c r="K149" s="34">
        <v>-31628.9</v>
      </c>
      <c r="L149" s="34">
        <v>-12111.4</v>
      </c>
      <c r="M149" s="484">
        <v>40595.713300171599</v>
      </c>
      <c r="N149" s="484">
        <v>16464.241660212596</v>
      </c>
      <c r="O149" s="251">
        <f>SUM(LisäyksetVähennykset[[#This Row],[Kuntien yhdistymisavustus (-0,99 €/as)]:[TE25: Uudistuksen rahoituksen siirtymäajan porrastus (50 % kustannusperusteinen / 50 % vos-kriteerit)]])</f>
        <v>-520612.77203332476</v>
      </c>
      <c r="P149" s="112"/>
    </row>
    <row r="150" spans="1:16" s="45" customFormat="1">
      <c r="A150" s="239">
        <v>484</v>
      </c>
      <c r="B150" s="239" t="s">
        <v>157</v>
      </c>
      <c r="C150" s="326">
        <v>-2936.34</v>
      </c>
      <c r="D150" s="121">
        <v>-5309.14</v>
      </c>
      <c r="E150" s="121">
        <v>-2936.34</v>
      </c>
      <c r="F150" s="121">
        <v>-29.66</v>
      </c>
      <c r="G150" s="121">
        <v>-60803</v>
      </c>
      <c r="H150" s="121">
        <v>-38926.959999999999</v>
      </c>
      <c r="I150" s="121">
        <v>-370876.19512735825</v>
      </c>
      <c r="J150" s="34">
        <v>16611.038624562185</v>
      </c>
      <c r="K150" s="34">
        <v>-88920.680000000008</v>
      </c>
      <c r="L150" s="34">
        <v>-34049.68</v>
      </c>
      <c r="M150" s="484">
        <v>96005.837051500595</v>
      </c>
      <c r="N150" s="484">
        <v>-19932.635910805751</v>
      </c>
      <c r="O150" s="251">
        <f>SUM(LisäyksetVähennykset[[#This Row],[Kuntien yhdistymisavustus (-0,99 €/as)]:[TE25: Uudistuksen rahoituksen siirtymäajan porrastus (50 % kustannusperusteinen / 50 % vos-kriteerit)]])</f>
        <v>-512103.75536210136</v>
      </c>
      <c r="P150" s="112"/>
    </row>
    <row r="151" spans="1:16" s="45" customFormat="1">
      <c r="A151" s="239">
        <v>489</v>
      </c>
      <c r="B151" s="239" t="s">
        <v>158</v>
      </c>
      <c r="C151" s="326">
        <v>-1734.48</v>
      </c>
      <c r="D151" s="121">
        <v>-3136.08</v>
      </c>
      <c r="E151" s="121">
        <v>-1734.48</v>
      </c>
      <c r="F151" s="121">
        <v>-17.52</v>
      </c>
      <c r="G151" s="121">
        <v>-35916</v>
      </c>
      <c r="H151" s="121">
        <v>-38779.53</v>
      </c>
      <c r="I151" s="121">
        <v>633509.21216143866</v>
      </c>
      <c r="J151" s="34">
        <v>298760.00011385273</v>
      </c>
      <c r="K151" s="34">
        <v>-52524.959999999999</v>
      </c>
      <c r="L151" s="34">
        <v>-20112.96</v>
      </c>
      <c r="M151" s="484">
        <v>57684.482908448612</v>
      </c>
      <c r="N151" s="484">
        <v>20393.409626641471</v>
      </c>
      <c r="O151" s="251">
        <f>SUM(LisäyksetVähennykset[[#This Row],[Kuntien yhdistymisavustus (-0,99 €/as)]:[TE25: Uudistuksen rahoituksen siirtymäajan porrastus (50 % kustannusperusteinen / 50 % vos-kriteerit)]])</f>
        <v>856391.09481038165</v>
      </c>
      <c r="P151" s="112"/>
    </row>
    <row r="152" spans="1:16" s="45" customFormat="1">
      <c r="A152" s="239">
        <v>491</v>
      </c>
      <c r="B152" s="239" t="s">
        <v>159</v>
      </c>
      <c r="C152" s="326">
        <v>-51399.81</v>
      </c>
      <c r="D152" s="121">
        <v>-92935.01</v>
      </c>
      <c r="E152" s="121">
        <v>-51399.81</v>
      </c>
      <c r="F152" s="121">
        <v>-519.19000000000005</v>
      </c>
      <c r="G152" s="121">
        <v>-1064339.5</v>
      </c>
      <c r="H152" s="121">
        <v>-2814669.8</v>
      </c>
      <c r="I152" s="121">
        <v>-12122341.839662476</v>
      </c>
      <c r="J152" s="34">
        <v>-4380115.1776557425</v>
      </c>
      <c r="K152" s="34">
        <v>-1556531.62</v>
      </c>
      <c r="L152" s="34">
        <v>-596030.12</v>
      </c>
      <c r="M152" s="484">
        <v>2559318.0380514995</v>
      </c>
      <c r="N152" s="484">
        <v>504178.34780104319</v>
      </c>
      <c r="O152" s="251">
        <f>SUM(LisäyksetVähennykset[[#This Row],[Kuntien yhdistymisavustus (-0,99 €/as)]:[TE25: Uudistuksen rahoituksen siirtymäajan porrastus (50 % kustannusperusteinen / 50 % vos-kriteerit)]])</f>
        <v>-19666785.491465673</v>
      </c>
      <c r="P152" s="112"/>
    </row>
    <row r="153" spans="1:16" s="45" customFormat="1">
      <c r="A153" s="239">
        <v>494</v>
      </c>
      <c r="B153" s="239" t="s">
        <v>160</v>
      </c>
      <c r="C153" s="326">
        <v>-8738.73</v>
      </c>
      <c r="D153" s="121">
        <v>-15800.33</v>
      </c>
      <c r="E153" s="121">
        <v>-8738.73</v>
      </c>
      <c r="F153" s="121">
        <v>-88.27</v>
      </c>
      <c r="G153" s="121">
        <v>-180953.5</v>
      </c>
      <c r="H153" s="121">
        <v>-273715.49</v>
      </c>
      <c r="I153" s="121">
        <v>-1683048.3172458161</v>
      </c>
      <c r="J153" s="34">
        <v>-1829044.9468070478</v>
      </c>
      <c r="K153" s="34">
        <v>-264633.46000000002</v>
      </c>
      <c r="L153" s="34">
        <v>-101333.96</v>
      </c>
      <c r="M153" s="484">
        <v>163329.14263309597</v>
      </c>
      <c r="N153" s="484">
        <v>-30731.011278907885</v>
      </c>
      <c r="O153" s="251">
        <f>SUM(LisäyksetVähennykset[[#This Row],[Kuntien yhdistymisavustus (-0,99 €/as)]:[TE25: Uudistuksen rahoituksen siirtymäajan porrastus (50 % kustannusperusteinen / 50 % vos-kriteerit)]])</f>
        <v>-4233497.6026986754</v>
      </c>
      <c r="P153" s="112"/>
    </row>
    <row r="154" spans="1:16" s="45" customFormat="1">
      <c r="A154" s="239">
        <v>495</v>
      </c>
      <c r="B154" s="239" t="s">
        <v>161</v>
      </c>
      <c r="C154" s="326">
        <v>-1415.7</v>
      </c>
      <c r="D154" s="121">
        <v>-2559.7000000000003</v>
      </c>
      <c r="E154" s="121">
        <v>-1415.7</v>
      </c>
      <c r="F154" s="121">
        <v>-14.3</v>
      </c>
      <c r="G154" s="121">
        <v>-29315</v>
      </c>
      <c r="H154" s="121">
        <v>-45915.47</v>
      </c>
      <c r="I154" s="121">
        <v>-7961.7651400020659</v>
      </c>
      <c r="J154" s="34">
        <v>-3015.6275569529107</v>
      </c>
      <c r="K154" s="34">
        <v>-42871.4</v>
      </c>
      <c r="L154" s="34">
        <v>-16416.400000000001</v>
      </c>
      <c r="M154" s="484">
        <v>59588.200028801599</v>
      </c>
      <c r="N154" s="484">
        <v>15249.090117909982</v>
      </c>
      <c r="O154" s="251">
        <f>SUM(LisäyksetVähennykset[[#This Row],[Kuntien yhdistymisavustus (-0,99 €/as)]:[TE25: Uudistuksen rahoituksen siirtymäajan porrastus (50 % kustannusperusteinen / 50 % vos-kriteerit)]])</f>
        <v>-76063.77255024339</v>
      </c>
      <c r="P154" s="112"/>
    </row>
    <row r="155" spans="1:16" s="45" customFormat="1">
      <c r="A155" s="239">
        <v>498</v>
      </c>
      <c r="B155" s="239" t="s">
        <v>162</v>
      </c>
      <c r="C155" s="326">
        <v>-2301.75</v>
      </c>
      <c r="D155" s="121">
        <v>-4161.75</v>
      </c>
      <c r="E155" s="121">
        <v>-2301.75</v>
      </c>
      <c r="F155" s="121">
        <v>-23.25</v>
      </c>
      <c r="G155" s="121">
        <v>-47662.5</v>
      </c>
      <c r="H155" s="121">
        <v>-25925.51</v>
      </c>
      <c r="I155" s="121">
        <v>73697.868990974603</v>
      </c>
      <c r="J155" s="34">
        <v>541547.28327796189</v>
      </c>
      <c r="K155" s="34">
        <v>-69703.5</v>
      </c>
      <c r="L155" s="34">
        <v>-26691</v>
      </c>
      <c r="M155" s="484">
        <v>128689.36746121282</v>
      </c>
      <c r="N155" s="484">
        <v>35035.747103807182</v>
      </c>
      <c r="O155" s="251">
        <f>SUM(LisäyksetVähennykset[[#This Row],[Kuntien yhdistymisavustus (-0,99 €/as)]:[TE25: Uudistuksen rahoituksen siirtymäajan porrastus (50 % kustannusperusteinen / 50 % vos-kriteerit)]])</f>
        <v>600199.25683395646</v>
      </c>
      <c r="P155" s="112"/>
    </row>
    <row r="156" spans="1:16" s="45" customFormat="1">
      <c r="A156" s="239">
        <v>499</v>
      </c>
      <c r="B156" s="239" t="s">
        <v>163</v>
      </c>
      <c r="C156" s="326">
        <v>-19565.37</v>
      </c>
      <c r="D156" s="121">
        <v>-35375.770000000004</v>
      </c>
      <c r="E156" s="121">
        <v>-19565.37</v>
      </c>
      <c r="F156" s="121">
        <v>-197.63</v>
      </c>
      <c r="G156" s="121">
        <v>-405141.5</v>
      </c>
      <c r="H156" s="121">
        <v>-232547.99</v>
      </c>
      <c r="I156" s="121">
        <v>1283600.7430349656</v>
      </c>
      <c r="J156" s="34">
        <v>-40144.393381725204</v>
      </c>
      <c r="K156" s="34">
        <v>-592494.74</v>
      </c>
      <c r="L156" s="34">
        <v>-226879.24000000002</v>
      </c>
      <c r="M156" s="484">
        <v>371945.82476859394</v>
      </c>
      <c r="N156" s="484">
        <v>-194316.20548962487</v>
      </c>
      <c r="O156" s="251">
        <f>SUM(LisäyksetVähennykset[[#This Row],[Kuntien yhdistymisavustus (-0,99 €/as)]:[TE25: Uudistuksen rahoituksen siirtymäajan porrastus (50 % kustannusperusteinen / 50 % vos-kriteerit)]])</f>
        <v>-110681.64106779051</v>
      </c>
      <c r="P156" s="112"/>
    </row>
    <row r="157" spans="1:16" s="45" customFormat="1">
      <c r="A157" s="239">
        <v>500</v>
      </c>
      <c r="B157" s="239" t="s">
        <v>164</v>
      </c>
      <c r="C157" s="326">
        <v>-10445.49</v>
      </c>
      <c r="D157" s="121">
        <v>-18886.29</v>
      </c>
      <c r="E157" s="121">
        <v>-10445.49</v>
      </c>
      <c r="F157" s="121">
        <v>-105.51</v>
      </c>
      <c r="G157" s="121">
        <v>-216295.5</v>
      </c>
      <c r="H157" s="121">
        <v>-199962.16</v>
      </c>
      <c r="I157" s="121">
        <v>2705573.7844638815</v>
      </c>
      <c r="J157" s="34">
        <v>1102097.0030962916</v>
      </c>
      <c r="K157" s="34">
        <v>-316318.98</v>
      </c>
      <c r="L157" s="34">
        <v>-121125.48000000001</v>
      </c>
      <c r="M157" s="484">
        <v>375874.37989198999</v>
      </c>
      <c r="N157" s="484">
        <v>43190.066308621783</v>
      </c>
      <c r="O157" s="251">
        <f>SUM(LisäyksetVähennykset[[#This Row],[Kuntien yhdistymisavustus (-0,99 €/as)]:[TE25: Uudistuksen rahoituksen siirtymäajan porrastus (50 % kustannusperusteinen / 50 % vos-kriteerit)]])</f>
        <v>3333150.3337607845</v>
      </c>
      <c r="P157" s="112"/>
    </row>
    <row r="158" spans="1:16" s="45" customFormat="1">
      <c r="A158" s="239">
        <v>503</v>
      </c>
      <c r="B158" s="239" t="s">
        <v>165</v>
      </c>
      <c r="C158" s="326">
        <v>-7439.85</v>
      </c>
      <c r="D158" s="121">
        <v>-13451.85</v>
      </c>
      <c r="E158" s="121">
        <v>-7439.85</v>
      </c>
      <c r="F158" s="121">
        <v>-75.150000000000006</v>
      </c>
      <c r="G158" s="121">
        <v>-154057.5</v>
      </c>
      <c r="H158" s="121">
        <v>-150512.82999999999</v>
      </c>
      <c r="I158" s="121">
        <v>-627304.2812280748</v>
      </c>
      <c r="J158" s="34">
        <v>-664437.31703581568</v>
      </c>
      <c r="K158" s="34">
        <v>-225299.7</v>
      </c>
      <c r="L158" s="34">
        <v>-86272.2</v>
      </c>
      <c r="M158" s="484">
        <v>180288.39601773233</v>
      </c>
      <c r="N158" s="484">
        <v>-14442.95989080501</v>
      </c>
      <c r="O158" s="251">
        <f>SUM(LisäyksetVähennykset[[#This Row],[Kuntien yhdistymisavustus (-0,99 €/as)]:[TE25: Uudistuksen rahoituksen siirtymäajan porrastus (50 % kustannusperusteinen / 50 % vos-kriteerit)]])</f>
        <v>-1770445.092136963</v>
      </c>
      <c r="P158" s="112"/>
    </row>
    <row r="159" spans="1:16" s="45" customFormat="1">
      <c r="A159" s="239">
        <v>504</v>
      </c>
      <c r="B159" s="239" t="s">
        <v>166</v>
      </c>
      <c r="C159" s="326">
        <v>-1697.85</v>
      </c>
      <c r="D159" s="121">
        <v>-3069.85</v>
      </c>
      <c r="E159" s="121">
        <v>-1697.85</v>
      </c>
      <c r="F159" s="121">
        <v>-17.150000000000002</v>
      </c>
      <c r="G159" s="121">
        <v>-35157.5</v>
      </c>
      <c r="H159" s="121">
        <v>-53475.99</v>
      </c>
      <c r="I159" s="121">
        <v>-480665.71192696487</v>
      </c>
      <c r="J159" s="34">
        <v>-152609.59287900617</v>
      </c>
      <c r="K159" s="34">
        <v>-51415.700000000004</v>
      </c>
      <c r="L159" s="34">
        <v>-19688.2</v>
      </c>
      <c r="M159" s="484">
        <v>41353.150778867275</v>
      </c>
      <c r="N159" s="484">
        <v>-678.56414168055926</v>
      </c>
      <c r="O159" s="251">
        <f>SUM(LisäyksetVähennykset[[#This Row],[Kuntien yhdistymisavustus (-0,99 €/as)]:[TE25: Uudistuksen rahoituksen siirtymäajan porrastus (50 % kustannusperusteinen / 50 % vos-kriteerit)]])</f>
        <v>-758820.80816878425</v>
      </c>
      <c r="P159" s="112"/>
    </row>
    <row r="160" spans="1:16" s="45" customFormat="1">
      <c r="A160" s="239">
        <v>505</v>
      </c>
      <c r="B160" s="239" t="s">
        <v>167</v>
      </c>
      <c r="C160" s="326">
        <v>-20747.43</v>
      </c>
      <c r="D160" s="121">
        <v>-37513.03</v>
      </c>
      <c r="E160" s="121">
        <v>-20747.43</v>
      </c>
      <c r="F160" s="121">
        <v>-209.57</v>
      </c>
      <c r="G160" s="121">
        <v>-429618.5</v>
      </c>
      <c r="H160" s="121">
        <v>-806352.6</v>
      </c>
      <c r="I160" s="121">
        <v>-686844.96260971308</v>
      </c>
      <c r="J160" s="34">
        <v>-42696.549404874248</v>
      </c>
      <c r="K160" s="34">
        <v>-628290.86</v>
      </c>
      <c r="L160" s="34">
        <v>-240586.36000000002</v>
      </c>
      <c r="M160" s="484">
        <v>516581.89035596396</v>
      </c>
      <c r="N160" s="484">
        <v>-138041.62322736683</v>
      </c>
      <c r="O160" s="251">
        <f>SUM(LisäyksetVähennykset[[#This Row],[Kuntien yhdistymisavustus (-0,99 €/as)]:[TE25: Uudistuksen rahoituksen siirtymäajan porrastus (50 % kustannusperusteinen / 50 % vos-kriteerit)]])</f>
        <v>-2535067.0248859902</v>
      </c>
      <c r="P160" s="112"/>
    </row>
    <row r="161" spans="1:16" s="45" customFormat="1">
      <c r="A161" s="239">
        <v>507</v>
      </c>
      <c r="B161" s="239" t="s">
        <v>168</v>
      </c>
      <c r="C161" s="326">
        <v>-7028.01</v>
      </c>
      <c r="D161" s="121">
        <v>-12707.210000000001</v>
      </c>
      <c r="E161" s="121">
        <v>-7028.01</v>
      </c>
      <c r="F161" s="121">
        <v>-70.989999999999995</v>
      </c>
      <c r="G161" s="121">
        <v>-145529.5</v>
      </c>
      <c r="H161" s="121">
        <v>-257472.83</v>
      </c>
      <c r="I161" s="121">
        <v>-1410487.6499089282</v>
      </c>
      <c r="J161" s="34">
        <v>-340686.23430017498</v>
      </c>
      <c r="K161" s="34">
        <v>-212828.02</v>
      </c>
      <c r="L161" s="34">
        <v>-81496.52</v>
      </c>
      <c r="M161" s="484">
        <f>224332.215870722+'TE25 Etuuksien rahoitusvastuu'!J190</f>
        <v>284274.49610750709</v>
      </c>
      <c r="N161" s="484">
        <f>9178.32379927824+'TE25 Palveluiden rah, kunnat'!N192</f>
        <v>25720.862543371986</v>
      </c>
      <c r="O161" s="251">
        <f>SUM(LisäyksetVähennykset[[#This Row],[Kuntien yhdistymisavustus (-0,99 €/as)]:[TE25: Uudistuksen rahoituksen siirtymäajan porrastus (50 % kustannusperusteinen / 50 % vos-kriteerit)]])</f>
        <v>-2165339.6155582243</v>
      </c>
      <c r="P161" s="112"/>
    </row>
    <row r="162" spans="1:16" s="45" customFormat="1">
      <c r="A162" s="239">
        <v>508</v>
      </c>
      <c r="B162" s="239" t="s">
        <v>169</v>
      </c>
      <c r="C162" s="326">
        <v>-9178.2899999999991</v>
      </c>
      <c r="D162" s="121">
        <v>-16595.09</v>
      </c>
      <c r="E162" s="121">
        <v>-9178.2899999999991</v>
      </c>
      <c r="F162" s="121">
        <v>-92.710000000000008</v>
      </c>
      <c r="G162" s="121">
        <v>-190055.5</v>
      </c>
      <c r="H162" s="121">
        <v>-529557.87</v>
      </c>
      <c r="I162" s="121">
        <v>-836985.06646362867</v>
      </c>
      <c r="J162" s="34">
        <v>-374834.97060335963</v>
      </c>
      <c r="K162" s="34">
        <v>-277944.58</v>
      </c>
      <c r="L162" s="34">
        <v>-106431.08</v>
      </c>
      <c r="M162" s="484">
        <v>591174.74359396612</v>
      </c>
      <c r="N162" s="484">
        <v>-1522.3381995628006</v>
      </c>
      <c r="O162" s="251">
        <f>SUM(LisäyksetVähennykset[[#This Row],[Kuntien yhdistymisavustus (-0,99 €/as)]:[TE25: Uudistuksen rahoituksen siirtymäajan porrastus (50 % kustannusperusteinen / 50 % vos-kriteerit)]])</f>
        <v>-1761201.0416725851</v>
      </c>
      <c r="P162" s="112"/>
    </row>
    <row r="163" spans="1:16" s="45" customFormat="1">
      <c r="A163" s="239">
        <v>529</v>
      </c>
      <c r="B163" s="239" t="s">
        <v>170</v>
      </c>
      <c r="C163" s="326">
        <v>-19799.009999999998</v>
      </c>
      <c r="D163" s="121">
        <v>-35798.21</v>
      </c>
      <c r="E163" s="121">
        <v>-19799.009999999998</v>
      </c>
      <c r="F163" s="121">
        <v>-199.99</v>
      </c>
      <c r="G163" s="121">
        <v>-409979.5</v>
      </c>
      <c r="H163" s="121">
        <v>-531651.29</v>
      </c>
      <c r="I163" s="121">
        <v>4328799.4813034628</v>
      </c>
      <c r="J163" s="34">
        <v>606569.45252505725</v>
      </c>
      <c r="K163" s="34">
        <v>-599570.02</v>
      </c>
      <c r="L163" s="34">
        <v>-229588.52000000002</v>
      </c>
      <c r="M163" s="484">
        <v>807974.29863670806</v>
      </c>
      <c r="N163" s="484">
        <v>-26763.55073024903</v>
      </c>
      <c r="O163" s="251">
        <f>SUM(LisäyksetVähennykset[[#This Row],[Kuntien yhdistymisavustus (-0,99 €/as)]:[TE25: Uudistuksen rahoituksen siirtymäajan porrastus (50 % kustannusperusteinen / 50 % vos-kriteerit)]])</f>
        <v>3870194.1317349793</v>
      </c>
      <c r="P163" s="112"/>
    </row>
    <row r="164" spans="1:16" s="45" customFormat="1">
      <c r="A164" s="239">
        <v>531</v>
      </c>
      <c r="B164" s="239" t="s">
        <v>171</v>
      </c>
      <c r="C164" s="326">
        <v>-4916.34</v>
      </c>
      <c r="D164" s="121">
        <v>-8889.14</v>
      </c>
      <c r="E164" s="121">
        <v>-4916.34</v>
      </c>
      <c r="F164" s="121">
        <v>-49.660000000000004</v>
      </c>
      <c r="G164" s="121">
        <v>-101803</v>
      </c>
      <c r="H164" s="121">
        <v>-141886.47</v>
      </c>
      <c r="I164" s="121">
        <v>-1123293.0359543334</v>
      </c>
      <c r="J164" s="34">
        <v>-936524.31689438224</v>
      </c>
      <c r="K164" s="34">
        <v>-148880.68</v>
      </c>
      <c r="L164" s="34">
        <v>-57009.68</v>
      </c>
      <c r="M164" s="484">
        <v>439468.97913175786</v>
      </c>
      <c r="N164" s="484">
        <v>-23131.051304224355</v>
      </c>
      <c r="O164" s="251">
        <f>SUM(LisäyksetVähennykset[[#This Row],[Kuntien yhdistymisavustus (-0,99 €/as)]:[TE25: Uudistuksen rahoituksen siirtymäajan porrastus (50 % kustannusperusteinen / 50 % vos-kriteerit)]])</f>
        <v>-2111830.7350211823</v>
      </c>
      <c r="P164" s="112"/>
    </row>
    <row r="165" spans="1:16" s="45" customFormat="1">
      <c r="A165" s="239">
        <v>535</v>
      </c>
      <c r="B165" s="239" t="s">
        <v>172</v>
      </c>
      <c r="C165" s="326">
        <v>-10349.459999999999</v>
      </c>
      <c r="D165" s="121">
        <v>-18712.66</v>
      </c>
      <c r="E165" s="121">
        <v>-10349.459999999999</v>
      </c>
      <c r="F165" s="121">
        <v>-104.54</v>
      </c>
      <c r="G165" s="121">
        <v>-214307</v>
      </c>
      <c r="H165" s="121">
        <v>-270194.75</v>
      </c>
      <c r="I165" s="121">
        <v>431355.8732414273</v>
      </c>
      <c r="J165" s="34">
        <v>-230053.28050138647</v>
      </c>
      <c r="K165" s="34">
        <v>-313410.92</v>
      </c>
      <c r="L165" s="34">
        <v>-120011.92</v>
      </c>
      <c r="M165" s="484">
        <v>249789.93803309952</v>
      </c>
      <c r="N165" s="484">
        <v>-46772.818588707363</v>
      </c>
      <c r="O165" s="251">
        <f>SUM(LisäyksetVähennykset[[#This Row],[Kuntien yhdistymisavustus (-0,99 €/as)]:[TE25: Uudistuksen rahoituksen siirtymäajan porrastus (50 % kustannusperusteinen / 50 % vos-kriteerit)]])</f>
        <v>-553120.99781556695</v>
      </c>
      <c r="P165" s="112"/>
    </row>
    <row r="166" spans="1:16" s="45" customFormat="1">
      <c r="A166" s="239">
        <v>536</v>
      </c>
      <c r="B166" s="239" t="s">
        <v>173</v>
      </c>
      <c r="C166" s="326">
        <v>-35290.53</v>
      </c>
      <c r="D166" s="121">
        <v>-63808.130000000005</v>
      </c>
      <c r="E166" s="121">
        <v>-35290.53</v>
      </c>
      <c r="F166" s="121">
        <v>-356.47</v>
      </c>
      <c r="G166" s="121">
        <v>-730763.5</v>
      </c>
      <c r="H166" s="121">
        <v>-1685182.77</v>
      </c>
      <c r="I166" s="121">
        <v>-1468266.4195354653</v>
      </c>
      <c r="J166" s="34">
        <v>-421171.78909983282</v>
      </c>
      <c r="K166" s="34">
        <v>-1068697.06</v>
      </c>
      <c r="L166" s="34">
        <v>-409227.56</v>
      </c>
      <c r="M166" s="484">
        <v>1727461.7992306368</v>
      </c>
      <c r="N166" s="484">
        <v>-33326.051806131843</v>
      </c>
      <c r="O166" s="251">
        <f>SUM(LisäyksetVähennykset[[#This Row],[Kuntien yhdistymisavustus (-0,99 €/as)]:[TE25: Uudistuksen rahoituksen siirtymäajan porrastus (50 % kustannusperusteinen / 50 % vos-kriteerit)]])</f>
        <v>-4223919.0112107936</v>
      </c>
      <c r="P166" s="112"/>
    </row>
    <row r="167" spans="1:16" s="45" customFormat="1">
      <c r="A167" s="239">
        <v>538</v>
      </c>
      <c r="B167" s="239" t="s">
        <v>174</v>
      </c>
      <c r="C167" s="326">
        <v>-4648.05</v>
      </c>
      <c r="D167" s="121">
        <v>-8404.0499999999993</v>
      </c>
      <c r="E167" s="121">
        <v>-4648.05</v>
      </c>
      <c r="F167" s="121">
        <v>-46.95</v>
      </c>
      <c r="G167" s="121">
        <v>-96247.5</v>
      </c>
      <c r="H167" s="121">
        <v>-42940.6</v>
      </c>
      <c r="I167" s="121">
        <v>4520.992781539514</v>
      </c>
      <c r="J167" s="34">
        <v>-148105.63420850231</v>
      </c>
      <c r="K167" s="34">
        <v>-140756.1</v>
      </c>
      <c r="L167" s="34">
        <v>-53898.6</v>
      </c>
      <c r="M167" s="484">
        <v>100731.70676837518</v>
      </c>
      <c r="N167" s="484">
        <v>-42133.700336477632</v>
      </c>
      <c r="O167" s="251">
        <f>SUM(LisäyksetVähennykset[[#This Row],[Kuntien yhdistymisavustus (-0,99 €/as)]:[TE25: Uudistuksen rahoituksen siirtymäajan porrastus (50 % kustannusperusteinen / 50 % vos-kriteerit)]])</f>
        <v>-436576.5349950653</v>
      </c>
      <c r="P167" s="112"/>
    </row>
    <row r="168" spans="1:16" s="45" customFormat="1">
      <c r="A168" s="239">
        <v>541</v>
      </c>
      <c r="B168" s="239" t="s">
        <v>175</v>
      </c>
      <c r="C168" s="326">
        <v>-9038.7000000000007</v>
      </c>
      <c r="D168" s="121">
        <v>-16342.7</v>
      </c>
      <c r="E168" s="121">
        <v>-9038.7000000000007</v>
      </c>
      <c r="F168" s="121">
        <v>-91.3</v>
      </c>
      <c r="G168" s="121">
        <v>-187165</v>
      </c>
      <c r="H168" s="121">
        <v>-304871.34999999998</v>
      </c>
      <c r="I168" s="121">
        <v>2452029.1786533692</v>
      </c>
      <c r="J168" s="34">
        <v>1503524.885469473</v>
      </c>
      <c r="K168" s="34">
        <v>-273717.40000000002</v>
      </c>
      <c r="L168" s="34">
        <v>-104812.40000000001</v>
      </c>
      <c r="M168" s="484">
        <v>242239.31361104886</v>
      </c>
      <c r="N168" s="484">
        <v>325064.86261322204</v>
      </c>
      <c r="O168" s="251">
        <f>SUM(LisäyksetVähennykset[[#This Row],[Kuntien yhdistymisavustus (-0,99 €/as)]:[TE25: Uudistuksen rahoituksen siirtymäajan porrastus (50 % kustannusperusteinen / 50 % vos-kriteerit)]])</f>
        <v>3617780.6903471132</v>
      </c>
      <c r="P168" s="112"/>
    </row>
    <row r="169" spans="1:16" s="45" customFormat="1">
      <c r="A169" s="239">
        <v>543</v>
      </c>
      <c r="B169" s="239" t="s">
        <v>176</v>
      </c>
      <c r="C169" s="326">
        <v>-44337.15</v>
      </c>
      <c r="D169" s="121">
        <v>-80165.150000000009</v>
      </c>
      <c r="E169" s="121">
        <v>-44337.15</v>
      </c>
      <c r="F169" s="121">
        <v>-447.85</v>
      </c>
      <c r="G169" s="121">
        <v>-918092.5</v>
      </c>
      <c r="H169" s="121">
        <v>-1787345.38</v>
      </c>
      <c r="I169" s="121">
        <v>5233977.5570725771</v>
      </c>
      <c r="J169" s="34">
        <v>2214772.7451497391</v>
      </c>
      <c r="K169" s="34">
        <v>-1342654.3</v>
      </c>
      <c r="L169" s="34">
        <v>-514131.80000000005</v>
      </c>
      <c r="M169" s="484">
        <v>1069403.5095069902</v>
      </c>
      <c r="N169" s="484">
        <v>-490809.6555172801</v>
      </c>
      <c r="O169" s="251">
        <f>SUM(LisäyksetVähennykset[[#This Row],[Kuntien yhdistymisavustus (-0,99 €/as)]:[TE25: Uudistuksen rahoituksen siirtymäajan porrastus (50 % kustannusperusteinen / 50 % vos-kriteerit)]])</f>
        <v>3295832.8762120269</v>
      </c>
      <c r="P169" s="112"/>
    </row>
    <row r="170" spans="1:16" s="45" customFormat="1">
      <c r="A170" s="239">
        <v>545</v>
      </c>
      <c r="B170" s="239" t="s">
        <v>177</v>
      </c>
      <c r="C170" s="326">
        <v>-9524.7899999999991</v>
      </c>
      <c r="D170" s="121">
        <v>-17221.59</v>
      </c>
      <c r="E170" s="121">
        <v>-9524.7899999999991</v>
      </c>
      <c r="F170" s="121">
        <v>-96.210000000000008</v>
      </c>
      <c r="G170" s="121">
        <v>-197230.5</v>
      </c>
      <c r="H170" s="121">
        <v>-90551.01</v>
      </c>
      <c r="I170" s="121">
        <v>1844380.1191372457</v>
      </c>
      <c r="J170" s="34">
        <v>1257854.5576417067</v>
      </c>
      <c r="K170" s="34">
        <v>-288437.58</v>
      </c>
      <c r="L170" s="34">
        <v>-110449.08</v>
      </c>
      <c r="M170" s="484">
        <v>254727.42332646169</v>
      </c>
      <c r="N170" s="484">
        <v>-154783.83359154424</v>
      </c>
      <c r="O170" s="251">
        <f>SUM(LisäyksetVähennykset[[#This Row],[Kuntien yhdistymisavustus (-0,99 €/as)]:[TE25: Uudistuksen rahoituksen siirtymäajan porrastus (50 % kustannusperusteinen / 50 % vos-kriteerit)]])</f>
        <v>2479142.7165138694</v>
      </c>
      <c r="P170" s="112"/>
    </row>
    <row r="171" spans="1:16" s="45" customFormat="1">
      <c r="A171" s="239">
        <v>560</v>
      </c>
      <c r="B171" s="239" t="s">
        <v>178</v>
      </c>
      <c r="C171" s="326">
        <v>-15512.31</v>
      </c>
      <c r="D171" s="121">
        <v>-28047.510000000002</v>
      </c>
      <c r="E171" s="121">
        <v>-15512.31</v>
      </c>
      <c r="F171" s="121">
        <v>-156.69</v>
      </c>
      <c r="G171" s="121">
        <v>-321214.5</v>
      </c>
      <c r="H171" s="121">
        <v>-679559.16</v>
      </c>
      <c r="I171" s="121">
        <v>142886.77238777475</v>
      </c>
      <c r="J171" s="34">
        <v>-32126.54001940017</v>
      </c>
      <c r="K171" s="34">
        <v>-469756.62</v>
      </c>
      <c r="L171" s="34">
        <v>-179880.12</v>
      </c>
      <c r="M171" s="484">
        <v>353280.8167155399</v>
      </c>
      <c r="N171" s="484">
        <v>68877.215670276782</v>
      </c>
      <c r="O171" s="251">
        <f>SUM(LisäyksetVähennykset[[#This Row],[Kuntien yhdistymisavustus (-0,99 €/as)]:[TE25: Uudistuksen rahoituksen siirtymäajan porrastus (50 % kustannusperusteinen / 50 % vos-kriteerit)]])</f>
        <v>-1176720.9552458087</v>
      </c>
      <c r="P171" s="112"/>
    </row>
    <row r="172" spans="1:16" s="45" customFormat="1">
      <c r="A172" s="239">
        <v>561</v>
      </c>
      <c r="B172" s="239" t="s">
        <v>179</v>
      </c>
      <c r="C172" s="326">
        <v>-1301.8499999999999</v>
      </c>
      <c r="D172" s="121">
        <v>-2353.85</v>
      </c>
      <c r="E172" s="121">
        <v>-1301.8499999999999</v>
      </c>
      <c r="F172" s="121">
        <v>-13.15</v>
      </c>
      <c r="G172" s="121">
        <v>-26957.5</v>
      </c>
      <c r="H172" s="121">
        <v>-32325.31</v>
      </c>
      <c r="I172" s="121">
        <v>397976.52731554653</v>
      </c>
      <c r="J172" s="34">
        <v>293025.92446822306</v>
      </c>
      <c r="K172" s="34">
        <v>-39423.699999999997</v>
      </c>
      <c r="L172" s="34">
        <v>-15096.2</v>
      </c>
      <c r="M172" s="484">
        <v>58560.919115655997</v>
      </c>
      <c r="N172" s="484">
        <v>11758.155890239199</v>
      </c>
      <c r="O172" s="251">
        <f>SUM(LisäyksetVähennykset[[#This Row],[Kuntien yhdistymisavustus (-0,99 €/as)]:[TE25: Uudistuksen rahoituksen siirtymäajan porrastus (50 % kustannusperusteinen / 50 % vos-kriteerit)]])</f>
        <v>642548.11678966484</v>
      </c>
      <c r="P172" s="112"/>
    </row>
    <row r="173" spans="1:16" s="45" customFormat="1">
      <c r="A173" s="239">
        <v>562</v>
      </c>
      <c r="B173" s="239" t="s">
        <v>180</v>
      </c>
      <c r="C173" s="326">
        <v>-8750.61</v>
      </c>
      <c r="D173" s="121">
        <v>-15821.81</v>
      </c>
      <c r="E173" s="121">
        <v>-8750.61</v>
      </c>
      <c r="F173" s="121">
        <v>-88.39</v>
      </c>
      <c r="G173" s="121">
        <v>-181199.5</v>
      </c>
      <c r="H173" s="121">
        <v>-279869.84000000003</v>
      </c>
      <c r="I173" s="121">
        <v>-14697.310719990495</v>
      </c>
      <c r="J173" s="34">
        <v>-18242.811253469368</v>
      </c>
      <c r="K173" s="34">
        <v>-264993.22000000003</v>
      </c>
      <c r="L173" s="34">
        <v>-101471.72</v>
      </c>
      <c r="M173" s="484">
        <v>237881.160562417</v>
      </c>
      <c r="N173" s="484">
        <v>-925.53032990428619</v>
      </c>
      <c r="O173" s="251">
        <f>SUM(LisäyksetVähennykset[[#This Row],[Kuntien yhdistymisavustus (-0,99 €/as)]:[TE25: Uudistuksen rahoituksen siirtymäajan porrastus (50 % kustannusperusteinen / 50 % vos-kriteerit)]])</f>
        <v>-656930.19174094708</v>
      </c>
      <c r="P173" s="112"/>
    </row>
    <row r="174" spans="1:16" s="45" customFormat="1">
      <c r="A174" s="239">
        <v>563</v>
      </c>
      <c r="B174" s="239" t="s">
        <v>181</v>
      </c>
      <c r="C174" s="326">
        <v>-6908.22</v>
      </c>
      <c r="D174" s="121">
        <v>-12490.62</v>
      </c>
      <c r="E174" s="121">
        <v>-6908.22</v>
      </c>
      <c r="F174" s="121">
        <v>-69.78</v>
      </c>
      <c r="G174" s="121">
        <v>-143049</v>
      </c>
      <c r="H174" s="121">
        <v>-234338.79</v>
      </c>
      <c r="I174" s="121">
        <v>-675793.02046721533</v>
      </c>
      <c r="J174" s="34">
        <v>-920232.62667948077</v>
      </c>
      <c r="K174" s="34">
        <v>-209200.44</v>
      </c>
      <c r="L174" s="34">
        <v>-80107.44</v>
      </c>
      <c r="M174" s="484">
        <v>228221.41507628036</v>
      </c>
      <c r="N174" s="484">
        <v>-5763.4916147682816</v>
      </c>
      <c r="O174" s="251">
        <f>SUM(LisäyksetVähennykset[[#This Row],[Kuntien yhdistymisavustus (-0,99 €/as)]:[TE25: Uudistuksen rahoituksen siirtymäajan porrastus (50 % kustannusperusteinen / 50 % vos-kriteerit)]])</f>
        <v>-2066640.2336851838</v>
      </c>
      <c r="P174" s="112"/>
    </row>
    <row r="175" spans="1:16" s="45" customFormat="1">
      <c r="A175" s="239">
        <v>564</v>
      </c>
      <c r="B175" s="239" t="s">
        <v>182</v>
      </c>
      <c r="C175" s="326">
        <v>-212486.66999999998</v>
      </c>
      <c r="D175" s="121">
        <v>-384193.07</v>
      </c>
      <c r="E175" s="121">
        <v>-212486.66999999998</v>
      </c>
      <c r="F175" s="121">
        <v>-2146.33</v>
      </c>
      <c r="G175" s="121">
        <v>-4399976.5</v>
      </c>
      <c r="H175" s="121">
        <v>-11771176.17</v>
      </c>
      <c r="I175" s="121">
        <v>-14761047.961879341</v>
      </c>
      <c r="J175" s="34">
        <v>-2467215.907343585</v>
      </c>
      <c r="K175" s="34">
        <v>-6434697.3399999999</v>
      </c>
      <c r="L175" s="34">
        <v>-2463986.8400000003</v>
      </c>
      <c r="M175" s="484">
        <v>7460840.1531818509</v>
      </c>
      <c r="N175" s="484">
        <v>-102052.18307832256</v>
      </c>
      <c r="O175" s="251">
        <f>SUM(LisäyksetVähennykset[[#This Row],[Kuntien yhdistymisavustus (-0,99 €/as)]:[TE25: Uudistuksen rahoituksen siirtymäajan porrastus (50 % kustannusperusteinen / 50 % vos-kriteerit)]])</f>
        <v>-35750625.489119396</v>
      </c>
      <c r="P175" s="112"/>
    </row>
    <row r="176" spans="1:16" s="45" customFormat="1">
      <c r="A176" s="239">
        <v>576</v>
      </c>
      <c r="B176" s="239" t="s">
        <v>183</v>
      </c>
      <c r="C176" s="326">
        <v>-2698.74</v>
      </c>
      <c r="D176" s="121">
        <v>-4879.54</v>
      </c>
      <c r="E176" s="121">
        <v>-2698.74</v>
      </c>
      <c r="F176" s="121">
        <v>-27.26</v>
      </c>
      <c r="G176" s="121">
        <v>-55883</v>
      </c>
      <c r="H176" s="121">
        <v>-69892.100000000006</v>
      </c>
      <c r="I176" s="121">
        <v>361001.78521974734</v>
      </c>
      <c r="J176" s="34">
        <v>317974.49956225971</v>
      </c>
      <c r="K176" s="34">
        <v>-81725.48</v>
      </c>
      <c r="L176" s="34">
        <v>-31294.48</v>
      </c>
      <c r="M176" s="484">
        <v>105369.78120705643</v>
      </c>
      <c r="N176" s="484">
        <v>19279.400087742019</v>
      </c>
      <c r="O176" s="251">
        <f>SUM(LisäyksetVähennykset[[#This Row],[Kuntien yhdistymisavustus (-0,99 €/as)]:[TE25: Uudistuksen rahoituksen siirtymäajan porrastus (50 % kustannusperusteinen / 50 % vos-kriteerit)]])</f>
        <v>554526.12607680552</v>
      </c>
      <c r="P176" s="112"/>
    </row>
    <row r="177" spans="1:16" s="45" customFormat="1">
      <c r="A177" s="239">
        <v>577</v>
      </c>
      <c r="B177" s="239" t="s">
        <v>184</v>
      </c>
      <c r="C177" s="326">
        <v>-11123.64</v>
      </c>
      <c r="D177" s="121">
        <v>-20112.439999999999</v>
      </c>
      <c r="E177" s="121">
        <v>-11123.64</v>
      </c>
      <c r="F177" s="121">
        <v>-112.36</v>
      </c>
      <c r="G177" s="121">
        <v>-230338</v>
      </c>
      <c r="H177" s="121">
        <v>-396293.17</v>
      </c>
      <c r="I177" s="121">
        <v>320052.1982920107</v>
      </c>
      <c r="J177" s="34">
        <v>-22740.731028667244</v>
      </c>
      <c r="K177" s="34">
        <v>-336855.28</v>
      </c>
      <c r="L177" s="34">
        <v>-128989.28</v>
      </c>
      <c r="M177" s="484">
        <v>524145.50081178802</v>
      </c>
      <c r="N177" s="484">
        <v>-29031.167332926998</v>
      </c>
      <c r="O177" s="251">
        <f>SUM(LisäyksetVähennykset[[#This Row],[Kuntien yhdistymisavustus (-0,99 €/as)]:[TE25: Uudistuksen rahoituksen siirtymäajan porrastus (50 % kustannusperusteinen / 50 % vos-kriteerit)]])</f>
        <v>-342522.00925779552</v>
      </c>
      <c r="P177" s="112"/>
    </row>
    <row r="178" spans="1:16" s="45" customFormat="1">
      <c r="A178" s="239">
        <v>578</v>
      </c>
      <c r="B178" s="239" t="s">
        <v>185</v>
      </c>
      <c r="C178" s="326">
        <v>-3006.63</v>
      </c>
      <c r="D178" s="121">
        <v>-5436.2300000000005</v>
      </c>
      <c r="E178" s="121">
        <v>-3006.63</v>
      </c>
      <c r="F178" s="121">
        <v>-30.37</v>
      </c>
      <c r="G178" s="121">
        <v>-62258.5</v>
      </c>
      <c r="H178" s="121">
        <v>-106989.84</v>
      </c>
      <c r="I178" s="121">
        <v>-339452.04647386627</v>
      </c>
      <c r="J178" s="34">
        <v>-214119.9516917486</v>
      </c>
      <c r="K178" s="34">
        <v>-91049.26</v>
      </c>
      <c r="L178" s="34">
        <v>-34864.76</v>
      </c>
      <c r="M178" s="484">
        <v>128364.72033847129</v>
      </c>
      <c r="N178" s="484">
        <v>78635.448991491605</v>
      </c>
      <c r="O178" s="251">
        <f>SUM(LisäyksetVähennykset[[#This Row],[Kuntien yhdistymisavustus (-0,99 €/as)]:[TE25: Uudistuksen rahoituksen siirtymäajan porrastus (50 % kustannusperusteinen / 50 % vos-kriteerit)]])</f>
        <v>-653214.04883565207</v>
      </c>
      <c r="P178" s="112"/>
    </row>
    <row r="179" spans="1:16" s="45" customFormat="1">
      <c r="A179" s="239">
        <v>580</v>
      </c>
      <c r="B179" s="239" t="s">
        <v>186</v>
      </c>
      <c r="C179" s="326">
        <v>-4322.34</v>
      </c>
      <c r="D179" s="121">
        <v>-7815.14</v>
      </c>
      <c r="E179" s="121">
        <v>-4322.34</v>
      </c>
      <c r="F179" s="121">
        <v>-43.660000000000004</v>
      </c>
      <c r="G179" s="121">
        <v>-89503</v>
      </c>
      <c r="H179" s="121">
        <v>-134488.79999999999</v>
      </c>
      <c r="I179" s="121">
        <v>-390449.13455856533</v>
      </c>
      <c r="J179" s="34">
        <v>-9061.1747445883666</v>
      </c>
      <c r="K179" s="34">
        <v>-130892.68000000001</v>
      </c>
      <c r="L179" s="34">
        <v>-50121.68</v>
      </c>
      <c r="M179" s="484">
        <v>129207.67418923805</v>
      </c>
      <c r="N179" s="484">
        <v>35177.673142234649</v>
      </c>
      <c r="O179" s="251">
        <f>SUM(LisäyksetVähennykset[[#This Row],[Kuntien yhdistymisavustus (-0,99 €/as)]:[TE25: Uudistuksen rahoituksen siirtymäajan porrastus (50 % kustannusperusteinen / 50 % vos-kriteerit)]])</f>
        <v>-656634.60197168088</v>
      </c>
      <c r="P179" s="112"/>
    </row>
    <row r="180" spans="1:16" s="45" customFormat="1">
      <c r="A180" s="239">
        <v>581</v>
      </c>
      <c r="B180" s="239" t="s">
        <v>187</v>
      </c>
      <c r="C180" s="326">
        <v>-6061.7699999999995</v>
      </c>
      <c r="D180" s="121">
        <v>-10960.17</v>
      </c>
      <c r="E180" s="121">
        <v>-6061.7699999999995</v>
      </c>
      <c r="F180" s="121">
        <v>-61.230000000000004</v>
      </c>
      <c r="G180" s="121">
        <v>-125521.5</v>
      </c>
      <c r="H180" s="121">
        <v>-192091.73</v>
      </c>
      <c r="I180" s="121">
        <v>-448062.98222282249</v>
      </c>
      <c r="J180" s="34">
        <v>-234303.91613970487</v>
      </c>
      <c r="K180" s="34">
        <v>-183567.54</v>
      </c>
      <c r="L180" s="34">
        <v>-70292.040000000008</v>
      </c>
      <c r="M180" s="484">
        <v>427869.86712929938</v>
      </c>
      <c r="N180" s="484">
        <v>77992.914808982227</v>
      </c>
      <c r="O180" s="251">
        <f>SUM(LisäyksetVähennykset[[#This Row],[Kuntien yhdistymisavustus (-0,99 €/as)]:[TE25: Uudistuksen rahoituksen siirtymäajan porrastus (50 % kustannusperusteinen / 50 % vos-kriteerit)]])</f>
        <v>-771121.86642424576</v>
      </c>
      <c r="P180" s="112"/>
    </row>
    <row r="181" spans="1:16" s="45" customFormat="1">
      <c r="A181" s="239">
        <v>583</v>
      </c>
      <c r="B181" s="239" t="s">
        <v>188</v>
      </c>
      <c r="C181" s="326">
        <v>-902.88</v>
      </c>
      <c r="D181" s="121">
        <v>-1632.48</v>
      </c>
      <c r="E181" s="121">
        <v>-902.88</v>
      </c>
      <c r="F181" s="121">
        <v>-9.120000000000001</v>
      </c>
      <c r="G181" s="121">
        <v>-18696</v>
      </c>
      <c r="H181" s="121">
        <v>-7714.89</v>
      </c>
      <c r="I181" s="121">
        <v>-506309.77841848164</v>
      </c>
      <c r="J181" s="34">
        <v>314827.69647935207</v>
      </c>
      <c r="K181" s="34">
        <v>-27341.760000000002</v>
      </c>
      <c r="L181" s="34">
        <v>-10469.76</v>
      </c>
      <c r="M181" s="484">
        <v>27242.427337981306</v>
      </c>
      <c r="N181" s="484">
        <v>13436.661063174433</v>
      </c>
      <c r="O181" s="251">
        <f>SUM(LisäyksetVähennykset[[#This Row],[Kuntien yhdistymisavustus (-0,99 €/as)]:[TE25: Uudistuksen rahoituksen siirtymäajan porrastus (50 % kustannusperusteinen / 50 % vos-kriteerit)]])</f>
        <v>-218472.76353797381</v>
      </c>
      <c r="P181" s="112"/>
    </row>
    <row r="182" spans="1:16" s="45" customFormat="1">
      <c r="A182" s="239">
        <v>584</v>
      </c>
      <c r="B182" s="239" t="s">
        <v>189</v>
      </c>
      <c r="C182" s="326">
        <v>-2552.2199999999998</v>
      </c>
      <c r="D182" s="121">
        <v>-4614.62</v>
      </c>
      <c r="E182" s="121">
        <v>-2552.2199999999998</v>
      </c>
      <c r="F182" s="121">
        <v>-25.78</v>
      </c>
      <c r="G182" s="121">
        <v>-52849</v>
      </c>
      <c r="H182" s="121">
        <v>-38596.25</v>
      </c>
      <c r="I182" s="121">
        <v>-416187.28131920501</v>
      </c>
      <c r="J182" s="34">
        <v>-377791.21331541153</v>
      </c>
      <c r="K182" s="34">
        <v>-77288.44</v>
      </c>
      <c r="L182" s="34">
        <v>-29595.440000000002</v>
      </c>
      <c r="M182" s="484">
        <v>82793.226695439182</v>
      </c>
      <c r="N182" s="484">
        <v>-5627.7305818937602</v>
      </c>
      <c r="O182" s="251">
        <f>SUM(LisäyksetVähennykset[[#This Row],[Kuntien yhdistymisavustus (-0,99 €/as)]:[TE25: Uudistuksen rahoituksen siirtymäajan porrastus (50 % kustannusperusteinen / 50 % vos-kriteerit)]])</f>
        <v>-924886.9685210709</v>
      </c>
      <c r="P182" s="112"/>
    </row>
    <row r="183" spans="1:16" s="45" customFormat="1">
      <c r="A183" s="239">
        <v>592</v>
      </c>
      <c r="B183" s="239" t="s">
        <v>191</v>
      </c>
      <c r="C183" s="326">
        <v>-3560.04</v>
      </c>
      <c r="D183" s="121">
        <v>-6436.84</v>
      </c>
      <c r="E183" s="121">
        <v>-3560.04</v>
      </c>
      <c r="F183" s="121">
        <v>-35.96</v>
      </c>
      <c r="G183" s="121">
        <v>-73718</v>
      </c>
      <c r="H183" s="121">
        <v>-102575.67</v>
      </c>
      <c r="I183" s="121">
        <v>-423633.16340313992</v>
      </c>
      <c r="J183" s="34">
        <v>-259818.60117802431</v>
      </c>
      <c r="K183" s="34">
        <v>-107808.08</v>
      </c>
      <c r="L183" s="34">
        <v>-41282.080000000002</v>
      </c>
      <c r="M183" s="484">
        <v>172390.47068399773</v>
      </c>
      <c r="N183" s="484">
        <v>33857.732194175973</v>
      </c>
      <c r="O183" s="251">
        <f>SUM(LisäyksetVähennykset[[#This Row],[Kuntien yhdistymisavustus (-0,99 €/as)]:[TE25: Uudistuksen rahoituksen siirtymäajan porrastus (50 % kustannusperusteinen / 50 % vos-kriteerit)]])</f>
        <v>-816180.27170299052</v>
      </c>
      <c r="P183" s="112"/>
    </row>
    <row r="184" spans="1:16" s="45" customFormat="1">
      <c r="A184" s="239">
        <v>593</v>
      </c>
      <c r="B184" s="239" t="s">
        <v>192</v>
      </c>
      <c r="C184" s="326">
        <v>-16879.5</v>
      </c>
      <c r="D184" s="121">
        <v>-30519.5</v>
      </c>
      <c r="E184" s="121">
        <v>-16879.5</v>
      </c>
      <c r="F184" s="121">
        <v>-170.5</v>
      </c>
      <c r="G184" s="121">
        <v>-349525</v>
      </c>
      <c r="H184" s="121">
        <v>-851070.58</v>
      </c>
      <c r="I184" s="121">
        <v>-1527706.2598609906</v>
      </c>
      <c r="J184" s="34">
        <v>-1230242.3594120301</v>
      </c>
      <c r="K184" s="34">
        <v>-511159</v>
      </c>
      <c r="L184" s="34">
        <v>-195734</v>
      </c>
      <c r="M184" s="484">
        <v>978607.24830633495</v>
      </c>
      <c r="N184" s="484">
        <v>168957.99897315796</v>
      </c>
      <c r="O184" s="251">
        <f>SUM(LisäyksetVähennykset[[#This Row],[Kuntien yhdistymisavustus (-0,99 €/as)]:[TE25: Uudistuksen rahoituksen siirtymäajan porrastus (50 % kustannusperusteinen / 50 % vos-kriteerit)]])</f>
        <v>-3582320.9519935278</v>
      </c>
      <c r="P184" s="112"/>
    </row>
    <row r="185" spans="1:16" s="45" customFormat="1">
      <c r="A185" s="239">
        <v>595</v>
      </c>
      <c r="B185" s="239" t="s">
        <v>193</v>
      </c>
      <c r="C185" s="326">
        <v>-4032.27</v>
      </c>
      <c r="D185" s="121">
        <v>-7290.67</v>
      </c>
      <c r="E185" s="121">
        <v>-4032.27</v>
      </c>
      <c r="F185" s="121">
        <v>-40.730000000000004</v>
      </c>
      <c r="G185" s="121">
        <v>-83496.5</v>
      </c>
      <c r="H185" s="121">
        <v>-159475.63</v>
      </c>
      <c r="I185" s="121">
        <v>975549.52950968326</v>
      </c>
      <c r="J185" s="34">
        <v>218294.27186965421</v>
      </c>
      <c r="K185" s="34">
        <v>-122108.54000000001</v>
      </c>
      <c r="L185" s="34">
        <v>-46758.04</v>
      </c>
      <c r="M185" s="484">
        <v>118304.07205779743</v>
      </c>
      <c r="N185" s="484">
        <v>3954.6342799723498</v>
      </c>
      <c r="O185" s="251">
        <f>SUM(LisäyksetVähennykset[[#This Row],[Kuntien yhdistymisavustus (-0,99 €/as)]:[TE25: Uudistuksen rahoituksen siirtymäajan porrastus (50 % kustannusperusteinen / 50 % vos-kriteerit)]])</f>
        <v>888867.85771710728</v>
      </c>
      <c r="P185" s="112"/>
    </row>
    <row r="186" spans="1:16" s="45" customFormat="1">
      <c r="A186" s="239">
        <v>598</v>
      </c>
      <c r="B186" s="239" t="s">
        <v>194</v>
      </c>
      <c r="C186" s="326">
        <v>-19280.25</v>
      </c>
      <c r="D186" s="121">
        <v>-34860.25</v>
      </c>
      <c r="E186" s="121">
        <v>-19280.25</v>
      </c>
      <c r="F186" s="121">
        <v>-194.75</v>
      </c>
      <c r="G186" s="121">
        <v>-399237.5</v>
      </c>
      <c r="H186" s="121">
        <v>-983325.67</v>
      </c>
      <c r="I186" s="121">
        <v>-7083803.5477295332</v>
      </c>
      <c r="J186" s="34">
        <v>-3406542.1316062463</v>
      </c>
      <c r="K186" s="34">
        <v>-583860.5</v>
      </c>
      <c r="L186" s="34">
        <v>-223573</v>
      </c>
      <c r="M186" s="484">
        <v>1295711.6964148963</v>
      </c>
      <c r="N186" s="484">
        <v>24453.165235487861</v>
      </c>
      <c r="O186" s="251">
        <f>SUM(LisäyksetVähennykset[[#This Row],[Kuntien yhdistymisavustus (-0,99 €/as)]:[TE25: Uudistuksen rahoituksen siirtymäajan porrastus (50 % kustannusperusteinen / 50 % vos-kriteerit)]])</f>
        <v>-11433792.987685395</v>
      </c>
      <c r="P186" s="112"/>
    </row>
    <row r="187" spans="1:16" s="45" customFormat="1">
      <c r="A187" s="239">
        <v>599</v>
      </c>
      <c r="B187" s="239" t="s">
        <v>195</v>
      </c>
      <c r="C187" s="326">
        <v>-11112.75</v>
      </c>
      <c r="D187" s="121">
        <v>-20092.75</v>
      </c>
      <c r="E187" s="121">
        <v>-11112.75</v>
      </c>
      <c r="F187" s="121">
        <v>-112.25</v>
      </c>
      <c r="G187" s="121">
        <v>-230112.5</v>
      </c>
      <c r="H187" s="121">
        <v>-81878.100000000006</v>
      </c>
      <c r="I187" s="121">
        <v>-1977350.292713634</v>
      </c>
      <c r="J187" s="34">
        <v>-1632906.2910577068</v>
      </c>
      <c r="K187" s="34">
        <v>-336525.5</v>
      </c>
      <c r="L187" s="34">
        <v>-128863</v>
      </c>
      <c r="M187" s="484">
        <v>168692.22220505498</v>
      </c>
      <c r="N187" s="484">
        <v>-120650.83567346132</v>
      </c>
      <c r="O187" s="251">
        <f>SUM(LisäyksetVähennykset[[#This Row],[Kuntien yhdistymisavustus (-0,99 €/as)]:[TE25: Uudistuksen rahoituksen siirtymäajan porrastus (50 % kustannusperusteinen / 50 % vos-kriteerit)]])</f>
        <v>-4382024.7972397469</v>
      </c>
      <c r="P187" s="112"/>
    </row>
    <row r="188" spans="1:16" s="45" customFormat="1">
      <c r="A188" s="239">
        <v>601</v>
      </c>
      <c r="B188" s="239" t="s">
        <v>196</v>
      </c>
      <c r="C188" s="326">
        <v>-3701.61</v>
      </c>
      <c r="D188" s="121">
        <v>-6692.81</v>
      </c>
      <c r="E188" s="121">
        <v>-3701.61</v>
      </c>
      <c r="F188" s="121">
        <v>-37.39</v>
      </c>
      <c r="G188" s="121">
        <v>-76649.5</v>
      </c>
      <c r="H188" s="121">
        <v>-97754.26</v>
      </c>
      <c r="I188" s="121">
        <v>775514.27343585633</v>
      </c>
      <c r="J188" s="34">
        <v>319655.50356584351</v>
      </c>
      <c r="K188" s="34">
        <v>-112095.22</v>
      </c>
      <c r="L188" s="34">
        <v>-42923.72</v>
      </c>
      <c r="M188" s="484">
        <v>125951.79914684387</v>
      </c>
      <c r="N188" s="484">
        <v>95713.652255577297</v>
      </c>
      <c r="O188" s="251">
        <f>SUM(LisäyksetVähennykset[[#This Row],[Kuntien yhdistymisavustus (-0,99 €/as)]:[TE25: Uudistuksen rahoituksen siirtymäajan porrastus (50 % kustannusperusteinen / 50 % vos-kriteerit)]])</f>
        <v>973279.1084041209</v>
      </c>
      <c r="P188" s="112"/>
    </row>
    <row r="189" spans="1:16" s="45" customFormat="1">
      <c r="A189" s="239">
        <v>604</v>
      </c>
      <c r="B189" s="239" t="s">
        <v>197</v>
      </c>
      <c r="C189" s="326">
        <v>-20555.37</v>
      </c>
      <c r="D189" s="121">
        <v>-37165.770000000004</v>
      </c>
      <c r="E189" s="121">
        <v>-20555.37</v>
      </c>
      <c r="F189" s="121">
        <v>-207.63</v>
      </c>
      <c r="G189" s="121">
        <v>-425641.5</v>
      </c>
      <c r="H189" s="121">
        <v>-652134.96</v>
      </c>
      <c r="I189" s="121">
        <v>3959736.1584065026</v>
      </c>
      <c r="J189" s="34">
        <v>1470065.87314093</v>
      </c>
      <c r="K189" s="34">
        <v>-622474.74</v>
      </c>
      <c r="L189" s="34">
        <v>-238359.24000000002</v>
      </c>
      <c r="M189" s="484">
        <v>718329.82025030383</v>
      </c>
      <c r="N189" s="484">
        <v>-125010.26039737544</v>
      </c>
      <c r="O189" s="251">
        <f>SUM(LisäyksetVähennykset[[#This Row],[Kuntien yhdistymisavustus (-0,99 €/as)]:[TE25: Uudistuksen rahoituksen siirtymäajan porrastus (50 % kustannusperusteinen / 50 % vos-kriteerit)]])</f>
        <v>4006027.0114003601</v>
      </c>
      <c r="P189" s="112"/>
    </row>
    <row r="190" spans="1:16" s="45" customFormat="1">
      <c r="A190" s="239">
        <v>607</v>
      </c>
      <c r="B190" s="239" t="s">
        <v>198</v>
      </c>
      <c r="C190" s="326">
        <v>-4023.36</v>
      </c>
      <c r="D190" s="121">
        <v>-7274.56</v>
      </c>
      <c r="E190" s="121">
        <v>-4023.36</v>
      </c>
      <c r="F190" s="121">
        <v>-40.64</v>
      </c>
      <c r="G190" s="121">
        <v>-83312</v>
      </c>
      <c r="H190" s="121">
        <v>-166002.07</v>
      </c>
      <c r="I190" s="121">
        <v>-553300.11810468417</v>
      </c>
      <c r="J190" s="34">
        <v>-77347.501946149525</v>
      </c>
      <c r="K190" s="34">
        <v>-121838.72</v>
      </c>
      <c r="L190" s="34">
        <v>-46654.720000000001</v>
      </c>
      <c r="M190" s="484">
        <v>127735.09787476307</v>
      </c>
      <c r="N190" s="484">
        <v>74196.607213946379</v>
      </c>
      <c r="O190" s="251">
        <f>SUM(LisäyksetVähennykset[[#This Row],[Kuntien yhdistymisavustus (-0,99 €/as)]:[TE25: Uudistuksen rahoituksen siirtymäajan porrastus (50 % kustannusperusteinen / 50 % vos-kriteerit)]])</f>
        <v>-861885.34496212425</v>
      </c>
      <c r="P190" s="112"/>
    </row>
    <row r="191" spans="1:16" s="45" customFormat="1">
      <c r="A191" s="239">
        <v>608</v>
      </c>
      <c r="B191" s="239" t="s">
        <v>199</v>
      </c>
      <c r="C191" s="326">
        <v>-1923.57</v>
      </c>
      <c r="D191" s="121">
        <v>-3477.9700000000003</v>
      </c>
      <c r="E191" s="121">
        <v>-1923.57</v>
      </c>
      <c r="F191" s="121">
        <v>-19.43</v>
      </c>
      <c r="G191" s="121">
        <v>-39831.5</v>
      </c>
      <c r="H191" s="121">
        <v>-36297.29</v>
      </c>
      <c r="I191" s="121">
        <v>-196109.86067561628</v>
      </c>
      <c r="J191" s="34">
        <v>-113058.50823404356</v>
      </c>
      <c r="K191" s="34">
        <v>-58251.14</v>
      </c>
      <c r="L191" s="34">
        <v>-22305.64</v>
      </c>
      <c r="M191" s="484">
        <v>99936.001041662501</v>
      </c>
      <c r="N191" s="484">
        <v>4709.7453429147572</v>
      </c>
      <c r="O191" s="251">
        <f>SUM(LisäyksetVähennykset[[#This Row],[Kuntien yhdistymisavustus (-0,99 €/as)]:[TE25: Uudistuksen rahoituksen siirtymäajan porrastus (50 % kustannusperusteinen / 50 % vos-kriteerit)]])</f>
        <v>-368552.7325250826</v>
      </c>
      <c r="P191" s="112"/>
    </row>
    <row r="192" spans="1:16" s="45" customFormat="1">
      <c r="A192" s="239">
        <v>609</v>
      </c>
      <c r="B192" s="239" t="s">
        <v>200</v>
      </c>
      <c r="C192" s="326">
        <v>-82274.94</v>
      </c>
      <c r="D192" s="121">
        <v>-148759.74</v>
      </c>
      <c r="E192" s="121">
        <v>-82274.94</v>
      </c>
      <c r="F192" s="121">
        <v>-831.06000000000006</v>
      </c>
      <c r="G192" s="121">
        <v>-1703673</v>
      </c>
      <c r="H192" s="121">
        <v>-4790512.47</v>
      </c>
      <c r="I192" s="121">
        <v>-15791580.061469169</v>
      </c>
      <c r="J192" s="34">
        <v>-3183314.9033171684</v>
      </c>
      <c r="K192" s="34">
        <v>-2491517.88</v>
      </c>
      <c r="L192" s="34">
        <v>-954056.88</v>
      </c>
      <c r="M192" s="484">
        <v>4695710.6358370222</v>
      </c>
      <c r="N192" s="484">
        <v>72041.201203201897</v>
      </c>
      <c r="O192" s="251">
        <f>SUM(LisäyksetVähennykset[[#This Row],[Kuntien yhdistymisavustus (-0,99 €/as)]:[TE25: Uudistuksen rahoituksen siirtymäajan porrastus (50 % kustannusperusteinen / 50 % vos-kriteerit)]])</f>
        <v>-24461044.037746113</v>
      </c>
      <c r="P192" s="112"/>
    </row>
    <row r="193" spans="1:16" s="45" customFormat="1">
      <c r="A193" s="237">
        <v>611</v>
      </c>
      <c r="B193" s="239" t="s">
        <v>201</v>
      </c>
      <c r="C193" s="326">
        <v>-4923.2699999999995</v>
      </c>
      <c r="D193" s="121">
        <v>-8901.67</v>
      </c>
      <c r="E193" s="121">
        <v>-4923.2699999999995</v>
      </c>
      <c r="F193" s="121">
        <v>-49.730000000000004</v>
      </c>
      <c r="G193" s="121">
        <v>-101946.5</v>
      </c>
      <c r="H193" s="121">
        <v>-117096.58</v>
      </c>
      <c r="I193" s="121">
        <v>516078.08943939657</v>
      </c>
      <c r="J193" s="121">
        <v>63001.333646585445</v>
      </c>
      <c r="K193" s="121">
        <v>-149090.54</v>
      </c>
      <c r="L193" s="121">
        <v>-57090.04</v>
      </c>
      <c r="M193" s="485">
        <v>79791.304038794333</v>
      </c>
      <c r="N193" s="485">
        <v>-50920.285062912328</v>
      </c>
      <c r="O193" s="251">
        <f>SUM(LisäyksetVähennykset[[#This Row],[Kuntien yhdistymisavustus (-0,99 €/as)]:[TE25: Uudistuksen rahoituksen siirtymäajan porrastus (50 % kustannusperusteinen / 50 % vos-kriteerit)]])</f>
        <v>163928.84206186401</v>
      </c>
      <c r="P193" s="112"/>
    </row>
    <row r="194" spans="1:16" s="45" customFormat="1">
      <c r="A194" s="239">
        <v>614</v>
      </c>
      <c r="B194" s="239" t="s">
        <v>202</v>
      </c>
      <c r="C194" s="326">
        <v>-2893.77</v>
      </c>
      <c r="D194" s="121">
        <v>-5232.17</v>
      </c>
      <c r="E194" s="121">
        <v>-2893.77</v>
      </c>
      <c r="F194" s="121">
        <v>-29.23</v>
      </c>
      <c r="G194" s="121">
        <v>-59921.5</v>
      </c>
      <c r="H194" s="121">
        <v>-54404.14</v>
      </c>
      <c r="I194" s="121">
        <v>-682283.78183482669</v>
      </c>
      <c r="J194" s="34">
        <v>-373461.29994727485</v>
      </c>
      <c r="K194" s="34">
        <v>-87631.540000000008</v>
      </c>
      <c r="L194" s="34">
        <v>-33556.04</v>
      </c>
      <c r="M194" s="484">
        <v>171221.5391250276</v>
      </c>
      <c r="N194" s="484">
        <v>21778.85657471561</v>
      </c>
      <c r="O194" s="251">
        <f>SUM(LisäyksetVähennykset[[#This Row],[Kuntien yhdistymisavustus (-0,99 €/as)]:[TE25: Uudistuksen rahoituksen siirtymäajan porrastus (50 % kustannusperusteinen / 50 % vos-kriteerit)]])</f>
        <v>-1109306.8460823584</v>
      </c>
      <c r="P194" s="112"/>
    </row>
    <row r="195" spans="1:16" s="45" customFormat="1">
      <c r="A195" s="239">
        <v>615</v>
      </c>
      <c r="B195" s="239" t="s">
        <v>203</v>
      </c>
      <c r="C195" s="326">
        <v>-7404.21</v>
      </c>
      <c r="D195" s="121">
        <v>-13387.41</v>
      </c>
      <c r="E195" s="121">
        <v>-7404.21</v>
      </c>
      <c r="F195" s="121">
        <v>-74.790000000000006</v>
      </c>
      <c r="G195" s="121">
        <v>-153319.5</v>
      </c>
      <c r="H195" s="121">
        <v>-299359.82</v>
      </c>
      <c r="I195" s="121">
        <v>2046202.4918174073</v>
      </c>
      <c r="J195" s="34">
        <v>216155.52253667428</v>
      </c>
      <c r="K195" s="34">
        <v>-224220.42</v>
      </c>
      <c r="L195" s="34">
        <v>-85858.92</v>
      </c>
      <c r="M195" s="484">
        <v>361294.09643929312</v>
      </c>
      <c r="N195" s="484">
        <v>143194.14888861793</v>
      </c>
      <c r="O195" s="251">
        <f>SUM(LisäyksetVähennykset[[#This Row],[Kuntien yhdistymisavustus (-0,99 €/as)]:[TE25: Uudistuksen rahoituksen siirtymäajan porrastus (50 % kustannusperusteinen / 50 % vos-kriteerit)]])</f>
        <v>1975816.9796819929</v>
      </c>
      <c r="P195" s="112"/>
    </row>
    <row r="196" spans="1:16" s="45" customFormat="1">
      <c r="A196" s="239">
        <v>616</v>
      </c>
      <c r="B196" s="239" t="s">
        <v>204</v>
      </c>
      <c r="C196" s="326">
        <v>-1763.19</v>
      </c>
      <c r="D196" s="121">
        <v>-3187.9900000000002</v>
      </c>
      <c r="E196" s="121">
        <v>-1763.19</v>
      </c>
      <c r="F196" s="121">
        <v>-17.809999999999999</v>
      </c>
      <c r="G196" s="121">
        <v>-36510.5</v>
      </c>
      <c r="H196" s="121">
        <v>-48274.74</v>
      </c>
      <c r="I196" s="121">
        <v>-211724.65895705426</v>
      </c>
      <c r="J196" s="34">
        <v>-127410.72701284515</v>
      </c>
      <c r="K196" s="34">
        <v>-53394.38</v>
      </c>
      <c r="L196" s="34">
        <v>-20445.88</v>
      </c>
      <c r="M196" s="484">
        <v>36547.180845823896</v>
      </c>
      <c r="N196" s="484">
        <v>20678.573318439303</v>
      </c>
      <c r="O196" s="251">
        <f>SUM(LisäyksetVähennykset[[#This Row],[Kuntien yhdistymisavustus (-0,99 €/as)]:[TE25: Uudistuksen rahoituksen siirtymäajan porrastus (50 % kustannusperusteinen / 50 % vos-kriteerit)]])</f>
        <v>-447267.31180563621</v>
      </c>
      <c r="P196" s="112"/>
    </row>
    <row r="197" spans="1:16" s="45" customFormat="1">
      <c r="A197" s="239">
        <v>619</v>
      </c>
      <c r="B197" s="239" t="s">
        <v>205</v>
      </c>
      <c r="C197" s="326">
        <v>-2623.5</v>
      </c>
      <c r="D197" s="121">
        <v>-4743.5</v>
      </c>
      <c r="E197" s="121">
        <v>-2623.5</v>
      </c>
      <c r="F197" s="121">
        <v>-26.5</v>
      </c>
      <c r="G197" s="121">
        <v>-54325</v>
      </c>
      <c r="H197" s="121">
        <v>-130696.85</v>
      </c>
      <c r="I197" s="121">
        <v>773848.59838102816</v>
      </c>
      <c r="J197" s="34">
        <v>338963.99161001638</v>
      </c>
      <c r="K197" s="34">
        <v>-79447</v>
      </c>
      <c r="L197" s="34">
        <v>-30422</v>
      </c>
      <c r="M197" s="484">
        <v>176657.18624702407</v>
      </c>
      <c r="N197" s="484">
        <v>-2216.4515616671706</v>
      </c>
      <c r="O197" s="251">
        <f>SUM(LisäyksetVähennykset[[#This Row],[Kuntien yhdistymisavustus (-0,99 €/as)]:[TE25: Uudistuksen rahoituksen siirtymäajan porrastus (50 % kustannusperusteinen / 50 % vos-kriteerit)]])</f>
        <v>982345.47467640159</v>
      </c>
      <c r="P197" s="112"/>
    </row>
    <row r="198" spans="1:16" s="45" customFormat="1">
      <c r="A198" s="239">
        <v>620</v>
      </c>
      <c r="B198" s="243" t="s">
        <v>206</v>
      </c>
      <c r="C198" s="326">
        <v>-2335.41</v>
      </c>
      <c r="D198" s="121">
        <v>-4222.6099999999997</v>
      </c>
      <c r="E198" s="121">
        <v>-2335.41</v>
      </c>
      <c r="F198" s="121">
        <v>-23.59</v>
      </c>
      <c r="G198" s="121">
        <v>-48359.5</v>
      </c>
      <c r="H198" s="121">
        <v>-52107.42</v>
      </c>
      <c r="I198" s="121">
        <v>280238.32780430245</v>
      </c>
      <c r="J198" s="34">
        <v>293366.09035828983</v>
      </c>
      <c r="K198" s="34">
        <v>-70722.820000000007</v>
      </c>
      <c r="L198" s="34">
        <v>-27081.32</v>
      </c>
      <c r="M198" s="484">
        <v>159119.45601182082</v>
      </c>
      <c r="N198" s="484">
        <v>54699.142606288791</v>
      </c>
      <c r="O198" s="251">
        <f>SUM(LisäyksetVähennykset[[#This Row],[Kuntien yhdistymisavustus (-0,99 €/as)]:[TE25: Uudistuksen rahoituksen siirtymäajan porrastus (50 % kustannusperusteinen / 50 % vos-kriteerit)]])</f>
        <v>580234.93678070186</v>
      </c>
      <c r="P198" s="112"/>
    </row>
    <row r="199" spans="1:16" s="45" customFormat="1">
      <c r="A199" s="239">
        <v>623</v>
      </c>
      <c r="B199" s="239" t="s">
        <v>207</v>
      </c>
      <c r="C199" s="326">
        <v>-2086.92</v>
      </c>
      <c r="D199" s="121">
        <v>-3773.32</v>
      </c>
      <c r="E199" s="121">
        <v>-2086.92</v>
      </c>
      <c r="F199" s="121">
        <v>-21.080000000000002</v>
      </c>
      <c r="G199" s="121">
        <v>-43214</v>
      </c>
      <c r="H199" s="121">
        <v>-50431.17</v>
      </c>
      <c r="I199" s="121">
        <v>507635.85202716128</v>
      </c>
      <c r="J199" s="34">
        <v>65775.778061960504</v>
      </c>
      <c r="K199" s="34">
        <v>-63197.840000000004</v>
      </c>
      <c r="L199" s="34">
        <v>-24199.84</v>
      </c>
      <c r="M199" s="484">
        <v>62975.021016002516</v>
      </c>
      <c r="N199" s="484">
        <v>-7902.7100153821229</v>
      </c>
      <c r="O199" s="251">
        <f>SUM(LisäyksetVähennykset[[#This Row],[Kuntien yhdistymisavustus (-0,99 €/as)]:[TE25: Uudistuksen rahoituksen siirtymäajan porrastus (50 % kustannusperusteinen / 50 % vos-kriteerit)]])</f>
        <v>439472.85108974203</v>
      </c>
      <c r="P199" s="112"/>
    </row>
    <row r="200" spans="1:16" s="45" customFormat="1">
      <c r="A200" s="239">
        <v>624</v>
      </c>
      <c r="B200" s="239" t="s">
        <v>208</v>
      </c>
      <c r="C200" s="326">
        <v>-5014.3500000000004</v>
      </c>
      <c r="D200" s="121">
        <v>-9066.35</v>
      </c>
      <c r="E200" s="121">
        <v>-5014.3500000000004</v>
      </c>
      <c r="F200" s="121">
        <v>-50.65</v>
      </c>
      <c r="G200" s="121">
        <v>-103832.5</v>
      </c>
      <c r="H200" s="121">
        <v>-114908.12</v>
      </c>
      <c r="I200" s="121">
        <v>725888.94401539117</v>
      </c>
      <c r="J200" s="34">
        <v>718044.90158993797</v>
      </c>
      <c r="K200" s="34">
        <v>-151848.70000000001</v>
      </c>
      <c r="L200" s="34">
        <v>-58146.200000000004</v>
      </c>
      <c r="M200" s="484">
        <v>134712.92813885765</v>
      </c>
      <c r="N200" s="484">
        <v>10345.462522131682</v>
      </c>
      <c r="O200" s="251">
        <f>SUM(LisäyksetVähennykset[[#This Row],[Kuntien yhdistymisavustus (-0,99 €/as)]:[TE25: Uudistuksen rahoituksen siirtymäajan porrastus (50 % kustannusperusteinen / 50 % vos-kriteerit)]])</f>
        <v>1141111.0162663185</v>
      </c>
      <c r="P200" s="112"/>
    </row>
    <row r="201" spans="1:16" s="45" customFormat="1">
      <c r="A201" s="239">
        <v>625</v>
      </c>
      <c r="B201" s="239" t="s">
        <v>209</v>
      </c>
      <c r="C201" s="326">
        <v>-2950.2</v>
      </c>
      <c r="D201" s="121">
        <v>-5334.2</v>
      </c>
      <c r="E201" s="121">
        <v>-2950.2</v>
      </c>
      <c r="F201" s="121">
        <v>-29.8</v>
      </c>
      <c r="G201" s="121">
        <v>-61090</v>
      </c>
      <c r="H201" s="121">
        <v>-62263.11</v>
      </c>
      <c r="I201" s="121">
        <v>866263.96259344369</v>
      </c>
      <c r="J201" s="34">
        <v>474452.42966990732</v>
      </c>
      <c r="K201" s="34">
        <v>-89340.4</v>
      </c>
      <c r="L201" s="34">
        <v>-34210.400000000001</v>
      </c>
      <c r="M201" s="484">
        <v>70256.306288046122</v>
      </c>
      <c r="N201" s="484">
        <v>3148.7943874846824</v>
      </c>
      <c r="O201" s="251">
        <f>SUM(LisäyksetVähennykset[[#This Row],[Kuntien yhdistymisavustus (-0,99 €/as)]:[TE25: Uudistuksen rahoituksen siirtymäajan porrastus (50 % kustannusperusteinen / 50 % vos-kriteerit)]])</f>
        <v>1155953.1829388819</v>
      </c>
      <c r="P201" s="112"/>
    </row>
    <row r="202" spans="1:16" s="45" customFormat="1">
      <c r="A202" s="239">
        <v>626</v>
      </c>
      <c r="B202" s="239" t="s">
        <v>210</v>
      </c>
      <c r="C202" s="326">
        <v>-4708.4399999999996</v>
      </c>
      <c r="D202" s="121">
        <v>-8513.24</v>
      </c>
      <c r="E202" s="121">
        <v>-4708.4399999999996</v>
      </c>
      <c r="F202" s="121">
        <v>-47.56</v>
      </c>
      <c r="G202" s="121">
        <v>-97498</v>
      </c>
      <c r="H202" s="121">
        <v>-183789.23</v>
      </c>
      <c r="I202" s="121">
        <v>-810274.76302125945</v>
      </c>
      <c r="J202" s="34">
        <v>-573972.24865301687</v>
      </c>
      <c r="K202" s="34">
        <v>-142584.88</v>
      </c>
      <c r="L202" s="34">
        <v>-54598.880000000005</v>
      </c>
      <c r="M202" s="484">
        <v>280330.62720259011</v>
      </c>
      <c r="N202" s="484">
        <v>24547.700255336968</v>
      </c>
      <c r="O202" s="251">
        <f>SUM(LisäyksetVähennykset[[#This Row],[Kuntien yhdistymisavustus (-0,99 €/as)]:[TE25: Uudistuksen rahoituksen siirtymäajan porrastus (50 % kustannusperusteinen / 50 % vos-kriteerit)]])</f>
        <v>-1575817.3542163491</v>
      </c>
      <c r="P202" s="112"/>
    </row>
    <row r="203" spans="1:16" s="45" customFormat="1">
      <c r="A203" s="239">
        <v>630</v>
      </c>
      <c r="B203" s="239" t="s">
        <v>211</v>
      </c>
      <c r="C203" s="326">
        <v>-1629.54</v>
      </c>
      <c r="D203" s="121">
        <v>-2946.34</v>
      </c>
      <c r="E203" s="121">
        <v>-1629.54</v>
      </c>
      <c r="F203" s="121">
        <v>-16.46</v>
      </c>
      <c r="G203" s="121">
        <v>-33743</v>
      </c>
      <c r="H203" s="121">
        <v>-18019.95</v>
      </c>
      <c r="I203" s="121">
        <v>-212876.4904722666</v>
      </c>
      <c r="J203" s="34">
        <v>-335951.00917921547</v>
      </c>
      <c r="K203" s="34">
        <v>-49347.08</v>
      </c>
      <c r="L203" s="34">
        <v>-18896.080000000002</v>
      </c>
      <c r="M203" s="484">
        <v>32217.877101606398</v>
      </c>
      <c r="N203" s="484">
        <v>-26122.453648363407</v>
      </c>
      <c r="O203" s="251">
        <f>SUM(LisäyksetVähennykset[[#This Row],[Kuntien yhdistymisavustus (-0,99 €/as)]:[TE25: Uudistuksen rahoituksen siirtymäajan porrastus (50 % kustannusperusteinen / 50 % vos-kriteerit)]])</f>
        <v>-668960.06619823899</v>
      </c>
      <c r="P203" s="112"/>
    </row>
    <row r="204" spans="1:16" s="45" customFormat="1">
      <c r="A204" s="239">
        <v>631</v>
      </c>
      <c r="B204" s="239" t="s">
        <v>212</v>
      </c>
      <c r="C204" s="326">
        <v>-1910.7</v>
      </c>
      <c r="D204" s="121">
        <v>-3454.7000000000003</v>
      </c>
      <c r="E204" s="121">
        <v>-1910.7</v>
      </c>
      <c r="F204" s="121">
        <v>-19.3</v>
      </c>
      <c r="G204" s="121">
        <v>-39565</v>
      </c>
      <c r="H204" s="121">
        <v>-26038.1</v>
      </c>
      <c r="I204" s="121">
        <v>142206.73888944913</v>
      </c>
      <c r="J204" s="34">
        <v>200915.76216040147</v>
      </c>
      <c r="K204" s="34">
        <v>-57861.4</v>
      </c>
      <c r="L204" s="34">
        <v>-22156.400000000001</v>
      </c>
      <c r="M204" s="484">
        <v>80979.601978083418</v>
      </c>
      <c r="N204" s="484">
        <v>5457.4884251072363</v>
      </c>
      <c r="O204" s="251">
        <f>SUM(LisäyksetVähennykset[[#This Row],[Kuntien yhdistymisavustus (-0,99 €/as)]:[TE25: Uudistuksen rahoituksen siirtymäajan porrastus (50 % kustannusperusteinen / 50 % vos-kriteerit)]])</f>
        <v>276643.29145304125</v>
      </c>
      <c r="P204" s="112"/>
    </row>
    <row r="205" spans="1:16" s="45" customFormat="1">
      <c r="A205" s="239">
        <v>635</v>
      </c>
      <c r="B205" s="239" t="s">
        <v>213</v>
      </c>
      <c r="C205" s="326">
        <v>-6273.63</v>
      </c>
      <c r="D205" s="121">
        <v>-11343.23</v>
      </c>
      <c r="E205" s="121">
        <v>-6273.63</v>
      </c>
      <c r="F205" s="121">
        <v>-63.370000000000005</v>
      </c>
      <c r="G205" s="121">
        <v>-129908.5</v>
      </c>
      <c r="H205" s="121">
        <v>-175404.71</v>
      </c>
      <c r="I205" s="121">
        <v>-114422.80464292956</v>
      </c>
      <c r="J205" s="34">
        <v>-12958.827423141587</v>
      </c>
      <c r="K205" s="34">
        <v>-189983.26</v>
      </c>
      <c r="L205" s="34">
        <v>-72748.760000000009</v>
      </c>
      <c r="M205" s="484">
        <v>308307.01977222238</v>
      </c>
      <c r="N205" s="484">
        <v>-11067.310393858148</v>
      </c>
      <c r="O205" s="251">
        <f>SUM(LisäyksetVähennykset[[#This Row],[Kuntien yhdistymisavustus (-0,99 €/as)]:[TE25: Uudistuksen rahoituksen siirtymäajan porrastus (50 % kustannusperusteinen / 50 % vos-kriteerit)]])</f>
        <v>-422141.01268770685</v>
      </c>
      <c r="P205" s="112"/>
    </row>
    <row r="206" spans="1:16" s="45" customFormat="1">
      <c r="A206" s="239">
        <v>636</v>
      </c>
      <c r="B206" s="239" t="s">
        <v>214</v>
      </c>
      <c r="C206" s="326">
        <v>-8048.7</v>
      </c>
      <c r="D206" s="121">
        <v>-14552.7</v>
      </c>
      <c r="E206" s="121">
        <v>-8048.7</v>
      </c>
      <c r="F206" s="121">
        <v>-81.3</v>
      </c>
      <c r="G206" s="121">
        <v>-166665</v>
      </c>
      <c r="H206" s="121">
        <v>-287326.84000000003</v>
      </c>
      <c r="I206" s="121">
        <v>736313.75676624791</v>
      </c>
      <c r="J206" s="34">
        <v>54373.982453679906</v>
      </c>
      <c r="K206" s="34">
        <v>-243737.4</v>
      </c>
      <c r="L206" s="34">
        <v>-93332.400000000009</v>
      </c>
      <c r="M206" s="484">
        <v>157085.41384277394</v>
      </c>
      <c r="N206" s="484">
        <v>-13565.369016170152</v>
      </c>
      <c r="O206" s="251">
        <f>SUM(LisäyksetVähennykset[[#This Row],[Kuntien yhdistymisavustus (-0,99 €/as)]:[TE25: Uudistuksen rahoituksen siirtymäajan porrastus (50 % kustannusperusteinen / 50 % vos-kriteerit)]])</f>
        <v>112414.7440465316</v>
      </c>
      <c r="P206" s="112"/>
    </row>
    <row r="207" spans="1:16" s="45" customFormat="1">
      <c r="A207" s="239">
        <v>638</v>
      </c>
      <c r="B207" s="239" t="s">
        <v>215</v>
      </c>
      <c r="C207" s="326">
        <v>-50776.11</v>
      </c>
      <c r="D207" s="121">
        <v>-91807.31</v>
      </c>
      <c r="E207" s="121">
        <v>-50776.11</v>
      </c>
      <c r="F207" s="121">
        <v>-512.89</v>
      </c>
      <c r="G207" s="121">
        <v>-1051424.5</v>
      </c>
      <c r="H207" s="121">
        <v>-2463875.7000000002</v>
      </c>
      <c r="I207" s="121">
        <v>14522566.989777571</v>
      </c>
      <c r="J207" s="34">
        <v>4505720.105409042</v>
      </c>
      <c r="K207" s="34">
        <v>-1537644.22</v>
      </c>
      <c r="L207" s="34">
        <v>-588797.72</v>
      </c>
      <c r="M207" s="484">
        <v>1255417.5638302919</v>
      </c>
      <c r="N207" s="484">
        <v>-317432.54722712049</v>
      </c>
      <c r="O207" s="251">
        <f>SUM(LisäyksetVähennykset[[#This Row],[Kuntien yhdistymisavustus (-0,99 €/as)]:[TE25: Uudistuksen rahoituksen siirtymäajan porrastus (50 % kustannusperusteinen / 50 % vos-kriteerit)]])</f>
        <v>14130657.551789783</v>
      </c>
      <c r="P207" s="112"/>
    </row>
    <row r="208" spans="1:16" s="45" customFormat="1">
      <c r="A208" s="239">
        <v>678</v>
      </c>
      <c r="B208" s="239" t="s">
        <v>216</v>
      </c>
      <c r="C208" s="326">
        <v>-23559.03</v>
      </c>
      <c r="D208" s="121">
        <v>-42596.63</v>
      </c>
      <c r="E208" s="121">
        <v>-23559.03</v>
      </c>
      <c r="F208" s="121">
        <v>-237.97</v>
      </c>
      <c r="G208" s="121">
        <v>-487838.5</v>
      </c>
      <c r="H208" s="121">
        <v>-1047750.65</v>
      </c>
      <c r="I208" s="121">
        <v>1514748.4909656369</v>
      </c>
      <c r="J208" s="34">
        <v>120839.17311547887</v>
      </c>
      <c r="K208" s="34">
        <v>-713434.06</v>
      </c>
      <c r="L208" s="34">
        <v>-273189.56</v>
      </c>
      <c r="M208" s="484">
        <v>1020494.7637855788</v>
      </c>
      <c r="N208" s="484">
        <v>68852.501887261169</v>
      </c>
      <c r="O208" s="251">
        <f>SUM(LisäyksetVähennykset[[#This Row],[Kuntien yhdistymisavustus (-0,99 €/as)]:[TE25: Uudistuksen rahoituksen siirtymäajan porrastus (50 % kustannusperusteinen / 50 % vos-kriteerit)]])</f>
        <v>112769.49975395552</v>
      </c>
      <c r="P208" s="112"/>
    </row>
    <row r="209" spans="1:16" s="45" customFormat="1">
      <c r="A209" s="239">
        <v>680</v>
      </c>
      <c r="B209" s="239" t="s">
        <v>217</v>
      </c>
      <c r="C209" s="326">
        <v>-25077.69</v>
      </c>
      <c r="D209" s="121">
        <v>-45342.49</v>
      </c>
      <c r="E209" s="121">
        <v>-25077.69</v>
      </c>
      <c r="F209" s="121">
        <v>-253.31</v>
      </c>
      <c r="G209" s="121">
        <v>-519285.5</v>
      </c>
      <c r="H209" s="121">
        <v>-1319894.26</v>
      </c>
      <c r="I209" s="121">
        <v>787177.58923664829</v>
      </c>
      <c r="J209" s="34">
        <v>279464.34273430123</v>
      </c>
      <c r="K209" s="34">
        <v>-759423.38</v>
      </c>
      <c r="L209" s="34">
        <v>-290799.88</v>
      </c>
      <c r="M209" s="484">
        <v>1383232.4838348543</v>
      </c>
      <c r="N209" s="484">
        <v>114039.73494729609</v>
      </c>
      <c r="O209" s="251">
        <f>SUM(LisäyksetVähennykset[[#This Row],[Kuntien yhdistymisavustus (-0,99 €/as)]:[TE25: Uudistuksen rahoituksen siirtymäajan porrastus (50 % kustannusperusteinen / 50 % vos-kriteerit)]])</f>
        <v>-421240.04924690002</v>
      </c>
      <c r="P209" s="112"/>
    </row>
    <row r="210" spans="1:16" s="45" customFormat="1">
      <c r="A210" s="239">
        <v>681</v>
      </c>
      <c r="B210" s="239" t="s">
        <v>218</v>
      </c>
      <c r="C210" s="326">
        <v>-3264.0299999999997</v>
      </c>
      <c r="D210" s="121">
        <v>-5901.63</v>
      </c>
      <c r="E210" s="121">
        <v>-3264.0299999999997</v>
      </c>
      <c r="F210" s="121">
        <v>-32.97</v>
      </c>
      <c r="G210" s="121">
        <v>-67588.5</v>
      </c>
      <c r="H210" s="121">
        <v>-126479.75</v>
      </c>
      <c r="I210" s="121">
        <v>335908.79838194582</v>
      </c>
      <c r="J210" s="34">
        <v>228820.40699755811</v>
      </c>
      <c r="K210" s="34">
        <v>-98844.06</v>
      </c>
      <c r="L210" s="34">
        <v>-37849.560000000005</v>
      </c>
      <c r="M210" s="484">
        <v>108726.106271461</v>
      </c>
      <c r="N210" s="484">
        <v>20366.020121830108</v>
      </c>
      <c r="O210" s="251">
        <f>SUM(LisäyksetVähennykset[[#This Row],[Kuntien yhdistymisavustus (-0,99 €/as)]:[TE25: Uudistuksen rahoituksen siirtymäajan porrastus (50 % kustannusperusteinen / 50 % vos-kriteerit)]])</f>
        <v>350596.80177279504</v>
      </c>
      <c r="P210" s="112"/>
    </row>
    <row r="211" spans="1:16" s="45" customFormat="1">
      <c r="A211" s="239">
        <v>683</v>
      </c>
      <c r="B211" s="239" t="s">
        <v>219</v>
      </c>
      <c r="C211" s="326">
        <v>-3563.0099999999998</v>
      </c>
      <c r="D211" s="121">
        <v>-6442.21</v>
      </c>
      <c r="E211" s="121">
        <v>-3563.0099999999998</v>
      </c>
      <c r="F211" s="121">
        <v>-35.99</v>
      </c>
      <c r="G211" s="121">
        <v>-73779.5</v>
      </c>
      <c r="H211" s="121">
        <v>-102934.37</v>
      </c>
      <c r="I211" s="121">
        <v>-129120.03389231845</v>
      </c>
      <c r="J211" s="34">
        <v>79649.454302223545</v>
      </c>
      <c r="K211" s="34">
        <v>-107898.02</v>
      </c>
      <c r="L211" s="34">
        <v>-41316.520000000004</v>
      </c>
      <c r="M211" s="484">
        <v>173173.94264537166</v>
      </c>
      <c r="N211" s="484">
        <v>-6320.0750982161553</v>
      </c>
      <c r="O211" s="251">
        <f>SUM(LisäyksetVähennykset[[#This Row],[Kuntien yhdistymisavustus (-0,99 €/as)]:[TE25: Uudistuksen rahoituksen siirtymäajan porrastus (50 % kustannusperusteinen / 50 % vos-kriteerit)]])</f>
        <v>-222149.34204293942</v>
      </c>
      <c r="P211" s="112"/>
    </row>
    <row r="212" spans="1:16" s="45" customFormat="1">
      <c r="A212" s="239">
        <v>684</v>
      </c>
      <c r="B212" s="239" t="s">
        <v>220</v>
      </c>
      <c r="C212" s="326">
        <v>-38443.68</v>
      </c>
      <c r="D212" s="121">
        <v>-69509.279999999999</v>
      </c>
      <c r="E212" s="121">
        <v>-38443.68</v>
      </c>
      <c r="F212" s="121">
        <v>-388.32</v>
      </c>
      <c r="G212" s="121">
        <v>-796056</v>
      </c>
      <c r="H212" s="121">
        <v>-1385227.63</v>
      </c>
      <c r="I212" s="121">
        <v>-324383.78114465909</v>
      </c>
      <c r="J212" s="34">
        <v>133264.98664564223</v>
      </c>
      <c r="K212" s="34">
        <v>-1164183.3600000001</v>
      </c>
      <c r="L212" s="34">
        <v>-445791.36000000004</v>
      </c>
      <c r="M212" s="484">
        <v>1868985.3069247869</v>
      </c>
      <c r="N212" s="484">
        <v>-89151.415856098523</v>
      </c>
      <c r="O212" s="251">
        <f>SUM(LisäyksetVähennykset[[#This Row],[Kuntien yhdistymisavustus (-0,99 €/as)]:[TE25: Uudistuksen rahoituksen siirtymäajan porrastus (50 % kustannusperusteinen / 50 % vos-kriteerit)]])</f>
        <v>-2349328.2134303283</v>
      </c>
      <c r="P212" s="112"/>
    </row>
    <row r="213" spans="1:16" s="45" customFormat="1">
      <c r="A213" s="239">
        <v>686</v>
      </c>
      <c r="B213" s="239" t="s">
        <v>221</v>
      </c>
      <c r="C213" s="326">
        <v>-2903.67</v>
      </c>
      <c r="D213" s="121">
        <v>-5250.07</v>
      </c>
      <c r="E213" s="121">
        <v>-2903.67</v>
      </c>
      <c r="F213" s="121">
        <v>-29.330000000000002</v>
      </c>
      <c r="G213" s="121">
        <v>-60126.5</v>
      </c>
      <c r="H213" s="121">
        <v>-126718.22</v>
      </c>
      <c r="I213" s="121">
        <v>-180845.56850963301</v>
      </c>
      <c r="J213" s="34">
        <v>-186868.95173200962</v>
      </c>
      <c r="K213" s="34">
        <v>-87931.34</v>
      </c>
      <c r="L213" s="34">
        <v>-33670.840000000004</v>
      </c>
      <c r="M213" s="484">
        <v>78236.526261392122</v>
      </c>
      <c r="N213" s="484">
        <v>12160.713475735101</v>
      </c>
      <c r="O213" s="251">
        <f>SUM(LisäyksetVähennykset[[#This Row],[Kuntien yhdistymisavustus (-0,99 €/as)]:[TE25: Uudistuksen rahoituksen siirtymäajan porrastus (50 % kustannusperusteinen / 50 % vos-kriteerit)]])</f>
        <v>-596850.92050451529</v>
      </c>
      <c r="P213" s="112"/>
    </row>
    <row r="214" spans="1:16" s="45" customFormat="1">
      <c r="A214" s="239">
        <v>687</v>
      </c>
      <c r="B214" s="239" t="s">
        <v>222</v>
      </c>
      <c r="C214" s="326">
        <v>-1409.76</v>
      </c>
      <c r="D214" s="121">
        <v>-2548.96</v>
      </c>
      <c r="E214" s="121">
        <v>-1409.76</v>
      </c>
      <c r="F214" s="121">
        <v>-14.24</v>
      </c>
      <c r="G214" s="121">
        <v>-29192</v>
      </c>
      <c r="H214" s="121">
        <v>-63601.48</v>
      </c>
      <c r="I214" s="121">
        <v>81211.573948834237</v>
      </c>
      <c r="J214" s="34">
        <v>-69102.596696695648</v>
      </c>
      <c r="K214" s="34">
        <v>-42691.520000000004</v>
      </c>
      <c r="L214" s="34">
        <v>-16347.52</v>
      </c>
      <c r="M214" s="484">
        <v>94628.493958858409</v>
      </c>
      <c r="N214" s="484">
        <v>2064.9066024657295</v>
      </c>
      <c r="O214" s="251">
        <f>SUM(LisäyksetVähennykset[[#This Row],[Kuntien yhdistymisavustus (-0,99 €/as)]:[TE25: Uudistuksen rahoituksen siirtymäajan porrastus (50 % kustannusperusteinen / 50 % vos-kriteerit)]])</f>
        <v>-48412.862186537277</v>
      </c>
      <c r="P214" s="112"/>
    </row>
    <row r="215" spans="1:16" s="45" customFormat="1">
      <c r="A215" s="239">
        <v>689</v>
      </c>
      <c r="B215" s="239" t="s">
        <v>223</v>
      </c>
      <c r="C215" s="326">
        <v>-3001.68</v>
      </c>
      <c r="D215" s="121">
        <v>-5427.28</v>
      </c>
      <c r="E215" s="121">
        <v>-3001.68</v>
      </c>
      <c r="F215" s="121">
        <v>-30.32</v>
      </c>
      <c r="G215" s="121">
        <v>-62156</v>
      </c>
      <c r="H215" s="121">
        <v>-118742.24</v>
      </c>
      <c r="I215" s="121">
        <v>1376801.1554838896</v>
      </c>
      <c r="J215" s="34">
        <v>841213.25769605138</v>
      </c>
      <c r="K215" s="34">
        <v>-90899.36</v>
      </c>
      <c r="L215" s="34">
        <v>-34807.360000000001</v>
      </c>
      <c r="M215" s="484">
        <v>185085.57098897052</v>
      </c>
      <c r="N215" s="484">
        <v>63128.41349139277</v>
      </c>
      <c r="O215" s="251">
        <f>SUM(LisäyksetVähennykset[[#This Row],[Kuntien yhdistymisavustus (-0,99 €/as)]:[TE25: Uudistuksen rahoituksen siirtymäajan porrastus (50 % kustannusperusteinen / 50 % vos-kriteerit)]])</f>
        <v>2148162.4776603044</v>
      </c>
      <c r="P215" s="112"/>
    </row>
    <row r="216" spans="1:16" s="45" customFormat="1">
      <c r="A216" s="239">
        <v>691</v>
      </c>
      <c r="B216" s="239" t="s">
        <v>224</v>
      </c>
      <c r="C216" s="326">
        <v>-2572.02</v>
      </c>
      <c r="D216" s="121">
        <v>-4650.42</v>
      </c>
      <c r="E216" s="121">
        <v>-2572.02</v>
      </c>
      <c r="F216" s="121">
        <v>-25.98</v>
      </c>
      <c r="G216" s="121">
        <v>-53259</v>
      </c>
      <c r="H216" s="121">
        <v>-62568.36</v>
      </c>
      <c r="I216" s="121">
        <v>540346.54838544631</v>
      </c>
      <c r="J216" s="34">
        <v>-5381.9866216167047</v>
      </c>
      <c r="K216" s="34">
        <v>-77888.040000000008</v>
      </c>
      <c r="L216" s="34">
        <v>-29825.040000000001</v>
      </c>
      <c r="M216" s="484">
        <v>92489.491500817981</v>
      </c>
      <c r="N216" s="484">
        <v>-11976.901810927768</v>
      </c>
      <c r="O216" s="251">
        <f>SUM(LisäyksetVähennykset[[#This Row],[Kuntien yhdistymisavustus (-0,99 €/as)]:[TE25: Uudistuksen rahoituksen siirtymäajan porrastus (50 % kustannusperusteinen / 50 % vos-kriteerit)]])</f>
        <v>382116.27145371982</v>
      </c>
      <c r="P216" s="112"/>
    </row>
    <row r="217" spans="1:16" s="45" customFormat="1">
      <c r="A217" s="239">
        <v>694</v>
      </c>
      <c r="B217" s="239" t="s">
        <v>225</v>
      </c>
      <c r="C217" s="326">
        <v>-28198.17</v>
      </c>
      <c r="D217" s="121">
        <v>-50984.57</v>
      </c>
      <c r="E217" s="121">
        <v>-28198.17</v>
      </c>
      <c r="F217" s="121">
        <v>-284.83</v>
      </c>
      <c r="G217" s="121">
        <v>-583901.5</v>
      </c>
      <c r="H217" s="121">
        <v>-2083207.41</v>
      </c>
      <c r="I217" s="121">
        <v>-1473514.3347520274</v>
      </c>
      <c r="J217" s="34">
        <v>-57880.856880201805</v>
      </c>
      <c r="K217" s="34">
        <v>-853920.34</v>
      </c>
      <c r="L217" s="34">
        <v>-326984.84000000003</v>
      </c>
      <c r="M217" s="484">
        <v>1812118.1243834731</v>
      </c>
      <c r="N217" s="484">
        <v>-120662.65043383301</v>
      </c>
      <c r="O217" s="251">
        <f>SUM(LisäyksetVähennykset[[#This Row],[Kuntien yhdistymisavustus (-0,99 €/as)]:[TE25: Uudistuksen rahoituksen siirtymäajan porrastus (50 % kustannusperusteinen / 50 % vos-kriteerit)]])</f>
        <v>-3795619.5476825889</v>
      </c>
      <c r="P217" s="112"/>
    </row>
    <row r="218" spans="1:16" s="45" customFormat="1">
      <c r="A218" s="239">
        <v>697</v>
      </c>
      <c r="B218" s="239" t="s">
        <v>226</v>
      </c>
      <c r="C218" s="326">
        <v>-1152.3599999999999</v>
      </c>
      <c r="D218" s="121">
        <v>-2083.56</v>
      </c>
      <c r="E218" s="121">
        <v>-1152.3599999999999</v>
      </c>
      <c r="F218" s="121">
        <v>-11.64</v>
      </c>
      <c r="G218" s="121">
        <v>-23862</v>
      </c>
      <c r="H218" s="121">
        <v>-24025.88</v>
      </c>
      <c r="I218" s="121">
        <v>-129552.52919706824</v>
      </c>
      <c r="J218" s="34">
        <v>-47463.267501646813</v>
      </c>
      <c r="K218" s="34">
        <v>-34896.720000000001</v>
      </c>
      <c r="L218" s="34">
        <v>-13362.720000000001</v>
      </c>
      <c r="M218" s="484">
        <v>31118.452918584284</v>
      </c>
      <c r="N218" s="484">
        <v>36829.260825718193</v>
      </c>
      <c r="O218" s="251">
        <f>SUM(LisäyksetVähennykset[[#This Row],[Kuntien yhdistymisavustus (-0,99 €/as)]:[TE25: Uudistuksen rahoituksen siirtymäajan porrastus (50 % kustannusperusteinen / 50 % vos-kriteerit)]])</f>
        <v>-209615.32295441258</v>
      </c>
      <c r="P218" s="112"/>
    </row>
    <row r="219" spans="1:16" s="45" customFormat="1">
      <c r="A219" s="239">
        <v>698</v>
      </c>
      <c r="B219" s="239" t="s">
        <v>227</v>
      </c>
      <c r="C219" s="326">
        <v>-64633.14</v>
      </c>
      <c r="D219" s="121">
        <v>-116861.94</v>
      </c>
      <c r="E219" s="121">
        <v>-64633.14</v>
      </c>
      <c r="F219" s="121">
        <v>-652.86</v>
      </c>
      <c r="G219" s="121">
        <v>-1338363</v>
      </c>
      <c r="H219" s="121">
        <v>-2997173.32</v>
      </c>
      <c r="I219" s="121">
        <v>-18170790.172582045</v>
      </c>
      <c r="J219" s="34">
        <v>-10264126.917975103</v>
      </c>
      <c r="K219" s="34">
        <v>-1957274.28</v>
      </c>
      <c r="L219" s="34">
        <v>-749483.28</v>
      </c>
      <c r="M219" s="484">
        <v>1850232.9212748902</v>
      </c>
      <c r="N219" s="484">
        <v>844217.85126977554</v>
      </c>
      <c r="O219" s="251">
        <f>SUM(LisäyksetVähennykset[[#This Row],[Kuntien yhdistymisavustus (-0,99 €/as)]:[TE25: Uudistuksen rahoituksen siirtymäajan porrastus (50 % kustannusperusteinen / 50 % vos-kriteerit)]])</f>
        <v>-33029541.278012484</v>
      </c>
      <c r="P219" s="112"/>
    </row>
    <row r="220" spans="1:16" s="45" customFormat="1">
      <c r="A220" s="239">
        <v>700</v>
      </c>
      <c r="B220" s="239" t="s">
        <v>228</v>
      </c>
      <c r="C220" s="326">
        <v>-4710.42</v>
      </c>
      <c r="D220" s="121">
        <v>-8516.82</v>
      </c>
      <c r="E220" s="121">
        <v>-4710.42</v>
      </c>
      <c r="F220" s="121">
        <v>-47.58</v>
      </c>
      <c r="G220" s="121">
        <v>-97539</v>
      </c>
      <c r="H220" s="121">
        <v>-132561.19</v>
      </c>
      <c r="I220" s="121">
        <v>262424.35537567706</v>
      </c>
      <c r="J220" s="34">
        <v>344035.85369553498</v>
      </c>
      <c r="K220" s="34">
        <v>-142644.84</v>
      </c>
      <c r="L220" s="34">
        <v>-54621.840000000004</v>
      </c>
      <c r="M220" s="484">
        <v>246252.03226485406</v>
      </c>
      <c r="N220" s="484">
        <v>19270.734317419061</v>
      </c>
      <c r="O220" s="251">
        <f>SUM(LisäyksetVähennykset[[#This Row],[Kuntien yhdistymisavustus (-0,99 €/as)]:[TE25: Uudistuksen rahoituksen siirtymäajan porrastus (50 % kustannusperusteinen / 50 % vos-kriteerit)]])</f>
        <v>426630.86565348518</v>
      </c>
      <c r="P220" s="112"/>
    </row>
    <row r="221" spans="1:16" s="45" customFormat="1">
      <c r="A221" s="239">
        <v>702</v>
      </c>
      <c r="B221" s="239" t="s">
        <v>229</v>
      </c>
      <c r="C221" s="326">
        <v>-4082.7599999999998</v>
      </c>
      <c r="D221" s="121">
        <v>-7381.96</v>
      </c>
      <c r="E221" s="121">
        <v>-4082.7599999999998</v>
      </c>
      <c r="F221" s="121">
        <v>-41.24</v>
      </c>
      <c r="G221" s="121">
        <v>-84542</v>
      </c>
      <c r="H221" s="121">
        <v>-76722.66</v>
      </c>
      <c r="I221" s="121">
        <v>631630.07506514434</v>
      </c>
      <c r="J221" s="34">
        <v>92224.054755683654</v>
      </c>
      <c r="K221" s="34">
        <v>-123637.52</v>
      </c>
      <c r="L221" s="34">
        <v>-47343.520000000004</v>
      </c>
      <c r="M221" s="484">
        <v>241073.09003501321</v>
      </c>
      <c r="N221" s="484">
        <v>44408.268512245006</v>
      </c>
      <c r="O221" s="251">
        <f>SUM(LisäyksetVähennykset[[#This Row],[Kuntien yhdistymisavustus (-0,99 €/as)]:[TE25: Uudistuksen rahoituksen siirtymäajan porrastus (50 % kustannusperusteinen / 50 % vos-kriteerit)]])</f>
        <v>661501.06836808613</v>
      </c>
      <c r="P221" s="112"/>
    </row>
    <row r="222" spans="1:16" s="45" customFormat="1">
      <c r="A222" s="239">
        <v>704</v>
      </c>
      <c r="B222" s="239" t="s">
        <v>230</v>
      </c>
      <c r="C222" s="326">
        <v>-6371.64</v>
      </c>
      <c r="D222" s="121">
        <v>-11520.44</v>
      </c>
      <c r="E222" s="121">
        <v>-6371.64</v>
      </c>
      <c r="F222" s="121">
        <v>-64.36</v>
      </c>
      <c r="G222" s="121">
        <v>-131938</v>
      </c>
      <c r="H222" s="121">
        <v>-49903.86</v>
      </c>
      <c r="I222" s="121">
        <v>919069.55215610692</v>
      </c>
      <c r="J222" s="34">
        <v>68585.733054228665</v>
      </c>
      <c r="K222" s="34">
        <v>-192951.28</v>
      </c>
      <c r="L222" s="34">
        <v>-73885.279999999999</v>
      </c>
      <c r="M222" s="484">
        <v>104677.6286543271</v>
      </c>
      <c r="N222" s="484">
        <v>-44407.193094380083</v>
      </c>
      <c r="O222" s="251">
        <f>SUM(LisäyksetVähennykset[[#This Row],[Kuntien yhdistymisavustus (-0,99 €/as)]:[TE25: Uudistuksen rahoituksen siirtymäajan porrastus (50 % kustannusperusteinen / 50 % vos-kriteerit)]])</f>
        <v>574919.22077028255</v>
      </c>
      <c r="P222" s="112"/>
    </row>
    <row r="223" spans="1:16" s="45" customFormat="1">
      <c r="A223" s="239">
        <v>707</v>
      </c>
      <c r="B223" s="239" t="s">
        <v>231</v>
      </c>
      <c r="C223" s="326">
        <v>-1882.98</v>
      </c>
      <c r="D223" s="121">
        <v>-3404.58</v>
      </c>
      <c r="E223" s="121">
        <v>-1882.98</v>
      </c>
      <c r="F223" s="121">
        <v>-19.02</v>
      </c>
      <c r="G223" s="121">
        <v>-38991</v>
      </c>
      <c r="H223" s="121">
        <v>-33137.769999999997</v>
      </c>
      <c r="I223" s="121">
        <v>-212619.09718746648</v>
      </c>
      <c r="J223" s="34">
        <v>-4001.7806442977012</v>
      </c>
      <c r="K223" s="34">
        <v>-57021.96</v>
      </c>
      <c r="L223" s="34">
        <v>-21834.959999999999</v>
      </c>
      <c r="M223" s="484">
        <v>120962.63307402789</v>
      </c>
      <c r="N223" s="484">
        <v>81817.784604894157</v>
      </c>
      <c r="O223" s="251">
        <f>SUM(LisäyksetVähennykset[[#This Row],[Kuntien yhdistymisavustus (-0,99 €/as)]:[TE25: Uudistuksen rahoituksen siirtymäajan porrastus (50 % kustannusperusteinen / 50 % vos-kriteerit)]])</f>
        <v>-172015.71015284216</v>
      </c>
      <c r="P223" s="112"/>
    </row>
    <row r="224" spans="1:16" s="45" customFormat="1">
      <c r="A224" s="239">
        <v>710</v>
      </c>
      <c r="B224" s="239" t="s">
        <v>232</v>
      </c>
      <c r="C224" s="326">
        <v>-26936.91</v>
      </c>
      <c r="D224" s="121">
        <v>-48704.11</v>
      </c>
      <c r="E224" s="121">
        <v>-26936.91</v>
      </c>
      <c r="F224" s="121">
        <v>-272.09000000000003</v>
      </c>
      <c r="G224" s="121">
        <v>-557784.5</v>
      </c>
      <c r="H224" s="121">
        <v>-1133280.1100000001</v>
      </c>
      <c r="I224" s="121">
        <v>-2352267.1041067266</v>
      </c>
      <c r="J224" s="34">
        <v>-55751.337894486242</v>
      </c>
      <c r="K224" s="34">
        <v>-815725.82000000007</v>
      </c>
      <c r="L224" s="34">
        <v>-312359.32</v>
      </c>
      <c r="M224" s="484">
        <v>654281.92265551211</v>
      </c>
      <c r="N224" s="484">
        <v>-152507.1444546876</v>
      </c>
      <c r="O224" s="251">
        <f>SUM(LisäyksetVähennykset[[#This Row],[Kuntien yhdistymisavustus (-0,99 €/as)]:[TE25: Uudistuksen rahoituksen siirtymäajan porrastus (50 % kustannusperusteinen / 50 % vos-kriteerit)]])</f>
        <v>-4828243.43380039</v>
      </c>
      <c r="P224" s="112"/>
    </row>
    <row r="225" spans="1:16" s="45" customFormat="1">
      <c r="A225" s="239">
        <v>729</v>
      </c>
      <c r="B225" s="239" t="s">
        <v>233</v>
      </c>
      <c r="C225" s="326">
        <v>-8758.5300000000007</v>
      </c>
      <c r="D225" s="121">
        <v>-15836.130000000001</v>
      </c>
      <c r="E225" s="121">
        <v>-8758.5300000000007</v>
      </c>
      <c r="F225" s="121">
        <v>-88.47</v>
      </c>
      <c r="G225" s="121">
        <v>-181363.5</v>
      </c>
      <c r="H225" s="121">
        <v>-336086.05</v>
      </c>
      <c r="I225" s="121">
        <v>-506507.40780627506</v>
      </c>
      <c r="J225" s="34">
        <v>-18324.480246210136</v>
      </c>
      <c r="K225" s="34">
        <v>-265233.06</v>
      </c>
      <c r="L225" s="34">
        <v>-101563.56</v>
      </c>
      <c r="M225" s="484">
        <v>569654.39742835204</v>
      </c>
      <c r="N225" s="484">
        <v>111718.37875955406</v>
      </c>
      <c r="O225" s="251">
        <f>SUM(LisäyksetVähennykset[[#This Row],[Kuntien yhdistymisavustus (-0,99 €/as)]:[TE25: Uudistuksen rahoituksen siirtymäajan porrastus (50 % kustannusperusteinen / 50 % vos-kriteerit)]])</f>
        <v>-761146.94186457922</v>
      </c>
      <c r="P225" s="112"/>
    </row>
    <row r="226" spans="1:16" s="45" customFormat="1">
      <c r="A226" s="239">
        <v>732</v>
      </c>
      <c r="B226" s="239" t="s">
        <v>234</v>
      </c>
      <c r="C226" s="326">
        <v>-3310.56</v>
      </c>
      <c r="D226" s="121">
        <v>-5985.76</v>
      </c>
      <c r="E226" s="121">
        <v>-3310.56</v>
      </c>
      <c r="F226" s="121">
        <v>-33.44</v>
      </c>
      <c r="G226" s="121">
        <v>-68552</v>
      </c>
      <c r="H226" s="121">
        <v>-56077.46</v>
      </c>
      <c r="I226" s="121">
        <v>-710272.22485074052</v>
      </c>
      <c r="J226" s="34">
        <v>386545.92794279335</v>
      </c>
      <c r="K226" s="34">
        <v>-100253.12</v>
      </c>
      <c r="L226" s="34">
        <v>-38389.120000000003</v>
      </c>
      <c r="M226" s="484">
        <v>161858.85386017902</v>
      </c>
      <c r="N226" s="484">
        <v>21611.236145871488</v>
      </c>
      <c r="O226" s="251">
        <f>SUM(LisäyksetVähennykset[[#This Row],[Kuntien yhdistymisavustus (-0,99 €/as)]:[TE25: Uudistuksen rahoituksen siirtymäajan porrastus (50 % kustannusperusteinen / 50 % vos-kriteerit)]])</f>
        <v>-416168.22690189665</v>
      </c>
      <c r="P226" s="112"/>
    </row>
    <row r="227" spans="1:16" s="45" customFormat="1">
      <c r="A227" s="239">
        <v>734</v>
      </c>
      <c r="B227" s="239" t="s">
        <v>235</v>
      </c>
      <c r="C227" s="326">
        <v>-50589</v>
      </c>
      <c r="D227" s="121">
        <v>-91469</v>
      </c>
      <c r="E227" s="121">
        <v>-50589</v>
      </c>
      <c r="F227" s="121">
        <v>-511</v>
      </c>
      <c r="G227" s="121">
        <v>-1047550</v>
      </c>
      <c r="H227" s="121">
        <v>-2137611.34</v>
      </c>
      <c r="I227" s="121">
        <v>-1488226.3948632984</v>
      </c>
      <c r="J227" s="34">
        <v>-103991.17018164022</v>
      </c>
      <c r="K227" s="34">
        <v>-1531978</v>
      </c>
      <c r="L227" s="34">
        <v>-586628</v>
      </c>
      <c r="M227" s="484">
        <v>2492355.0404930897</v>
      </c>
      <c r="N227" s="484">
        <v>577334.20744463801</v>
      </c>
      <c r="O227" s="251">
        <f>SUM(LisäyksetVähennykset[[#This Row],[Kuntien yhdistymisavustus (-0,99 €/as)]:[TE25: Uudistuksen rahoituksen siirtymäajan porrastus (50 % kustannusperusteinen / 50 % vos-kriteerit)]])</f>
        <v>-4019453.6571072107</v>
      </c>
      <c r="P227" s="112"/>
    </row>
    <row r="228" spans="1:16" s="45" customFormat="1">
      <c r="A228" s="239">
        <v>738</v>
      </c>
      <c r="B228" s="239" t="s">
        <v>236</v>
      </c>
      <c r="C228" s="326">
        <v>-2944.2599999999998</v>
      </c>
      <c r="D228" s="121">
        <v>-5323.46</v>
      </c>
      <c r="E228" s="121">
        <v>-2944.2599999999998</v>
      </c>
      <c r="F228" s="121">
        <v>-29.740000000000002</v>
      </c>
      <c r="G228" s="121">
        <v>-60967</v>
      </c>
      <c r="H228" s="121">
        <v>-63999.35</v>
      </c>
      <c r="I228" s="121">
        <v>97268.16018971859</v>
      </c>
      <c r="J228" s="34">
        <v>-5955.7112956206092</v>
      </c>
      <c r="K228" s="34">
        <v>-89160.52</v>
      </c>
      <c r="L228" s="34">
        <v>-34141.520000000004</v>
      </c>
      <c r="M228" s="484">
        <v>122005.45896755312</v>
      </c>
      <c r="N228" s="484">
        <v>-4098.0873778239766</v>
      </c>
      <c r="O228" s="251">
        <f>SUM(LisäyksetVähennykset[[#This Row],[Kuntien yhdistymisavustus (-0,99 €/as)]:[TE25: Uudistuksen rahoituksen siirtymäajan porrastus (50 % kustannusperusteinen / 50 % vos-kriteerit)]])</f>
        <v>-50290.28951617291</v>
      </c>
      <c r="P228" s="112"/>
    </row>
    <row r="229" spans="1:16" s="45" customFormat="1">
      <c r="A229" s="239">
        <v>739</v>
      </c>
      <c r="B229" s="239" t="s">
        <v>237</v>
      </c>
      <c r="C229" s="326">
        <v>-3183.84</v>
      </c>
      <c r="D229" s="121">
        <v>-5756.64</v>
      </c>
      <c r="E229" s="121">
        <v>-3183.84</v>
      </c>
      <c r="F229" s="121">
        <v>-32.160000000000004</v>
      </c>
      <c r="G229" s="121">
        <v>-65928</v>
      </c>
      <c r="H229" s="121">
        <v>-125415.05</v>
      </c>
      <c r="I229" s="121">
        <v>1181236.7453195436</v>
      </c>
      <c r="J229" s="34">
        <v>913456.78911760543</v>
      </c>
      <c r="K229" s="34">
        <v>-96415.680000000008</v>
      </c>
      <c r="L229" s="34">
        <v>-36919.68</v>
      </c>
      <c r="M229" s="484">
        <v>109501.78704697412</v>
      </c>
      <c r="N229" s="484">
        <v>19826.354463130076</v>
      </c>
      <c r="O229" s="251">
        <f>SUM(LisäyksetVähennykset[[#This Row],[Kuntien yhdistymisavustus (-0,99 €/as)]:[TE25: Uudistuksen rahoituksen siirtymäajan porrastus (50 % kustannusperusteinen / 50 % vos-kriteerit)]])</f>
        <v>1887186.7859472532</v>
      </c>
      <c r="P229" s="112"/>
    </row>
    <row r="230" spans="1:16" s="45" customFormat="1">
      <c r="A230" s="239">
        <v>740</v>
      </c>
      <c r="B230" s="239" t="s">
        <v>238</v>
      </c>
      <c r="C230" s="326">
        <v>-31524.57</v>
      </c>
      <c r="D230" s="121">
        <v>-56998.97</v>
      </c>
      <c r="E230" s="121">
        <v>-31524.57</v>
      </c>
      <c r="F230" s="121">
        <v>-318.43</v>
      </c>
      <c r="G230" s="121">
        <v>-652781.5</v>
      </c>
      <c r="H230" s="121">
        <v>-1651177.6</v>
      </c>
      <c r="I230" s="121">
        <v>-5483952.9192687627</v>
      </c>
      <c r="J230" s="34">
        <v>-1333327.5882085317</v>
      </c>
      <c r="K230" s="34">
        <v>-954653.14</v>
      </c>
      <c r="L230" s="34">
        <v>-365557.64</v>
      </c>
      <c r="M230" s="484">
        <v>1716286.0343112592</v>
      </c>
      <c r="N230" s="484">
        <v>189031.83062201412</v>
      </c>
      <c r="O230" s="251">
        <f>SUM(LisäyksetVähennykset[[#This Row],[Kuntien yhdistymisavustus (-0,99 €/as)]:[TE25: Uudistuksen rahoituksen siirtymäajan porrastus (50 % kustannusperusteinen / 50 % vos-kriteerit)]])</f>
        <v>-8656499.0625440236</v>
      </c>
      <c r="P230" s="112"/>
    </row>
    <row r="231" spans="1:16" s="45" customFormat="1">
      <c r="A231" s="239">
        <v>742</v>
      </c>
      <c r="B231" s="239" t="s">
        <v>239</v>
      </c>
      <c r="C231" s="326">
        <v>-968.22</v>
      </c>
      <c r="D231" s="121">
        <v>-1750.6200000000001</v>
      </c>
      <c r="E231" s="121">
        <v>-968.22</v>
      </c>
      <c r="F231" s="121">
        <v>-9.7799999999999994</v>
      </c>
      <c r="G231" s="121">
        <v>-20049</v>
      </c>
      <c r="H231" s="121">
        <v>-27461.11</v>
      </c>
      <c r="I231" s="121">
        <v>-3069.3803781253428</v>
      </c>
      <c r="J231" s="34">
        <v>192785.82996112021</v>
      </c>
      <c r="K231" s="34">
        <v>-29320.44</v>
      </c>
      <c r="L231" s="34">
        <v>-11227.44</v>
      </c>
      <c r="M231" s="484">
        <v>69020.326418453813</v>
      </c>
      <c r="N231" s="484">
        <v>24564.995991372612</v>
      </c>
      <c r="O231" s="251">
        <f>SUM(LisäyksetVähennykset[[#This Row],[Kuntien yhdistymisavustus (-0,99 €/as)]:[TE25: Uudistuksen rahoituksen siirtymäajan porrastus (50 % kustannusperusteinen / 50 % vos-kriteerit)]])</f>
        <v>191546.94199282129</v>
      </c>
      <c r="P231" s="112"/>
    </row>
    <row r="232" spans="1:16" s="45" customFormat="1">
      <c r="A232" s="239">
        <v>743</v>
      </c>
      <c r="B232" s="239" t="s">
        <v>240</v>
      </c>
      <c r="C232" s="326">
        <v>-65498.400000000001</v>
      </c>
      <c r="D232" s="121">
        <v>-118426.40000000001</v>
      </c>
      <c r="E232" s="121">
        <v>-65498.400000000001</v>
      </c>
      <c r="F232" s="121">
        <v>-661.6</v>
      </c>
      <c r="G232" s="121">
        <v>-1356280</v>
      </c>
      <c r="H232" s="121">
        <v>-3186721.75</v>
      </c>
      <c r="I232" s="121">
        <v>-8531579.612140391</v>
      </c>
      <c r="J232" s="34">
        <v>-3183200.4814781165</v>
      </c>
      <c r="K232" s="34">
        <v>-1983476.8</v>
      </c>
      <c r="L232" s="34">
        <v>-759516.8</v>
      </c>
      <c r="M232" s="484">
        <v>2348341.8496672735</v>
      </c>
      <c r="N232" s="484">
        <v>105660.65019276598</v>
      </c>
      <c r="O232" s="251">
        <f>SUM(LisäyksetVähennykset[[#This Row],[Kuntien yhdistymisavustus (-0,99 €/as)]:[TE25: Uudistuksen rahoituksen siirtymäajan porrastus (50 % kustannusperusteinen / 50 % vos-kriteerit)]])</f>
        <v>-16796857.74375847</v>
      </c>
      <c r="P232" s="112"/>
    </row>
    <row r="233" spans="1:16" s="45" customFormat="1">
      <c r="A233" s="239">
        <v>746</v>
      </c>
      <c r="B233" s="239" t="s">
        <v>241</v>
      </c>
      <c r="C233" s="326">
        <v>-4665.87</v>
      </c>
      <c r="D233" s="121">
        <v>-8436.27</v>
      </c>
      <c r="E233" s="121">
        <v>-4665.87</v>
      </c>
      <c r="F233" s="121">
        <v>-47.13</v>
      </c>
      <c r="G233" s="121">
        <v>-96616.5</v>
      </c>
      <c r="H233" s="121">
        <v>-152253.73000000001</v>
      </c>
      <c r="I233" s="121">
        <v>-148717.32408441388</v>
      </c>
      <c r="J233" s="34">
        <v>-526132.93789307738</v>
      </c>
      <c r="K233" s="34">
        <v>-141295.74</v>
      </c>
      <c r="L233" s="34">
        <v>-54105.240000000005</v>
      </c>
      <c r="M233" s="484">
        <v>117042.39976614976</v>
      </c>
      <c r="N233" s="484">
        <v>-62536.580681164996</v>
      </c>
      <c r="O233" s="251">
        <f>SUM(LisäyksetVähennykset[[#This Row],[Kuntien yhdistymisavustus (-0,99 €/as)]:[TE25: Uudistuksen rahoituksen siirtymäajan porrastus (50 % kustannusperusteinen / 50 % vos-kriteerit)]])</f>
        <v>-1082430.7928925066</v>
      </c>
      <c r="P233" s="112"/>
    </row>
    <row r="234" spans="1:16" s="45" customFormat="1">
      <c r="A234" s="239">
        <v>747</v>
      </c>
      <c r="B234" s="239" t="s">
        <v>242</v>
      </c>
      <c r="C234" s="326">
        <v>-1270.17</v>
      </c>
      <c r="D234" s="121">
        <v>-2296.5700000000002</v>
      </c>
      <c r="E234" s="121">
        <v>-1270.17</v>
      </c>
      <c r="F234" s="121">
        <v>-12.83</v>
      </c>
      <c r="G234" s="121">
        <v>-26301.5</v>
      </c>
      <c r="H234" s="121">
        <v>-27338.97</v>
      </c>
      <c r="I234" s="121">
        <v>363573.27875279542</v>
      </c>
      <c r="J234" s="34">
        <v>261056.77393655782</v>
      </c>
      <c r="K234" s="34">
        <v>-38464.340000000004</v>
      </c>
      <c r="L234" s="34">
        <v>-14728.84</v>
      </c>
      <c r="M234" s="484">
        <v>117217.8489052419</v>
      </c>
      <c r="N234" s="484">
        <v>1332.2605712771401</v>
      </c>
      <c r="O234" s="251">
        <f>SUM(LisäyksetVähennykset[[#This Row],[Kuntien yhdistymisavustus (-0,99 €/as)]:[TE25: Uudistuksen rahoituksen siirtymäajan porrastus (50 % kustannusperusteinen / 50 % vos-kriteerit)]])</f>
        <v>631496.77216587227</v>
      </c>
      <c r="P234" s="112"/>
    </row>
    <row r="235" spans="1:16" s="45" customFormat="1">
      <c r="A235" s="239">
        <v>748</v>
      </c>
      <c r="B235" s="239" t="s">
        <v>243</v>
      </c>
      <c r="C235" s="326">
        <v>-4788.63</v>
      </c>
      <c r="D235" s="121">
        <v>-8658.23</v>
      </c>
      <c r="E235" s="121">
        <v>-4788.63</v>
      </c>
      <c r="F235" s="121">
        <v>-48.370000000000005</v>
      </c>
      <c r="G235" s="121">
        <v>-99158.5</v>
      </c>
      <c r="H235" s="121">
        <v>-74060.52</v>
      </c>
      <c r="I235" s="121">
        <v>-828488.94256553904</v>
      </c>
      <c r="J235" s="34">
        <v>-830213.44938461285</v>
      </c>
      <c r="K235" s="34">
        <v>-145013.26</v>
      </c>
      <c r="L235" s="34">
        <v>-55528.76</v>
      </c>
      <c r="M235" s="484">
        <v>128110.09448919812</v>
      </c>
      <c r="N235" s="484">
        <v>21233.113005171035</v>
      </c>
      <c r="O235" s="251">
        <f>SUM(LisäyksetVähennykset[[#This Row],[Kuntien yhdistymisavustus (-0,99 €/as)]:[TE25: Uudistuksen rahoituksen siirtymäajan porrastus (50 % kustannusperusteinen / 50 % vos-kriteerit)]])</f>
        <v>-1901404.0844557825</v>
      </c>
      <c r="P235" s="112"/>
    </row>
    <row r="236" spans="1:16" s="45" customFormat="1">
      <c r="A236" s="239">
        <v>749</v>
      </c>
      <c r="B236" s="239" t="s">
        <v>244</v>
      </c>
      <c r="C236" s="326">
        <v>-21077.1</v>
      </c>
      <c r="D236" s="121">
        <v>-38109.1</v>
      </c>
      <c r="E236" s="121">
        <v>-21077.1</v>
      </c>
      <c r="F236" s="121">
        <v>-212.9</v>
      </c>
      <c r="G236" s="121">
        <v>-436445</v>
      </c>
      <c r="H236" s="121">
        <v>-848226.63</v>
      </c>
      <c r="I236" s="121">
        <v>-1993593.6277813506</v>
      </c>
      <c r="J236" s="34">
        <v>-1886861.8768334666</v>
      </c>
      <c r="K236" s="34">
        <v>-638274.19999999995</v>
      </c>
      <c r="L236" s="34">
        <v>-244409.2</v>
      </c>
      <c r="M236" s="484">
        <v>449324.04434690671</v>
      </c>
      <c r="N236" s="484">
        <v>-166891.81371560798</v>
      </c>
      <c r="O236" s="251">
        <f>SUM(LisäyksetVähennykset[[#This Row],[Kuntien yhdistymisavustus (-0,99 €/as)]:[TE25: Uudistuksen rahoituksen siirtymäajan porrastus (50 % kustannusperusteinen / 50 % vos-kriteerit)]])</f>
        <v>-5845854.503983519</v>
      </c>
      <c r="P236" s="112"/>
    </row>
    <row r="237" spans="1:16" s="45" customFormat="1">
      <c r="A237" s="239">
        <v>751</v>
      </c>
      <c r="B237" s="239" t="s">
        <v>245</v>
      </c>
      <c r="C237" s="326">
        <v>-2799.72</v>
      </c>
      <c r="D237" s="121">
        <v>-5062.12</v>
      </c>
      <c r="E237" s="121">
        <v>-2799.72</v>
      </c>
      <c r="F237" s="121">
        <v>-28.28</v>
      </c>
      <c r="G237" s="121">
        <v>-57974</v>
      </c>
      <c r="H237" s="121">
        <v>-49531.03</v>
      </c>
      <c r="I237" s="121">
        <v>278470.92239572416</v>
      </c>
      <c r="J237" s="34">
        <v>-33098.893010835651</v>
      </c>
      <c r="K237" s="34">
        <v>-84783.44</v>
      </c>
      <c r="L237" s="34">
        <v>-32465.440000000002</v>
      </c>
      <c r="M237" s="484">
        <v>154249.62439920762</v>
      </c>
      <c r="N237" s="484">
        <v>23991.04692932489</v>
      </c>
      <c r="O237" s="251">
        <f>SUM(LisäyksetVähennykset[[#This Row],[Kuntien yhdistymisavustus (-0,99 €/as)]:[TE25: Uudistuksen rahoituksen siirtymäajan porrastus (50 % kustannusperusteinen / 50 % vos-kriteerit)]])</f>
        <v>188168.95071342101</v>
      </c>
      <c r="P237" s="112"/>
    </row>
    <row r="238" spans="1:16" s="45" customFormat="1">
      <c r="A238" s="239">
        <v>753</v>
      </c>
      <c r="B238" s="239" t="s">
        <v>246</v>
      </c>
      <c r="C238" s="326">
        <v>-22369.05</v>
      </c>
      <c r="D238" s="121">
        <v>-40445.050000000003</v>
      </c>
      <c r="E238" s="121">
        <v>-22369.05</v>
      </c>
      <c r="F238" s="121">
        <v>-225.95000000000002</v>
      </c>
      <c r="G238" s="121">
        <v>-463197.5</v>
      </c>
      <c r="H238" s="121">
        <v>-726841.93</v>
      </c>
      <c r="I238" s="121">
        <v>6620333.6686252933</v>
      </c>
      <c r="J238" s="34">
        <v>3217554.5686993408</v>
      </c>
      <c r="K238" s="34">
        <v>-677398.1</v>
      </c>
      <c r="L238" s="34">
        <v>-259390.6</v>
      </c>
      <c r="M238" s="484">
        <v>341565.96070901002</v>
      </c>
      <c r="N238" s="484">
        <v>-165789.05546943261</v>
      </c>
      <c r="O238" s="251">
        <f>SUM(LisäyksetVähennykset[[#This Row],[Kuntien yhdistymisavustus (-0,99 €/as)]:[TE25: Uudistuksen rahoituksen siirtymäajan porrastus (50 % kustannusperusteinen / 50 % vos-kriteerit)]])</f>
        <v>7801427.9125642115</v>
      </c>
      <c r="P238" s="112"/>
    </row>
    <row r="239" spans="1:16" s="45" customFormat="1">
      <c r="A239" s="239">
        <v>755</v>
      </c>
      <c r="B239" s="239" t="s">
        <v>247</v>
      </c>
      <c r="C239" s="326">
        <v>-6096.42</v>
      </c>
      <c r="D239" s="121">
        <v>-11022.82</v>
      </c>
      <c r="E239" s="121">
        <v>-6096.42</v>
      </c>
      <c r="F239" s="121">
        <v>-61.58</v>
      </c>
      <c r="G239" s="121">
        <v>-126239</v>
      </c>
      <c r="H239" s="121">
        <v>-173845.16</v>
      </c>
      <c r="I239" s="121">
        <v>948316.28074108204</v>
      </c>
      <c r="J239" s="34">
        <v>931844.57338175492</v>
      </c>
      <c r="K239" s="34">
        <v>-184616.84</v>
      </c>
      <c r="L239" s="34">
        <v>-70693.84</v>
      </c>
      <c r="M239" s="484">
        <v>93995.482876760303</v>
      </c>
      <c r="N239" s="484">
        <v>-79530.225353916059</v>
      </c>
      <c r="O239" s="251">
        <f>SUM(LisäyksetVähennykset[[#This Row],[Kuntien yhdistymisavustus (-0,99 €/as)]:[TE25: Uudistuksen rahoituksen siirtymäajan porrastus (50 % kustannusperusteinen / 50 % vos-kriteerit)]])</f>
        <v>1315954.0316456808</v>
      </c>
      <c r="P239" s="112"/>
    </row>
    <row r="240" spans="1:16" s="45" customFormat="1">
      <c r="A240" s="239">
        <v>758</v>
      </c>
      <c r="B240" s="239" t="s">
        <v>248</v>
      </c>
      <c r="C240" s="326">
        <v>-8044.74</v>
      </c>
      <c r="D240" s="121">
        <v>-14545.54</v>
      </c>
      <c r="E240" s="121">
        <v>-8044.74</v>
      </c>
      <c r="F240" s="121">
        <v>-81.260000000000005</v>
      </c>
      <c r="G240" s="121">
        <v>-166583</v>
      </c>
      <c r="H240" s="121">
        <v>-176300.12</v>
      </c>
      <c r="I240" s="121">
        <v>-2318562.9125566757</v>
      </c>
      <c r="J240" s="34">
        <v>-772521.52773190499</v>
      </c>
      <c r="K240" s="34">
        <v>-243617.48</v>
      </c>
      <c r="L240" s="34">
        <v>-93286.48000000001</v>
      </c>
      <c r="M240" s="484">
        <v>288221.85638741188</v>
      </c>
      <c r="N240" s="484">
        <v>40156.591007613693</v>
      </c>
      <c r="O240" s="251">
        <f>SUM(LisäyksetVähennykset[[#This Row],[Kuntien yhdistymisavustus (-0,99 €/as)]:[TE25: Uudistuksen rahoituksen siirtymäajan porrastus (50 % kustannusperusteinen / 50 % vos-kriteerit)]])</f>
        <v>-3473209.3528935551</v>
      </c>
      <c r="P240" s="112"/>
    </row>
    <row r="241" spans="1:16" s="45" customFormat="1">
      <c r="A241" s="239">
        <v>759</v>
      </c>
      <c r="B241" s="239" t="s">
        <v>249</v>
      </c>
      <c r="C241" s="326">
        <v>-1854.27</v>
      </c>
      <c r="D241" s="121">
        <v>-3352.67</v>
      </c>
      <c r="E241" s="121">
        <v>-1854.27</v>
      </c>
      <c r="F241" s="121">
        <v>-18.73</v>
      </c>
      <c r="G241" s="121">
        <v>-38396.5</v>
      </c>
      <c r="H241" s="121">
        <v>-62927.63</v>
      </c>
      <c r="I241" s="121">
        <v>82997.477848417751</v>
      </c>
      <c r="J241" s="34">
        <v>-106760.54352464683</v>
      </c>
      <c r="K241" s="34">
        <v>-56152.54</v>
      </c>
      <c r="L241" s="34">
        <v>-21502.04</v>
      </c>
      <c r="M241" s="484">
        <v>104922.27628552589</v>
      </c>
      <c r="N241" s="484">
        <v>2506.6784454359295</v>
      </c>
      <c r="O241" s="251">
        <f>SUM(LisäyksetVähennykset[[#This Row],[Kuntien yhdistymisavustus (-0,99 €/as)]:[TE25: Uudistuksen rahoituksen siirtymäajan porrastus (50 % kustannusperusteinen / 50 % vos-kriteerit)]])</f>
        <v>-102392.76094526728</v>
      </c>
      <c r="P241" s="112"/>
    </row>
    <row r="242" spans="1:16" s="45" customFormat="1">
      <c r="A242" s="239">
        <v>761</v>
      </c>
      <c r="B242" s="239" t="s">
        <v>250</v>
      </c>
      <c r="C242" s="326">
        <v>-8325.9</v>
      </c>
      <c r="D242" s="121">
        <v>-15053.9</v>
      </c>
      <c r="E242" s="121">
        <v>-8325.9</v>
      </c>
      <c r="F242" s="121">
        <v>-84.100000000000009</v>
      </c>
      <c r="G242" s="121">
        <v>-172405</v>
      </c>
      <c r="H242" s="121">
        <v>-291234.52</v>
      </c>
      <c r="I242" s="121">
        <v>1184243.7799134771</v>
      </c>
      <c r="J242" s="34">
        <v>539592.22261625913</v>
      </c>
      <c r="K242" s="34">
        <v>-252131.80000000002</v>
      </c>
      <c r="L242" s="34">
        <v>-96546.8</v>
      </c>
      <c r="M242" s="484">
        <v>338786.76433060638</v>
      </c>
      <c r="N242" s="484">
        <v>58252.639075519575</v>
      </c>
      <c r="O242" s="251">
        <f>SUM(LisäyksetVähennykset[[#This Row],[Kuntien yhdistymisavustus (-0,99 €/as)]:[TE25: Uudistuksen rahoituksen siirtymäajan porrastus (50 % kustannusperusteinen / 50 % vos-kriteerit)]])</f>
        <v>1276767.4859358622</v>
      </c>
      <c r="P242" s="112"/>
    </row>
    <row r="243" spans="1:16" s="45" customFormat="1">
      <c r="A243" s="239">
        <v>762</v>
      </c>
      <c r="B243" s="239" t="s">
        <v>251</v>
      </c>
      <c r="C243" s="326">
        <v>-3600.63</v>
      </c>
      <c r="D243" s="121">
        <v>-6510.2300000000005</v>
      </c>
      <c r="E243" s="121">
        <v>-3600.63</v>
      </c>
      <c r="F243" s="121">
        <v>-36.369999999999997</v>
      </c>
      <c r="G243" s="121">
        <v>-74558.5</v>
      </c>
      <c r="H243" s="121">
        <v>-122521.65</v>
      </c>
      <c r="I243" s="121">
        <v>1133334.640933282</v>
      </c>
      <c r="J243" s="34">
        <v>530445.98395989835</v>
      </c>
      <c r="K243" s="34">
        <v>-109037.26</v>
      </c>
      <c r="L243" s="34">
        <v>-41752.76</v>
      </c>
      <c r="M243" s="484">
        <v>217142.2437134097</v>
      </c>
      <c r="N243" s="484">
        <v>-672.44520888000261</v>
      </c>
      <c r="O243" s="251">
        <f>SUM(LisäyksetVähennykset[[#This Row],[Kuntien yhdistymisavustus (-0,99 €/as)]:[TE25: Uudistuksen rahoituksen siirtymäajan porrastus (50 % kustannusperusteinen / 50 % vos-kriteerit)]])</f>
        <v>1518632.3933977098</v>
      </c>
      <c r="P243" s="112"/>
    </row>
    <row r="244" spans="1:16" s="45" customFormat="1">
      <c r="A244" s="239">
        <v>765</v>
      </c>
      <c r="B244" s="239" t="s">
        <v>252</v>
      </c>
      <c r="C244" s="326">
        <v>-10171.26</v>
      </c>
      <c r="D244" s="121">
        <v>-18390.46</v>
      </c>
      <c r="E244" s="121">
        <v>-10171.26</v>
      </c>
      <c r="F244" s="121">
        <v>-102.74000000000001</v>
      </c>
      <c r="G244" s="121">
        <v>-210617</v>
      </c>
      <c r="H244" s="121">
        <v>-256679.44</v>
      </c>
      <c r="I244" s="121">
        <v>-1043874.4614051267</v>
      </c>
      <c r="J244" s="34">
        <v>-21140.018770948162</v>
      </c>
      <c r="K244" s="34">
        <v>-308014.52</v>
      </c>
      <c r="L244" s="34">
        <v>-117945.52</v>
      </c>
      <c r="M244" s="484">
        <v>340727.63510704495</v>
      </c>
      <c r="N244" s="484">
        <v>207378.70937892108</v>
      </c>
      <c r="O244" s="251">
        <f>SUM(LisäyksetVähennykset[[#This Row],[Kuntien yhdistymisavustus (-0,99 €/as)]:[TE25: Uudistuksen rahoituksen siirtymäajan porrastus (50 % kustannusperusteinen / 50 % vos-kriteerit)]])</f>
        <v>-1449000.3356901091</v>
      </c>
      <c r="P244" s="112"/>
    </row>
    <row r="245" spans="1:16" s="45" customFormat="1">
      <c r="A245" s="239">
        <v>768</v>
      </c>
      <c r="B245" s="239" t="s">
        <v>253</v>
      </c>
      <c r="C245" s="326">
        <v>-2344.3200000000002</v>
      </c>
      <c r="D245" s="121">
        <v>-4238.72</v>
      </c>
      <c r="E245" s="121">
        <v>-2344.3200000000002</v>
      </c>
      <c r="F245" s="121">
        <v>-23.68</v>
      </c>
      <c r="G245" s="121">
        <v>-48544</v>
      </c>
      <c r="H245" s="121">
        <v>-101882.93</v>
      </c>
      <c r="I245" s="121">
        <v>356138.01502340147</v>
      </c>
      <c r="J245" s="34">
        <v>539443.44715585606</v>
      </c>
      <c r="K245" s="34">
        <v>-70992.639999999999</v>
      </c>
      <c r="L245" s="34">
        <v>-27184.639999999999</v>
      </c>
      <c r="M245" s="484">
        <v>85039.764611373394</v>
      </c>
      <c r="N245" s="484">
        <v>28218.03713861767</v>
      </c>
      <c r="O245" s="251">
        <f>SUM(LisäyksetVähennykset[[#This Row],[Kuntien yhdistymisavustus (-0,99 €/as)]:[TE25: Uudistuksen rahoituksen siirtymäajan porrastus (50 % kustannusperusteinen / 50 % vos-kriteerit)]])</f>
        <v>751284.01392924867</v>
      </c>
      <c r="P245" s="112"/>
    </row>
    <row r="246" spans="1:16" s="45" customFormat="1">
      <c r="A246" s="239">
        <v>777</v>
      </c>
      <c r="B246" s="239" t="s">
        <v>254</v>
      </c>
      <c r="C246" s="326">
        <v>-7100.28</v>
      </c>
      <c r="D246" s="121">
        <v>-12837.880000000001</v>
      </c>
      <c r="E246" s="121">
        <v>-7100.28</v>
      </c>
      <c r="F246" s="121">
        <v>-71.72</v>
      </c>
      <c r="G246" s="121">
        <v>-147026</v>
      </c>
      <c r="H246" s="121">
        <v>-211785.67</v>
      </c>
      <c r="I246" s="121">
        <v>299371.21545643284</v>
      </c>
      <c r="J246" s="34">
        <v>432851.38652569545</v>
      </c>
      <c r="K246" s="34">
        <v>-215016.56</v>
      </c>
      <c r="L246" s="34">
        <v>-82334.559999999998</v>
      </c>
      <c r="M246" s="484">
        <v>336891.68591774703</v>
      </c>
      <c r="N246" s="484">
        <v>90103.728508524713</v>
      </c>
      <c r="O246" s="251">
        <f>SUM(LisäyksetVähennykset[[#This Row],[Kuntien yhdistymisavustus (-0,99 €/as)]:[TE25: Uudistuksen rahoituksen siirtymäajan porrastus (50 % kustannusperusteinen / 50 % vos-kriteerit)]])</f>
        <v>475945.06640840002</v>
      </c>
      <c r="P246" s="112"/>
    </row>
    <row r="247" spans="1:16" s="45" customFormat="1">
      <c r="A247" s="239">
        <v>778</v>
      </c>
      <c r="B247" s="239" t="s">
        <v>255</v>
      </c>
      <c r="C247" s="326">
        <v>-6640.92</v>
      </c>
      <c r="D247" s="121">
        <v>-12007.32</v>
      </c>
      <c r="E247" s="121">
        <v>-6640.92</v>
      </c>
      <c r="F247" s="121">
        <v>-67.08</v>
      </c>
      <c r="G247" s="121">
        <v>-137514</v>
      </c>
      <c r="H247" s="121">
        <v>-320467.88</v>
      </c>
      <c r="I247" s="121">
        <v>735153.47764505388</v>
      </c>
      <c r="J247" s="34">
        <v>105479.70440194538</v>
      </c>
      <c r="K247" s="34">
        <v>-201105.84</v>
      </c>
      <c r="L247" s="34">
        <v>-77007.839999999997</v>
      </c>
      <c r="M247" s="484">
        <v>254897.80241741706</v>
      </c>
      <c r="N247" s="484">
        <v>38935.741587319819</v>
      </c>
      <c r="O247" s="251">
        <f>SUM(LisäyksetVähennykset[[#This Row],[Kuntien yhdistymisavustus (-0,99 €/as)]:[TE25: Uudistuksen rahoituksen siirtymäajan porrastus (50 % kustannusperusteinen / 50 % vos-kriteerit)]])</f>
        <v>373014.92605173611</v>
      </c>
      <c r="P247" s="112"/>
    </row>
    <row r="248" spans="1:16" s="45" customFormat="1">
      <c r="A248" s="239">
        <v>781</v>
      </c>
      <c r="B248" s="239" t="s">
        <v>256</v>
      </c>
      <c r="C248" s="326">
        <v>-3461.04</v>
      </c>
      <c r="D248" s="121">
        <v>-6257.84</v>
      </c>
      <c r="E248" s="121">
        <v>-3461.04</v>
      </c>
      <c r="F248" s="121">
        <v>-34.96</v>
      </c>
      <c r="G248" s="121">
        <v>-71668</v>
      </c>
      <c r="H248" s="121">
        <v>-101757.95</v>
      </c>
      <c r="I248" s="121">
        <v>1784046.2085390668</v>
      </c>
      <c r="J248" s="34">
        <v>1534132.1942275825</v>
      </c>
      <c r="K248" s="34">
        <v>-104810.08</v>
      </c>
      <c r="L248" s="34">
        <v>-40134.080000000002</v>
      </c>
      <c r="M248" s="484">
        <v>148225.7752360914</v>
      </c>
      <c r="N248" s="484">
        <v>34633.746435532958</v>
      </c>
      <c r="O248" s="251">
        <f>SUM(LisäyksetVähennykset[[#This Row],[Kuntien yhdistymisavustus (-0,99 €/as)]:[TE25: Uudistuksen rahoituksen siirtymäajan porrastus (50 % kustannusperusteinen / 50 % vos-kriteerit)]])</f>
        <v>3169452.9344382738</v>
      </c>
      <c r="P248" s="112"/>
    </row>
    <row r="249" spans="1:16" s="45" customFormat="1">
      <c r="A249" s="239">
        <v>783</v>
      </c>
      <c r="B249" s="239" t="s">
        <v>257</v>
      </c>
      <c r="C249" s="326">
        <v>-6313.23</v>
      </c>
      <c r="D249" s="121">
        <v>-11414.83</v>
      </c>
      <c r="E249" s="121">
        <v>-6313.23</v>
      </c>
      <c r="F249" s="121">
        <v>-63.77</v>
      </c>
      <c r="G249" s="121">
        <v>-130728.5</v>
      </c>
      <c r="H249" s="121">
        <v>-152954.28</v>
      </c>
      <c r="I249" s="121">
        <v>-115446.19249187982</v>
      </c>
      <c r="J249" s="34">
        <v>-13105.831610074973</v>
      </c>
      <c r="K249" s="34">
        <v>-191182.46</v>
      </c>
      <c r="L249" s="34">
        <v>-73207.960000000006</v>
      </c>
      <c r="M249" s="484">
        <v>243239.7698566193</v>
      </c>
      <c r="N249" s="484">
        <v>-61616.28753760003</v>
      </c>
      <c r="O249" s="251">
        <f>SUM(LisäyksetVähennykset[[#This Row],[Kuntien yhdistymisavustus (-0,99 €/as)]:[TE25: Uudistuksen rahoituksen siirtymäajan porrastus (50 % kustannusperusteinen / 50 % vos-kriteerit)]])</f>
        <v>-519106.80178293539</v>
      </c>
      <c r="P249" s="112"/>
    </row>
    <row r="250" spans="1:16" s="104" customFormat="1">
      <c r="A250" s="237">
        <v>785</v>
      </c>
      <c r="B250" s="239" t="s">
        <v>258</v>
      </c>
      <c r="C250" s="326">
        <v>-2563.11</v>
      </c>
      <c r="D250" s="121">
        <v>-4634.3100000000004</v>
      </c>
      <c r="E250" s="121">
        <v>-2563.11</v>
      </c>
      <c r="F250" s="121">
        <v>-25.89</v>
      </c>
      <c r="G250" s="121">
        <v>-53074.5</v>
      </c>
      <c r="H250" s="121">
        <v>-85004.38</v>
      </c>
      <c r="I250" s="121">
        <v>1389779.8217081872</v>
      </c>
      <c r="J250" s="121">
        <v>952320.28652857721</v>
      </c>
      <c r="K250" s="121">
        <v>-77618.22</v>
      </c>
      <c r="L250" s="121">
        <v>-29721.72</v>
      </c>
      <c r="M250" s="485">
        <v>166358.83877064177</v>
      </c>
      <c r="N250" s="485">
        <v>58558.807128942353</v>
      </c>
      <c r="O250" s="251">
        <f>SUM(LisäyksetVähennykset[[#This Row],[Kuntien yhdistymisavustus (-0,99 €/as)]:[TE25: Uudistuksen rahoituksen siirtymäajan porrastus (50 % kustannusperusteinen / 50 % vos-kriteerit)]])</f>
        <v>2311812.5141363484</v>
      </c>
      <c r="P250" s="60"/>
    </row>
    <row r="251" spans="1:16" s="45" customFormat="1">
      <c r="A251" s="239">
        <v>790</v>
      </c>
      <c r="B251" s="239" t="s">
        <v>259</v>
      </c>
      <c r="C251" s="326">
        <v>-23279.85</v>
      </c>
      <c r="D251" s="121">
        <v>-42091.85</v>
      </c>
      <c r="E251" s="121">
        <v>-23279.85</v>
      </c>
      <c r="F251" s="121">
        <v>-235.15</v>
      </c>
      <c r="G251" s="121">
        <v>-482057.5</v>
      </c>
      <c r="H251" s="121">
        <v>-1124783.67</v>
      </c>
      <c r="I251" s="121">
        <v>2354296.3529862952</v>
      </c>
      <c r="J251" s="34">
        <v>435441.84623709676</v>
      </c>
      <c r="K251" s="34">
        <v>-704979.7</v>
      </c>
      <c r="L251" s="34">
        <v>-269952.2</v>
      </c>
      <c r="M251" s="484">
        <v>1248133.5713915871</v>
      </c>
      <c r="N251" s="484">
        <v>-116396.18022320094</v>
      </c>
      <c r="O251" s="251">
        <f>SUM(LisäyksetVähennykset[[#This Row],[Kuntien yhdistymisavustus (-0,99 €/as)]:[TE25: Uudistuksen rahoituksen siirtymäajan porrastus (50 % kustannusperusteinen / 50 % vos-kriteerit)]])</f>
        <v>1250815.8203917784</v>
      </c>
      <c r="P251" s="112"/>
    </row>
    <row r="252" spans="1:16" s="45" customFormat="1">
      <c r="A252" s="239">
        <v>791</v>
      </c>
      <c r="B252" s="239" t="s">
        <v>260</v>
      </c>
      <c r="C252" s="326">
        <v>-4881.6899999999996</v>
      </c>
      <c r="D252" s="121">
        <v>-8826.49</v>
      </c>
      <c r="E252" s="121">
        <v>-4881.6899999999996</v>
      </c>
      <c r="F252" s="121">
        <v>-49.31</v>
      </c>
      <c r="G252" s="121">
        <v>-101085.5</v>
      </c>
      <c r="H252" s="121">
        <v>-78591.8</v>
      </c>
      <c r="I252" s="121">
        <v>554688.42463979241</v>
      </c>
      <c r="J252" s="34">
        <v>-10267.834112333234</v>
      </c>
      <c r="K252" s="34">
        <v>-147831.38</v>
      </c>
      <c r="L252" s="34">
        <v>-56607.880000000005</v>
      </c>
      <c r="M252" s="484">
        <v>194480.34122731857</v>
      </c>
      <c r="N252" s="484">
        <v>-5277.9076848222467</v>
      </c>
      <c r="O252" s="251">
        <f>SUM(LisäyksetVähennykset[[#This Row],[Kuntien yhdistymisavustus (-0,99 €/as)]:[TE25: Uudistuksen rahoituksen siirtymäajan porrastus (50 % kustannusperusteinen / 50 % vos-kriteerit)]])</f>
        <v>330867.28406995547</v>
      </c>
      <c r="P252" s="112"/>
    </row>
    <row r="253" spans="1:16" s="45" customFormat="1">
      <c r="A253" s="239">
        <v>831</v>
      </c>
      <c r="B253" s="239" t="s">
        <v>261</v>
      </c>
      <c r="C253" s="326">
        <v>-4578.75</v>
      </c>
      <c r="D253" s="121">
        <v>-8278.75</v>
      </c>
      <c r="E253" s="121">
        <v>-4578.75</v>
      </c>
      <c r="F253" s="121">
        <v>-46.25</v>
      </c>
      <c r="G253" s="121">
        <v>-94812.5</v>
      </c>
      <c r="H253" s="121">
        <v>-110641.97</v>
      </c>
      <c r="I253" s="121">
        <v>101281.78612818329</v>
      </c>
      <c r="J253" s="34">
        <v>110801.21062203226</v>
      </c>
      <c r="K253" s="34">
        <v>-138657.5</v>
      </c>
      <c r="L253" s="34">
        <v>-53095</v>
      </c>
      <c r="M253" s="484">
        <v>184131.70252893542</v>
      </c>
      <c r="N253" s="484">
        <v>31327.382925705111</v>
      </c>
      <c r="O253" s="251">
        <f>SUM(LisäyksetVähennykset[[#This Row],[Kuntien yhdistymisavustus (-0,99 €/as)]:[TE25: Uudistuksen rahoituksen siirtymäajan porrastus (50 % kustannusperusteinen / 50 % vos-kriteerit)]])</f>
        <v>12852.612204856094</v>
      </c>
      <c r="P253" s="112"/>
    </row>
    <row r="254" spans="1:16" s="45" customFormat="1">
      <c r="A254" s="239">
        <v>832</v>
      </c>
      <c r="B254" s="239" t="s">
        <v>262</v>
      </c>
      <c r="C254" s="326">
        <v>-3693.69</v>
      </c>
      <c r="D254" s="121">
        <v>-6678.49</v>
      </c>
      <c r="E254" s="121">
        <v>-3693.69</v>
      </c>
      <c r="F254" s="121">
        <v>-37.31</v>
      </c>
      <c r="G254" s="121">
        <v>-76485.5</v>
      </c>
      <c r="H254" s="121">
        <v>-74499.95</v>
      </c>
      <c r="I254" s="121">
        <v>1613949.5257217507</v>
      </c>
      <c r="J254" s="34">
        <v>925370.32528853801</v>
      </c>
      <c r="K254" s="34">
        <v>-111855.38</v>
      </c>
      <c r="L254" s="34">
        <v>-42831.880000000005</v>
      </c>
      <c r="M254" s="484">
        <v>227658.11825650599</v>
      </c>
      <c r="N254" s="484">
        <v>57823.335963091115</v>
      </c>
      <c r="O254" s="251">
        <f>SUM(LisäyksetVähennykset[[#This Row],[Kuntien yhdistymisavustus (-0,99 €/as)]:[TE25: Uudistuksen rahoituksen siirtymäajan porrastus (50 % kustannusperusteinen / 50 % vos-kriteerit)]])</f>
        <v>2505025.4152298858</v>
      </c>
      <c r="P254" s="112"/>
    </row>
    <row r="255" spans="1:16" s="45" customFormat="1">
      <c r="A255" s="239">
        <v>833</v>
      </c>
      <c r="B255" s="239" t="s">
        <v>263</v>
      </c>
      <c r="C255" s="326">
        <v>-1687.95</v>
      </c>
      <c r="D255" s="121">
        <v>-3051.9500000000003</v>
      </c>
      <c r="E255" s="121">
        <v>-1687.95</v>
      </c>
      <c r="F255" s="121">
        <v>-17.05</v>
      </c>
      <c r="G255" s="121">
        <v>-34952.5</v>
      </c>
      <c r="H255" s="121">
        <v>-29206.959999999999</v>
      </c>
      <c r="I255" s="121">
        <v>446074.66432930698</v>
      </c>
      <c r="J255" s="34">
        <v>538170.2133085035</v>
      </c>
      <c r="K255" s="34">
        <v>-51115.9</v>
      </c>
      <c r="L255" s="34">
        <v>-19573.400000000001</v>
      </c>
      <c r="M255" s="484">
        <v>44608.159186095101</v>
      </c>
      <c r="N255" s="484">
        <v>-10574.24495053701</v>
      </c>
      <c r="O255" s="251">
        <f>SUM(LisäyksetVähennykset[[#This Row],[Kuntien yhdistymisavustus (-0,99 €/as)]:[TE25: Uudistuksen rahoituksen siirtymäajan porrastus (50 % kustannusperusteinen / 50 % vos-kriteerit)]])</f>
        <v>876985.13187336852</v>
      </c>
      <c r="P255" s="112"/>
    </row>
    <row r="256" spans="1:16" s="45" customFormat="1">
      <c r="A256" s="239">
        <v>834</v>
      </c>
      <c r="B256" s="239" t="s">
        <v>264</v>
      </c>
      <c r="C256" s="326">
        <v>-5785.56</v>
      </c>
      <c r="D256" s="121">
        <v>-10460.76</v>
      </c>
      <c r="E256" s="121">
        <v>-5785.56</v>
      </c>
      <c r="F256" s="121">
        <v>-58.44</v>
      </c>
      <c r="G256" s="121">
        <v>-119802</v>
      </c>
      <c r="H256" s="121">
        <v>-133847.06</v>
      </c>
      <c r="I256" s="121">
        <v>1625120.9558775544</v>
      </c>
      <c r="J256" s="34">
        <v>834676.01030923275</v>
      </c>
      <c r="K256" s="34">
        <v>-175203.12</v>
      </c>
      <c r="L256" s="34">
        <v>-67089.119999999995</v>
      </c>
      <c r="M256" s="484">
        <v>177836.14951506059</v>
      </c>
      <c r="N256" s="484">
        <v>-23118.938335297367</v>
      </c>
      <c r="O256" s="251">
        <f>SUM(LisäyksetVähennykset[[#This Row],[Kuntien yhdistymisavustus (-0,99 €/as)]:[TE25: Uudistuksen rahoituksen siirtymäajan porrastus (50 % kustannusperusteinen / 50 % vos-kriteerit)]])</f>
        <v>2096482.5573665502</v>
      </c>
      <c r="P256" s="112"/>
    </row>
    <row r="257" spans="1:16" s="45" customFormat="1">
      <c r="A257" s="239">
        <v>837</v>
      </c>
      <c r="B257" s="239" t="s">
        <v>265</v>
      </c>
      <c r="C257" s="326">
        <v>-252499.5</v>
      </c>
      <c r="D257" s="121">
        <v>-456539.5</v>
      </c>
      <c r="E257" s="121">
        <v>-252499.5</v>
      </c>
      <c r="F257" s="121">
        <v>-2550.5</v>
      </c>
      <c r="G257" s="121">
        <v>-5228525</v>
      </c>
      <c r="H257" s="121">
        <v>-24183367.539999999</v>
      </c>
      <c r="I257" s="121">
        <v>-34937811.825379469</v>
      </c>
      <c r="J257" s="34">
        <v>-508407.85533465625</v>
      </c>
      <c r="K257" s="34">
        <v>-7646399</v>
      </c>
      <c r="L257" s="34">
        <v>-2927974</v>
      </c>
      <c r="M257" s="484">
        <v>16575384.939725727</v>
      </c>
      <c r="N257" s="484">
        <v>887227.19430486858</v>
      </c>
      <c r="O257" s="251">
        <f>SUM(LisäyksetVähennykset[[#This Row],[Kuntien yhdistymisavustus (-0,99 €/as)]:[TE25: Uudistuksen rahoituksen siirtymäajan porrastus (50 % kustannusperusteinen / 50 % vos-kriteerit)]])</f>
        <v>-58933962.086683527</v>
      </c>
      <c r="P257" s="112"/>
    </row>
    <row r="258" spans="1:16" s="45" customFormat="1">
      <c r="A258" s="239">
        <v>844</v>
      </c>
      <c r="B258" s="239" t="s">
        <v>266</v>
      </c>
      <c r="C258" s="326">
        <v>-1397.8799999999999</v>
      </c>
      <c r="D258" s="121">
        <v>-2527.48</v>
      </c>
      <c r="E258" s="121">
        <v>-1397.8799999999999</v>
      </c>
      <c r="F258" s="121">
        <v>-14.120000000000001</v>
      </c>
      <c r="G258" s="121">
        <v>-28946</v>
      </c>
      <c r="H258" s="121">
        <v>-28220.37</v>
      </c>
      <c r="I258" s="121">
        <v>155770.66059490759</v>
      </c>
      <c r="J258" s="34">
        <v>-4351.163736135285</v>
      </c>
      <c r="K258" s="34">
        <v>-42331.76</v>
      </c>
      <c r="L258" s="34">
        <v>-16209.76</v>
      </c>
      <c r="M258" s="484">
        <v>59775.822805782707</v>
      </c>
      <c r="N258" s="484">
        <v>-1280.9270971687656</v>
      </c>
      <c r="O258" s="251">
        <f>SUM(LisäyksetVähennykset[[#This Row],[Kuntien yhdistymisavustus (-0,99 €/as)]:[TE25: Uudistuksen rahoituksen siirtymäajan porrastus (50 % kustannusperusteinen / 50 % vos-kriteerit)]])</f>
        <v>88869.14256738624</v>
      </c>
      <c r="P258" s="112"/>
    </row>
    <row r="259" spans="1:16" s="45" customFormat="1">
      <c r="A259" s="239">
        <v>845</v>
      </c>
      <c r="B259" s="239" t="s">
        <v>267</v>
      </c>
      <c r="C259" s="326">
        <v>-2802.69</v>
      </c>
      <c r="D259" s="121">
        <v>-5067.49</v>
      </c>
      <c r="E259" s="121">
        <v>-2802.69</v>
      </c>
      <c r="F259" s="121">
        <v>-28.310000000000002</v>
      </c>
      <c r="G259" s="121">
        <v>-58035.5</v>
      </c>
      <c r="H259" s="121">
        <v>-52969.440000000002</v>
      </c>
      <c r="I259" s="121">
        <v>211787.08367977914</v>
      </c>
      <c r="J259" s="34">
        <v>-5845.4581554205706</v>
      </c>
      <c r="K259" s="34">
        <v>-84873.38</v>
      </c>
      <c r="L259" s="34">
        <v>-32499.88</v>
      </c>
      <c r="M259" s="484">
        <v>108127.50962420581</v>
      </c>
      <c r="N259" s="484">
        <v>20601.921040147587</v>
      </c>
      <c r="O259" s="251">
        <f>SUM(LisäyksetVähennykset[[#This Row],[Kuntien yhdistymisavustus (-0,99 €/as)]:[TE25: Uudistuksen rahoituksen siirtymäajan porrastus (50 % kustannusperusteinen / 50 % vos-kriteerit)]])</f>
        <v>95591.676188711965</v>
      </c>
      <c r="P259" s="112"/>
    </row>
    <row r="260" spans="1:16" s="45" customFormat="1">
      <c r="A260" s="239">
        <v>846</v>
      </c>
      <c r="B260" s="239" t="s">
        <v>268</v>
      </c>
      <c r="C260" s="326">
        <v>-4710.42</v>
      </c>
      <c r="D260" s="121">
        <v>-8516.82</v>
      </c>
      <c r="E260" s="121">
        <v>-4710.42</v>
      </c>
      <c r="F260" s="121">
        <v>-47.58</v>
      </c>
      <c r="G260" s="121">
        <v>-97539</v>
      </c>
      <c r="H260" s="121">
        <v>-109704.12</v>
      </c>
      <c r="I260" s="121">
        <v>1311932.4279102779</v>
      </c>
      <c r="J260" s="34">
        <v>252904.23113542993</v>
      </c>
      <c r="K260" s="34">
        <v>-142644.84</v>
      </c>
      <c r="L260" s="34">
        <v>-54621.840000000004</v>
      </c>
      <c r="M260" s="484">
        <v>248403.36689690748</v>
      </c>
      <c r="N260" s="484">
        <v>30856.313044308365</v>
      </c>
      <c r="O260" s="251">
        <f>SUM(LisäyksetVähennykset[[#This Row],[Kuntien yhdistymisavustus (-0,99 €/as)]:[TE25: Uudistuksen rahoituksen siirtymäajan porrastus (50 % kustannusperusteinen / 50 % vos-kriteerit)]])</f>
        <v>1421601.2989869234</v>
      </c>
      <c r="P260" s="112"/>
    </row>
    <row r="261" spans="1:16" s="45" customFormat="1">
      <c r="A261" s="239">
        <v>848</v>
      </c>
      <c r="B261" s="239" t="s">
        <v>269</v>
      </c>
      <c r="C261" s="326">
        <v>-4025.34</v>
      </c>
      <c r="D261" s="121">
        <v>-7278.14</v>
      </c>
      <c r="E261" s="121">
        <v>-4025.34</v>
      </c>
      <c r="F261" s="121">
        <v>-40.660000000000004</v>
      </c>
      <c r="G261" s="121">
        <v>-83353</v>
      </c>
      <c r="H261" s="121">
        <v>-110109.36</v>
      </c>
      <c r="I261" s="121">
        <v>38291.144048307695</v>
      </c>
      <c r="J261" s="34">
        <v>70352.774591577676</v>
      </c>
      <c r="K261" s="34">
        <v>-121898.68000000001</v>
      </c>
      <c r="L261" s="34">
        <v>-46677.68</v>
      </c>
      <c r="M261" s="484">
        <v>336426.54632570501</v>
      </c>
      <c r="N261" s="484">
        <v>217869.2810212663</v>
      </c>
      <c r="O261" s="251">
        <f>SUM(LisäyksetVähennykset[[#This Row],[Kuntien yhdistymisavustus (-0,99 €/as)]:[TE25: Uudistuksen rahoituksen siirtymäajan porrastus (50 % kustannusperusteinen / 50 % vos-kriteerit)]])</f>
        <v>285531.54598685668</v>
      </c>
      <c r="P261" s="112"/>
    </row>
    <row r="262" spans="1:16" s="45" customFormat="1">
      <c r="A262" s="239">
        <v>849</v>
      </c>
      <c r="B262" s="239" t="s">
        <v>270</v>
      </c>
      <c r="C262" s="326">
        <v>-2820.5099999999998</v>
      </c>
      <c r="D262" s="121">
        <v>-5099.71</v>
      </c>
      <c r="E262" s="121">
        <v>-2820.5099999999998</v>
      </c>
      <c r="F262" s="121">
        <v>-28.490000000000002</v>
      </c>
      <c r="G262" s="121">
        <v>-58404.5</v>
      </c>
      <c r="H262" s="121">
        <v>-84704.93</v>
      </c>
      <c r="I262" s="121">
        <v>699450.09426301043</v>
      </c>
      <c r="J262" s="34">
        <v>80494.296960908337</v>
      </c>
      <c r="K262" s="34">
        <v>-85413.02</v>
      </c>
      <c r="L262" s="34">
        <v>-32706.52</v>
      </c>
      <c r="M262" s="484">
        <v>124786.5122456785</v>
      </c>
      <c r="N262" s="484">
        <v>-3583.3206780920154</v>
      </c>
      <c r="O262" s="251">
        <f>SUM(LisäyksetVähennykset[[#This Row],[Kuntien yhdistymisavustus (-0,99 €/as)]:[TE25: Uudistuksen rahoituksen siirtymäajan porrastus (50 % kustannusperusteinen / 50 % vos-kriteerit)]])</f>
        <v>629149.3927915052</v>
      </c>
      <c r="P262" s="112"/>
    </row>
    <row r="263" spans="1:16" s="45" customFormat="1">
      <c r="A263" s="239">
        <v>850</v>
      </c>
      <c r="B263" s="239" t="s">
        <v>271</v>
      </c>
      <c r="C263" s="326">
        <v>-2344.3200000000002</v>
      </c>
      <c r="D263" s="121">
        <v>-4238.72</v>
      </c>
      <c r="E263" s="121">
        <v>-2344.3200000000002</v>
      </c>
      <c r="F263" s="121">
        <v>-23.68</v>
      </c>
      <c r="G263" s="121">
        <v>-48544</v>
      </c>
      <c r="H263" s="121">
        <v>-50564.78</v>
      </c>
      <c r="I263" s="121">
        <v>254195.90239234566</v>
      </c>
      <c r="J263" s="34">
        <v>185420.22035251072</v>
      </c>
      <c r="K263" s="34">
        <v>-70992.639999999999</v>
      </c>
      <c r="L263" s="34">
        <v>-27184.639999999999</v>
      </c>
      <c r="M263" s="484">
        <v>71337.085225554809</v>
      </c>
      <c r="N263" s="484">
        <v>5504.796839034243</v>
      </c>
      <c r="O263" s="251">
        <f>SUM(LisäyksetVähennykset[[#This Row],[Kuntien yhdistymisavustus (-0,99 €/as)]:[TE25: Uudistuksen rahoituksen siirtymäajan porrastus (50 % kustannusperusteinen / 50 % vos-kriteerit)]])</f>
        <v>310220.90480944538</v>
      </c>
      <c r="P263" s="112"/>
    </row>
    <row r="264" spans="1:16" s="45" customFormat="1">
      <c r="A264" s="239">
        <v>851</v>
      </c>
      <c r="B264" s="239" t="s">
        <v>272</v>
      </c>
      <c r="C264" s="326">
        <v>-20807.82</v>
      </c>
      <c r="D264" s="121">
        <v>-37622.22</v>
      </c>
      <c r="E264" s="121">
        <v>-20807.82</v>
      </c>
      <c r="F264" s="121">
        <v>-210.18</v>
      </c>
      <c r="G264" s="121">
        <v>-430869</v>
      </c>
      <c r="H264" s="121">
        <v>-794664.64</v>
      </c>
      <c r="I264" s="121">
        <v>-3437002.791325904</v>
      </c>
      <c r="J264" s="34">
        <v>-2088009.7089757768</v>
      </c>
      <c r="K264" s="34">
        <v>-630119.64</v>
      </c>
      <c r="L264" s="34">
        <v>-241286.64</v>
      </c>
      <c r="M264" s="484">
        <v>848280.83302312926</v>
      </c>
      <c r="N264" s="484">
        <v>117296.17808754253</v>
      </c>
      <c r="O264" s="251">
        <f>SUM(LisäyksetVähennykset[[#This Row],[Kuntien yhdistymisavustus (-0,99 €/as)]:[TE25: Uudistuksen rahoituksen siirtymäajan porrastus (50 % kustannusperusteinen / 50 % vos-kriteerit)]])</f>
        <v>-6735823.4491910087</v>
      </c>
      <c r="P264" s="112"/>
    </row>
    <row r="265" spans="1:16" s="45" customFormat="1">
      <c r="A265" s="239">
        <v>853</v>
      </c>
      <c r="B265" s="239" t="s">
        <v>273</v>
      </c>
      <c r="C265" s="326">
        <v>-199844.37</v>
      </c>
      <c r="D265" s="121">
        <v>-361334.77</v>
      </c>
      <c r="E265" s="121">
        <v>-199844.37</v>
      </c>
      <c r="F265" s="121">
        <v>-2018.63</v>
      </c>
      <c r="G265" s="121">
        <v>-4138191.5</v>
      </c>
      <c r="H265" s="121">
        <v>-15397360.42</v>
      </c>
      <c r="I265" s="121">
        <v>-21134452.432889041</v>
      </c>
      <c r="J265" s="34">
        <v>-404057.34158495668</v>
      </c>
      <c r="K265" s="34">
        <v>-6051852.7400000002</v>
      </c>
      <c r="L265" s="34">
        <v>-2317387.2400000002</v>
      </c>
      <c r="M265" s="484">
        <v>8199381.0425101593</v>
      </c>
      <c r="N265" s="484">
        <v>918472.42474222369</v>
      </c>
      <c r="O265" s="251">
        <f>SUM(LisäyksetVähennykset[[#This Row],[Kuntien yhdistymisavustus (-0,99 €/as)]:[TE25: Uudistuksen rahoituksen siirtymäajan porrastus (50 % kustannusperusteinen / 50 % vos-kriteerit)]])</f>
        <v>-41088490.34722162</v>
      </c>
      <c r="P265" s="112"/>
    </row>
    <row r="266" spans="1:16" s="45" customFormat="1">
      <c r="A266" s="239">
        <v>854</v>
      </c>
      <c r="B266" s="239" t="s">
        <v>274</v>
      </c>
      <c r="C266" s="326">
        <v>-3220.47</v>
      </c>
      <c r="D266" s="121">
        <v>-5822.87</v>
      </c>
      <c r="E266" s="121">
        <v>-3220.47</v>
      </c>
      <c r="F266" s="121">
        <v>-32.53</v>
      </c>
      <c r="G266" s="121">
        <v>-66686.5</v>
      </c>
      <c r="H266" s="121">
        <v>-75713.25</v>
      </c>
      <c r="I266" s="121">
        <v>-258340.35137623077</v>
      </c>
      <c r="J266" s="34">
        <v>-245629.09392382149</v>
      </c>
      <c r="K266" s="34">
        <v>-97524.94</v>
      </c>
      <c r="L266" s="34">
        <v>-37344.44</v>
      </c>
      <c r="M266" s="484">
        <v>115085.06166224676</v>
      </c>
      <c r="N266" s="484">
        <v>67823.025187331717</v>
      </c>
      <c r="O266" s="251">
        <f>SUM(LisäyksetVähennykset[[#This Row],[Kuntien yhdistymisavustus (-0,99 €/as)]:[TE25: Uudistuksen rahoituksen siirtymäajan porrastus (50 % kustannusperusteinen / 50 % vos-kriteerit)]])</f>
        <v>-610626.82845047372</v>
      </c>
      <c r="P266" s="112"/>
    </row>
    <row r="267" spans="1:16" s="45" customFormat="1">
      <c r="A267" s="239">
        <v>857</v>
      </c>
      <c r="B267" s="239" t="s">
        <v>275</v>
      </c>
      <c r="C267" s="326">
        <v>-2289.87</v>
      </c>
      <c r="D267" s="121">
        <v>-4140.2700000000004</v>
      </c>
      <c r="E267" s="121">
        <v>-2289.87</v>
      </c>
      <c r="F267" s="121">
        <v>-23.13</v>
      </c>
      <c r="G267" s="121">
        <v>-47416.5</v>
      </c>
      <c r="H267" s="121">
        <v>-99054.5</v>
      </c>
      <c r="I267" s="121">
        <v>-1022230.9657185172</v>
      </c>
      <c r="J267" s="34">
        <v>-636304.04745160369</v>
      </c>
      <c r="K267" s="34">
        <v>-69343.740000000005</v>
      </c>
      <c r="L267" s="34">
        <v>-26553.24</v>
      </c>
      <c r="M267" s="484">
        <v>50604.445785028976</v>
      </c>
      <c r="N267" s="484">
        <v>-13178.274335398528</v>
      </c>
      <c r="O267" s="251">
        <f>SUM(LisäyksetVähennykset[[#This Row],[Kuntien yhdistymisavustus (-0,99 €/as)]:[TE25: Uudistuksen rahoituksen siirtymäajan porrastus (50 % kustannusperusteinen / 50 % vos-kriteerit)]])</f>
        <v>-1872219.9617204906</v>
      </c>
      <c r="P267" s="112"/>
    </row>
    <row r="268" spans="1:16" s="45" customFormat="1">
      <c r="A268" s="239">
        <v>858</v>
      </c>
      <c r="B268" s="239" t="s">
        <v>276</v>
      </c>
      <c r="C268" s="326">
        <v>-40924.620000000003</v>
      </c>
      <c r="D268" s="121">
        <v>-73995.02</v>
      </c>
      <c r="E268" s="121">
        <v>-40924.620000000003</v>
      </c>
      <c r="F268" s="121">
        <v>-413.38</v>
      </c>
      <c r="G268" s="121">
        <v>-847429</v>
      </c>
      <c r="H268" s="121">
        <v>-1508417.77</v>
      </c>
      <c r="I268" s="121">
        <v>6582324.6886532791</v>
      </c>
      <c r="J268" s="34">
        <v>2085166.161144851</v>
      </c>
      <c r="K268" s="34">
        <v>-1239313.24</v>
      </c>
      <c r="L268" s="34">
        <v>-474560.24</v>
      </c>
      <c r="M268" s="484">
        <v>817808.97040225379</v>
      </c>
      <c r="N268" s="484">
        <v>-461283.57961795107</v>
      </c>
      <c r="O268" s="251">
        <f>SUM(LisäyksetVähennykset[[#This Row],[Kuntien yhdistymisavustus (-0,99 €/as)]:[TE25: Uudistuksen rahoituksen siirtymäajan porrastus (50 % kustannusperusteinen / 50 % vos-kriteerit)]])</f>
        <v>4798038.350582432</v>
      </c>
      <c r="P268" s="112"/>
    </row>
    <row r="269" spans="1:16" s="45" customFormat="1">
      <c r="A269" s="239">
        <v>859</v>
      </c>
      <c r="B269" s="239" t="s">
        <v>277</v>
      </c>
      <c r="C269" s="326">
        <v>-6459.75</v>
      </c>
      <c r="D269" s="121">
        <v>-11679.75</v>
      </c>
      <c r="E269" s="121">
        <v>-6459.75</v>
      </c>
      <c r="F269" s="121">
        <v>-65.25</v>
      </c>
      <c r="G269" s="121">
        <v>-133762.5</v>
      </c>
      <c r="H269" s="121">
        <v>-112094.99</v>
      </c>
      <c r="I269" s="121">
        <v>-1586681.3789111814</v>
      </c>
      <c r="J269" s="34">
        <v>-1660542.8651455445</v>
      </c>
      <c r="K269" s="34">
        <v>-195619.5</v>
      </c>
      <c r="L269" s="34">
        <v>-74907</v>
      </c>
      <c r="M269" s="484">
        <v>160187.735593911</v>
      </c>
      <c r="N269" s="484">
        <v>-19854.243701879837</v>
      </c>
      <c r="O269" s="251">
        <f>SUM(LisäyksetVähennykset[[#This Row],[Kuntien yhdistymisavustus (-0,99 €/as)]:[TE25: Uudistuksen rahoituksen siirtymäajan porrastus (50 % kustannusperusteinen / 50 % vos-kriteerit)]])</f>
        <v>-3647939.2421646952</v>
      </c>
      <c r="P269" s="112"/>
    </row>
    <row r="270" spans="1:16" s="45" customFormat="1">
      <c r="A270" s="239">
        <v>886</v>
      </c>
      <c r="B270" s="239" t="s">
        <v>278</v>
      </c>
      <c r="C270" s="326">
        <v>-12407.67</v>
      </c>
      <c r="D270" s="121">
        <v>-22434.07</v>
      </c>
      <c r="E270" s="121">
        <v>-12407.67</v>
      </c>
      <c r="F270" s="121">
        <v>-125.33</v>
      </c>
      <c r="G270" s="121">
        <v>-256926.5</v>
      </c>
      <c r="H270" s="121">
        <v>-400097.7</v>
      </c>
      <c r="I270" s="121">
        <v>-566700.24027050578</v>
      </c>
      <c r="J270" s="34">
        <v>-554841.34852620016</v>
      </c>
      <c r="K270" s="34">
        <v>-375739.34</v>
      </c>
      <c r="L270" s="34">
        <v>-143878.84</v>
      </c>
      <c r="M270" s="484">
        <v>471578.77823340788</v>
      </c>
      <c r="N270" s="484">
        <v>-75397.772095375927</v>
      </c>
      <c r="O270" s="251">
        <f>SUM(LisäyksetVähennykset[[#This Row],[Kuntien yhdistymisavustus (-0,99 €/as)]:[TE25: Uudistuksen rahoituksen siirtymäajan porrastus (50 % kustannusperusteinen / 50 % vos-kriteerit)]])</f>
        <v>-1949377.7026586735</v>
      </c>
      <c r="P270" s="112"/>
    </row>
    <row r="271" spans="1:16" s="45" customFormat="1">
      <c r="A271" s="239">
        <v>887</v>
      </c>
      <c r="B271" s="239" t="s">
        <v>279</v>
      </c>
      <c r="C271" s="326">
        <v>-4522.32</v>
      </c>
      <c r="D271" s="121">
        <v>-8176.72</v>
      </c>
      <c r="E271" s="121">
        <v>-4522.32</v>
      </c>
      <c r="F271" s="121">
        <v>-45.68</v>
      </c>
      <c r="G271" s="121">
        <v>-93644</v>
      </c>
      <c r="H271" s="121">
        <v>-202931.77</v>
      </c>
      <c r="I271" s="121">
        <v>-584514.75388125516</v>
      </c>
      <c r="J271" s="34">
        <v>-202793.84707857147</v>
      </c>
      <c r="K271" s="34">
        <v>-136948.64000000001</v>
      </c>
      <c r="L271" s="34">
        <v>-52440.639999999999</v>
      </c>
      <c r="M271" s="484">
        <v>453127.65363271011</v>
      </c>
      <c r="N271" s="484">
        <v>23501.118571676401</v>
      </c>
      <c r="O271" s="251">
        <f>SUM(LisäyksetVähennykset[[#This Row],[Kuntien yhdistymisavustus (-0,99 €/as)]:[TE25: Uudistuksen rahoituksen siirtymäajan porrastus (50 % kustannusperusteinen / 50 % vos-kriteerit)]])</f>
        <v>-813911.91875544027</v>
      </c>
      <c r="P271" s="112"/>
    </row>
    <row r="272" spans="1:16" s="45" customFormat="1">
      <c r="A272" s="239">
        <v>889</v>
      </c>
      <c r="B272" s="239" t="s">
        <v>280</v>
      </c>
      <c r="C272" s="326">
        <v>-2466.09</v>
      </c>
      <c r="D272" s="121">
        <v>-4458.8900000000003</v>
      </c>
      <c r="E272" s="121">
        <v>-2466.09</v>
      </c>
      <c r="F272" s="121">
        <v>-24.91</v>
      </c>
      <c r="G272" s="121">
        <v>-51065.5</v>
      </c>
      <c r="H272" s="121">
        <v>-46498.43</v>
      </c>
      <c r="I272" s="121">
        <v>1056890.4771927751</v>
      </c>
      <c r="J272" s="34">
        <v>314191.794189287</v>
      </c>
      <c r="K272" s="34">
        <v>-74680.180000000008</v>
      </c>
      <c r="L272" s="34">
        <v>-28596.68</v>
      </c>
      <c r="M272" s="484">
        <v>111564.88392448131</v>
      </c>
      <c r="N272" s="484">
        <v>19978.492924020931</v>
      </c>
      <c r="O272" s="251">
        <f>SUM(LisäyksetVähennykset[[#This Row],[Kuntien yhdistymisavustus (-0,99 €/as)]:[TE25: Uudistuksen rahoituksen siirtymäajan porrastus (50 % kustannusperusteinen / 50 % vos-kriteerit)]])</f>
        <v>1292368.8782305643</v>
      </c>
      <c r="P272" s="112"/>
    </row>
    <row r="273" spans="1:16" s="45" customFormat="1">
      <c r="A273" s="239">
        <v>890</v>
      </c>
      <c r="B273" s="239" t="s">
        <v>281</v>
      </c>
      <c r="C273" s="326">
        <v>-1127.6099999999999</v>
      </c>
      <c r="D273" s="121">
        <v>-2038.81</v>
      </c>
      <c r="E273" s="121">
        <v>-1127.6099999999999</v>
      </c>
      <c r="F273" s="121">
        <v>-11.39</v>
      </c>
      <c r="G273" s="121">
        <v>-23349.5</v>
      </c>
      <c r="H273" s="121">
        <v>-27466.49</v>
      </c>
      <c r="I273" s="121">
        <v>-40856.341757125891</v>
      </c>
      <c r="J273" s="34">
        <v>427106.43509563553</v>
      </c>
      <c r="K273" s="34">
        <v>-34147.22</v>
      </c>
      <c r="L273" s="34">
        <v>-13075.720000000001</v>
      </c>
      <c r="M273" s="484">
        <v>23437.960974083602</v>
      </c>
      <c r="N273" s="484">
        <v>-14813.349615112726</v>
      </c>
      <c r="O273" s="251">
        <f>SUM(LisäyksetVähennykset[[#This Row],[Kuntien yhdistymisavustus (-0,99 €/as)]:[TE25: Uudistuksen rahoituksen siirtymäajan porrastus (50 % kustannusperusteinen / 50 % vos-kriteerit)]])</f>
        <v>292530.35469748062</v>
      </c>
      <c r="P273" s="112"/>
    </row>
    <row r="274" spans="1:16" s="45" customFormat="1">
      <c r="A274" s="239">
        <v>892</v>
      </c>
      <c r="B274" s="239" t="s">
        <v>282</v>
      </c>
      <c r="C274" s="326">
        <v>-3578.85</v>
      </c>
      <c r="D274" s="121">
        <v>-6470.85</v>
      </c>
      <c r="E274" s="121">
        <v>-3578.85</v>
      </c>
      <c r="F274" s="121">
        <v>-36.15</v>
      </c>
      <c r="G274" s="121">
        <v>-74107.5</v>
      </c>
      <c r="H274" s="121">
        <v>-74851.62</v>
      </c>
      <c r="I274" s="121">
        <v>508333.85078588972</v>
      </c>
      <c r="J274" s="34">
        <v>85918.676658702519</v>
      </c>
      <c r="K274" s="34">
        <v>-108377.7</v>
      </c>
      <c r="L274" s="34">
        <v>-41500.200000000004</v>
      </c>
      <c r="M274" s="484">
        <v>170256.092341804</v>
      </c>
      <c r="N274" s="484">
        <v>-24864.566695580783</v>
      </c>
      <c r="O274" s="251">
        <f>SUM(LisäyksetVähennykset[[#This Row],[Kuntien yhdistymisavustus (-0,99 €/as)]:[TE25: Uudistuksen rahoituksen siirtymäajan porrastus (50 % kustannusperusteinen / 50 % vos-kriteerit)]])</f>
        <v>427142.33309081546</v>
      </c>
      <c r="P274" s="112"/>
    </row>
    <row r="275" spans="1:16" s="45" customFormat="1">
      <c r="A275" s="239">
        <v>893</v>
      </c>
      <c r="B275" s="239" t="s">
        <v>283</v>
      </c>
      <c r="C275" s="326">
        <v>-7425</v>
      </c>
      <c r="D275" s="121">
        <v>-13425</v>
      </c>
      <c r="E275" s="121">
        <v>-7425</v>
      </c>
      <c r="F275" s="121">
        <v>-75</v>
      </c>
      <c r="G275" s="121">
        <v>-153750</v>
      </c>
      <c r="H275" s="121">
        <v>-146434.4</v>
      </c>
      <c r="I275" s="121">
        <v>-485579.53028233338</v>
      </c>
      <c r="J275" s="34">
        <v>-15178.182300871997</v>
      </c>
      <c r="K275" s="34">
        <v>-224850</v>
      </c>
      <c r="L275" s="34">
        <v>-86100</v>
      </c>
      <c r="M275" s="484">
        <v>277877.13168577017</v>
      </c>
      <c r="N275" s="484">
        <v>-68691.741343785747</v>
      </c>
      <c r="O275" s="251">
        <f>SUM(LisäyksetVähennykset[[#This Row],[Kuntien yhdistymisavustus (-0,99 €/as)]:[TE25: Uudistuksen rahoituksen siirtymäajan porrastus (50 % kustannusperusteinen / 50 % vos-kriteerit)]])</f>
        <v>-931056.72224122123</v>
      </c>
      <c r="P275" s="112"/>
    </row>
    <row r="276" spans="1:16" s="45" customFormat="1">
      <c r="A276" s="239">
        <v>895</v>
      </c>
      <c r="B276" s="239" t="s">
        <v>284</v>
      </c>
      <c r="C276" s="326">
        <v>-14788.619999999999</v>
      </c>
      <c r="D276" s="121">
        <v>-26739.02</v>
      </c>
      <c r="E276" s="121">
        <v>-14788.619999999999</v>
      </c>
      <c r="F276" s="121">
        <v>-149.38</v>
      </c>
      <c r="G276" s="121">
        <v>-306229</v>
      </c>
      <c r="H276" s="121">
        <v>-475801.5</v>
      </c>
      <c r="I276" s="121">
        <v>678745.99915357633</v>
      </c>
      <c r="J276" s="34">
        <v>879496.10426756344</v>
      </c>
      <c r="K276" s="34">
        <v>-447841.24</v>
      </c>
      <c r="L276" s="34">
        <v>-171488.24000000002</v>
      </c>
      <c r="M276" s="484">
        <v>863279.94855961599</v>
      </c>
      <c r="N276" s="484">
        <v>102123.25529622147</v>
      </c>
      <c r="O276" s="251">
        <f>SUM(LisäyksetVähennykset[[#This Row],[Kuntien yhdistymisavustus (-0,99 €/as)]:[TE25: Uudistuksen rahoituksen siirtymäajan porrastus (50 % kustannusperusteinen / 50 % vos-kriteerit)]])</f>
        <v>1065819.6872769771</v>
      </c>
      <c r="P276" s="112"/>
    </row>
    <row r="277" spans="1:16" s="45" customFormat="1">
      <c r="A277" s="239">
        <v>905</v>
      </c>
      <c r="B277" s="239" t="s">
        <v>285</v>
      </c>
      <c r="C277" s="326">
        <v>-68266.44</v>
      </c>
      <c r="D277" s="121">
        <v>-123431.24</v>
      </c>
      <c r="E277" s="121">
        <v>-68266.44</v>
      </c>
      <c r="F277" s="121">
        <v>-689.56000000000006</v>
      </c>
      <c r="G277" s="121">
        <v>-1413598</v>
      </c>
      <c r="H277" s="121">
        <v>-3866533.14</v>
      </c>
      <c r="I277" s="121">
        <v>-14660741.097493727</v>
      </c>
      <c r="J277" s="34">
        <v>-5702444.8915645378</v>
      </c>
      <c r="K277" s="34">
        <v>-2067300.8800000001</v>
      </c>
      <c r="L277" s="34">
        <v>-791614.88</v>
      </c>
      <c r="M277" s="484">
        <v>3494124.0174267404</v>
      </c>
      <c r="N277" s="484">
        <v>14848.556315750815</v>
      </c>
      <c r="O277" s="251">
        <f>SUM(LisäyksetVähennykset[[#This Row],[Kuntien yhdistymisavustus (-0,99 €/as)]:[TE25: Uudistuksen rahoituksen siirtymäajan porrastus (50 % kustannusperusteinen / 50 % vos-kriteerit)]])</f>
        <v>-25253913.995315772</v>
      </c>
      <c r="P277" s="112"/>
    </row>
    <row r="278" spans="1:16" s="45" customFormat="1">
      <c r="A278" s="239">
        <v>908</v>
      </c>
      <c r="B278" s="239" t="s">
        <v>286</v>
      </c>
      <c r="C278" s="326">
        <v>-20487.060000000001</v>
      </c>
      <c r="D278" s="121">
        <v>-37042.26</v>
      </c>
      <c r="E278" s="121">
        <v>-20487.060000000001</v>
      </c>
      <c r="F278" s="121">
        <v>-206.94</v>
      </c>
      <c r="G278" s="121">
        <v>-424227</v>
      </c>
      <c r="H278" s="121">
        <v>-756609.26</v>
      </c>
      <c r="I278" s="121">
        <v>-2366758.386520341</v>
      </c>
      <c r="J278" s="34">
        <v>-702072.82387238229</v>
      </c>
      <c r="K278" s="34">
        <v>-620406.12</v>
      </c>
      <c r="L278" s="34">
        <v>-237567.12</v>
      </c>
      <c r="M278" s="484">
        <v>1147290.5997017133</v>
      </c>
      <c r="N278" s="484">
        <v>-86477.407982292469</v>
      </c>
      <c r="O278" s="251">
        <f>SUM(LisäyksetVähennykset[[#This Row],[Kuntien yhdistymisavustus (-0,99 €/as)]:[TE25: Uudistuksen rahoituksen siirtymäajan porrastus (50 % kustannusperusteinen / 50 % vos-kriteerit)]])</f>
        <v>-4125050.8386733024</v>
      </c>
      <c r="P278" s="112"/>
    </row>
    <row r="279" spans="1:16" s="45" customFormat="1">
      <c r="A279" s="239">
        <v>915</v>
      </c>
      <c r="B279" s="239" t="s">
        <v>287</v>
      </c>
      <c r="C279" s="326">
        <v>-19529.73</v>
      </c>
      <c r="D279" s="121">
        <v>-35311.33</v>
      </c>
      <c r="E279" s="121">
        <v>-19529.73</v>
      </c>
      <c r="F279" s="121">
        <v>-197.27</v>
      </c>
      <c r="G279" s="121">
        <v>-404403.5</v>
      </c>
      <c r="H279" s="121">
        <v>-1235563.3999999999</v>
      </c>
      <c r="I279" s="121">
        <v>-283286.14605132048</v>
      </c>
      <c r="J279" s="34">
        <v>-40342.440689121569</v>
      </c>
      <c r="K279" s="34">
        <v>-591415.46</v>
      </c>
      <c r="L279" s="34">
        <v>-226465.96000000002</v>
      </c>
      <c r="M279" s="484">
        <v>1463530.1649426175</v>
      </c>
      <c r="N279" s="484">
        <v>101247.77397446753</v>
      </c>
      <c r="O279" s="251">
        <f>SUM(LisäyksetVähennykset[[#This Row],[Kuntien yhdistymisavustus (-0,99 €/as)]:[TE25: Uudistuksen rahoituksen siirtymäajan porrastus (50 % kustannusperusteinen / 50 % vos-kriteerit)]])</f>
        <v>-1291267.0278233569</v>
      </c>
      <c r="P279" s="112"/>
    </row>
    <row r="280" spans="1:16" s="45" customFormat="1">
      <c r="A280" s="239">
        <v>918</v>
      </c>
      <c r="B280" s="239" t="s">
        <v>288</v>
      </c>
      <c r="C280" s="326">
        <v>-2222.5500000000002</v>
      </c>
      <c r="D280" s="121">
        <v>-4018.55</v>
      </c>
      <c r="E280" s="121">
        <v>-2222.5500000000002</v>
      </c>
      <c r="F280" s="121">
        <v>-22.45</v>
      </c>
      <c r="G280" s="121">
        <v>-46022.5</v>
      </c>
      <c r="H280" s="121">
        <v>-85604.05</v>
      </c>
      <c r="I280" s="121">
        <v>-17764.273498652965</v>
      </c>
      <c r="J280" s="34">
        <v>-4548.9628956608567</v>
      </c>
      <c r="K280" s="34">
        <v>-67305.100000000006</v>
      </c>
      <c r="L280" s="34">
        <v>-25772.600000000002</v>
      </c>
      <c r="M280" s="484">
        <v>27991.224172728907</v>
      </c>
      <c r="N280" s="484">
        <v>94.009550747694448</v>
      </c>
      <c r="O280" s="251">
        <f>SUM(LisäyksetVähennykset[[#This Row],[Kuntien yhdistymisavustus (-0,99 €/as)]:[TE25: Uudistuksen rahoituksen siirtymäajan porrastus (50 % kustannusperusteinen / 50 % vos-kriteerit)]])</f>
        <v>-227418.35267083725</v>
      </c>
      <c r="P280" s="112"/>
    </row>
    <row r="281" spans="1:16" s="45" customFormat="1">
      <c r="A281" s="239">
        <v>921</v>
      </c>
      <c r="B281" s="239" t="s">
        <v>289</v>
      </c>
      <c r="C281" s="326">
        <v>-1876.05</v>
      </c>
      <c r="D281" s="121">
        <v>-3392.05</v>
      </c>
      <c r="E281" s="121">
        <v>-1876.05</v>
      </c>
      <c r="F281" s="121">
        <v>-18.95</v>
      </c>
      <c r="G281" s="121">
        <v>-38847.5</v>
      </c>
      <c r="H281" s="121">
        <v>-62880.04</v>
      </c>
      <c r="I281" s="121">
        <v>716461.17453074642</v>
      </c>
      <c r="J281" s="34">
        <v>22844.204500811091</v>
      </c>
      <c r="K281" s="34">
        <v>-56812.1</v>
      </c>
      <c r="L281" s="34">
        <v>-21754.600000000002</v>
      </c>
      <c r="M281" s="484">
        <v>82922.864464913539</v>
      </c>
      <c r="N281" s="484">
        <v>14803.918312415204</v>
      </c>
      <c r="O281" s="251">
        <f>SUM(LisäyksetVähennykset[[#This Row],[Kuntien yhdistymisavustus (-0,99 €/as)]:[TE25: Uudistuksen rahoituksen siirtymäajan porrastus (50 % kustannusperusteinen / 50 % vos-kriteerit)]])</f>
        <v>649574.82180888625</v>
      </c>
      <c r="P281" s="112"/>
    </row>
    <row r="282" spans="1:16" s="45" customFormat="1">
      <c r="A282" s="239">
        <v>922</v>
      </c>
      <c r="B282" s="239" t="s">
        <v>290</v>
      </c>
      <c r="C282" s="326">
        <v>-4424.3100000000004</v>
      </c>
      <c r="D282" s="121">
        <v>-7999.51</v>
      </c>
      <c r="E282" s="121">
        <v>-4424.3100000000004</v>
      </c>
      <c r="F282" s="121">
        <v>-44.69</v>
      </c>
      <c r="G282" s="121">
        <v>-91614.5</v>
      </c>
      <c r="H282" s="121">
        <v>-89224.08</v>
      </c>
      <c r="I282" s="121">
        <v>-129757.74247225582</v>
      </c>
      <c r="J282" s="34">
        <v>-105427.7217290064</v>
      </c>
      <c r="K282" s="34">
        <v>-133980.62</v>
      </c>
      <c r="L282" s="34">
        <v>-51304.12</v>
      </c>
      <c r="M282" s="484">
        <v>236212.19863731024</v>
      </c>
      <c r="N282" s="484">
        <v>-36914.504531268525</v>
      </c>
      <c r="O282" s="251">
        <f>SUM(LisäyksetVähennykset[[#This Row],[Kuntien yhdistymisavustus (-0,99 €/as)]:[TE25: Uudistuksen rahoituksen siirtymäajan porrastus (50 % kustannusperusteinen / 50 % vos-kriteerit)]])</f>
        <v>-418903.91009522055</v>
      </c>
      <c r="P282" s="112"/>
    </row>
    <row r="283" spans="1:16" s="45" customFormat="1">
      <c r="A283" s="239">
        <v>924</v>
      </c>
      <c r="B283" s="239" t="s">
        <v>291</v>
      </c>
      <c r="C283" s="326">
        <v>-2906.64</v>
      </c>
      <c r="D283" s="121">
        <v>-5255.4400000000005</v>
      </c>
      <c r="E283" s="121">
        <v>-2906.64</v>
      </c>
      <c r="F283" s="121">
        <v>-29.36</v>
      </c>
      <c r="G283" s="121">
        <v>-60188</v>
      </c>
      <c r="H283" s="121">
        <v>-39846.21</v>
      </c>
      <c r="I283" s="121">
        <v>142262.69591691537</v>
      </c>
      <c r="J283" s="34">
        <v>-68663.188182522063</v>
      </c>
      <c r="K283" s="34">
        <v>-88021.28</v>
      </c>
      <c r="L283" s="34">
        <v>-33705.279999999999</v>
      </c>
      <c r="M283" s="484">
        <v>139165.9581946783</v>
      </c>
      <c r="N283" s="484">
        <v>17259.227947261752</v>
      </c>
      <c r="O283" s="251">
        <f>SUM(LisäyksetVähennykset[[#This Row],[Kuntien yhdistymisavustus (-0,99 €/as)]:[TE25: Uudistuksen rahoituksen siirtymäajan porrastus (50 % kustannusperusteinen / 50 % vos-kriteerit)]])</f>
        <v>-2834.1561236666312</v>
      </c>
      <c r="P283" s="112"/>
    </row>
    <row r="284" spans="1:16" s="45" customFormat="1">
      <c r="A284" s="239">
        <v>925</v>
      </c>
      <c r="B284" s="239" t="s">
        <v>292</v>
      </c>
      <c r="C284" s="326">
        <v>-3353.13</v>
      </c>
      <c r="D284" s="121">
        <v>-6062.7300000000005</v>
      </c>
      <c r="E284" s="121">
        <v>-3353.13</v>
      </c>
      <c r="F284" s="121">
        <v>-33.869999999999997</v>
      </c>
      <c r="G284" s="121">
        <v>-69433.5</v>
      </c>
      <c r="H284" s="121">
        <v>-70964.09</v>
      </c>
      <c r="I284" s="121">
        <v>1247974.7162913063</v>
      </c>
      <c r="J284" s="34">
        <v>819333.04139608517</v>
      </c>
      <c r="K284" s="34">
        <v>-101542.26</v>
      </c>
      <c r="L284" s="34">
        <v>-38882.76</v>
      </c>
      <c r="M284" s="484">
        <v>103230.59683794747</v>
      </c>
      <c r="N284" s="484">
        <v>-17272.668031471738</v>
      </c>
      <c r="O284" s="251">
        <f>SUM(LisäyksetVähennykset[[#This Row],[Kuntien yhdistymisavustus (-0,99 €/as)]:[TE25: Uudistuksen rahoituksen siirtymäajan porrastus (50 % kustannusperusteinen / 50 % vos-kriteerit)]])</f>
        <v>1859640.2164938671</v>
      </c>
      <c r="P284" s="112"/>
    </row>
    <row r="285" spans="1:16" s="45" customFormat="1">
      <c r="A285" s="239">
        <v>927</v>
      </c>
      <c r="B285" s="239" t="s">
        <v>293</v>
      </c>
      <c r="C285" s="326">
        <v>-28522.89</v>
      </c>
      <c r="D285" s="121">
        <v>-51571.69</v>
      </c>
      <c r="E285" s="121">
        <v>-28522.89</v>
      </c>
      <c r="F285" s="121">
        <v>-288.11</v>
      </c>
      <c r="G285" s="121">
        <v>-590625.5</v>
      </c>
      <c r="H285" s="121">
        <v>-1488434.93</v>
      </c>
      <c r="I285" s="121">
        <v>1377674.5288266833</v>
      </c>
      <c r="J285" s="34">
        <v>750093.00870650064</v>
      </c>
      <c r="K285" s="34">
        <v>-863753.78</v>
      </c>
      <c r="L285" s="34">
        <v>-330750.28000000003</v>
      </c>
      <c r="M285" s="484">
        <v>947029.93438190152</v>
      </c>
      <c r="N285" s="484">
        <v>-211584.16643352201</v>
      </c>
      <c r="O285" s="251">
        <f>SUM(LisäyksetVähennykset[[#This Row],[Kuntien yhdistymisavustus (-0,99 €/as)]:[TE25: Uudistuksen rahoituksen siirtymäajan porrastus (50 % kustannusperusteinen / 50 % vos-kriteerit)]])</f>
        <v>-519256.76451843628</v>
      </c>
      <c r="P285" s="112"/>
    </row>
    <row r="286" spans="1:16" s="45" customFormat="1">
      <c r="A286" s="239">
        <v>931</v>
      </c>
      <c r="B286" s="239" t="s">
        <v>294</v>
      </c>
      <c r="C286" s="326">
        <v>-5818.23</v>
      </c>
      <c r="D286" s="121">
        <v>-10519.83</v>
      </c>
      <c r="E286" s="121">
        <v>-5818.23</v>
      </c>
      <c r="F286" s="121">
        <v>-58.77</v>
      </c>
      <c r="G286" s="121">
        <v>-120478.5</v>
      </c>
      <c r="H286" s="121">
        <v>-278326.21999999997</v>
      </c>
      <c r="I286" s="121">
        <v>2423456.0997318863</v>
      </c>
      <c r="J286" s="34">
        <v>1489010.5662051407</v>
      </c>
      <c r="K286" s="34">
        <v>-176192.46</v>
      </c>
      <c r="L286" s="34">
        <v>-67467.960000000006</v>
      </c>
      <c r="M286" s="484">
        <v>225607.00530776998</v>
      </c>
      <c r="N286" s="484">
        <v>46485.835221468355</v>
      </c>
      <c r="O286" s="251">
        <f>SUM(LisäyksetVähennykset[[#This Row],[Kuntien yhdistymisavustus (-0,99 €/as)]:[TE25: Uudistuksen rahoituksen siirtymäajan porrastus (50 % kustannusperusteinen / 50 % vos-kriteerit)]])</f>
        <v>3519879.3064662651</v>
      </c>
      <c r="P286" s="112"/>
    </row>
    <row r="287" spans="1:16" s="45" customFormat="1">
      <c r="A287" s="239">
        <v>934</v>
      </c>
      <c r="B287" s="239" t="s">
        <v>295</v>
      </c>
      <c r="C287" s="326">
        <v>-2629.44</v>
      </c>
      <c r="D287" s="121">
        <v>-4754.24</v>
      </c>
      <c r="E287" s="121">
        <v>-2629.44</v>
      </c>
      <c r="F287" s="121">
        <v>-26.560000000000002</v>
      </c>
      <c r="G287" s="121">
        <v>-54448</v>
      </c>
      <c r="H287" s="121">
        <v>-60893.26</v>
      </c>
      <c r="I287" s="121">
        <v>387817.17312497686</v>
      </c>
      <c r="J287" s="34">
        <v>-5453.446990264878</v>
      </c>
      <c r="K287" s="34">
        <v>-79626.880000000005</v>
      </c>
      <c r="L287" s="34">
        <v>-30490.880000000001</v>
      </c>
      <c r="M287" s="484">
        <v>63438.521688261397</v>
      </c>
      <c r="N287" s="484">
        <v>12544.838340737319</v>
      </c>
      <c r="O287" s="251">
        <f>SUM(LisäyksetVähennykset[[#This Row],[Kuntien yhdistymisavustus (-0,99 €/as)]:[TE25: Uudistuksen rahoituksen siirtymäajan porrastus (50 % kustannusperusteinen / 50 % vos-kriteerit)]])</f>
        <v>222848.38616371067</v>
      </c>
      <c r="P287" s="112"/>
    </row>
    <row r="288" spans="1:16" s="45" customFormat="1">
      <c r="A288" s="239">
        <v>935</v>
      </c>
      <c r="B288" s="239" t="s">
        <v>296</v>
      </c>
      <c r="C288" s="326">
        <v>-2897.73</v>
      </c>
      <c r="D288" s="121">
        <v>-5239.33</v>
      </c>
      <c r="E288" s="121">
        <v>-2897.73</v>
      </c>
      <c r="F288" s="121">
        <v>-29.27</v>
      </c>
      <c r="G288" s="121">
        <v>-60003.5</v>
      </c>
      <c r="H288" s="121">
        <v>-103422.33</v>
      </c>
      <c r="I288" s="121">
        <v>51133.37343081351</v>
      </c>
      <c r="J288" s="34">
        <v>66638.102405782192</v>
      </c>
      <c r="K288" s="34">
        <v>-87751.46</v>
      </c>
      <c r="L288" s="34">
        <v>-33601.96</v>
      </c>
      <c r="M288" s="484">
        <v>151115.48268915692</v>
      </c>
      <c r="N288" s="484">
        <v>34923.721866196167</v>
      </c>
      <c r="O288" s="251">
        <f>SUM(LisäyksetVähennykset[[#This Row],[Kuntien yhdistymisavustus (-0,99 €/as)]:[TE25: Uudistuksen rahoituksen siirtymäajan porrastus (50 % kustannusperusteinen / 50 % vos-kriteerit)]])</f>
        <v>7967.3703919487889</v>
      </c>
      <c r="P288" s="112"/>
    </row>
    <row r="289" spans="1:16" s="45" customFormat="1">
      <c r="A289" s="239">
        <v>936</v>
      </c>
      <c r="B289" s="239" t="s">
        <v>297</v>
      </c>
      <c r="C289" s="326">
        <v>-6212.25</v>
      </c>
      <c r="D289" s="121">
        <v>-11232.25</v>
      </c>
      <c r="E289" s="121">
        <v>-6212.25</v>
      </c>
      <c r="F289" s="121">
        <v>-62.75</v>
      </c>
      <c r="G289" s="121">
        <v>-128637.5</v>
      </c>
      <c r="H289" s="121">
        <v>-195865.12</v>
      </c>
      <c r="I289" s="121">
        <v>2013081.7288322644</v>
      </c>
      <c r="J289" s="34">
        <v>788662.76189691154</v>
      </c>
      <c r="K289" s="34">
        <v>-188124.5</v>
      </c>
      <c r="L289" s="34">
        <v>-72037</v>
      </c>
      <c r="M289" s="484">
        <v>248642.81072485005</v>
      </c>
      <c r="N289" s="484">
        <v>6279.95228039418</v>
      </c>
      <c r="O289" s="251">
        <f>SUM(LisäyksetVähennykset[[#This Row],[Kuntien yhdistymisavustus (-0,99 €/as)]:[TE25: Uudistuksen rahoituksen siirtymäajan porrastus (50 % kustannusperusteinen / 50 % vos-kriteerit)]])</f>
        <v>2448283.6337344204</v>
      </c>
      <c r="P289" s="112"/>
    </row>
    <row r="290" spans="1:16" s="45" customFormat="1">
      <c r="A290" s="239">
        <v>946</v>
      </c>
      <c r="B290" s="239" t="s">
        <v>298</v>
      </c>
      <c r="C290" s="326">
        <v>-6228.09</v>
      </c>
      <c r="D290" s="121">
        <v>-11260.89</v>
      </c>
      <c r="E290" s="121">
        <v>-6228.09</v>
      </c>
      <c r="F290" s="121">
        <v>-62.910000000000004</v>
      </c>
      <c r="G290" s="121">
        <v>-128965.5</v>
      </c>
      <c r="H290" s="121">
        <v>-86366.77</v>
      </c>
      <c r="I290" s="121">
        <v>-143352.98486907966</v>
      </c>
      <c r="J290" s="34">
        <v>-12836.323934030434</v>
      </c>
      <c r="K290" s="34">
        <v>-188604.18</v>
      </c>
      <c r="L290" s="34">
        <v>-72220.680000000008</v>
      </c>
      <c r="M290" s="484">
        <v>203622.59700878945</v>
      </c>
      <c r="N290" s="484">
        <v>-72683.516269917571</v>
      </c>
      <c r="O290" s="251">
        <f>SUM(LisäyksetVähennykset[[#This Row],[Kuntien yhdistymisavustus (-0,99 €/as)]:[TE25: Uudistuksen rahoituksen siirtymäajan porrastus (50 % kustannusperusteinen / 50 % vos-kriteerit)]])</f>
        <v>-525187.33806423831</v>
      </c>
      <c r="P290" s="112"/>
    </row>
    <row r="291" spans="1:16" s="45" customFormat="1">
      <c r="A291" s="239">
        <v>976</v>
      </c>
      <c r="B291" s="239" t="s">
        <v>299</v>
      </c>
      <c r="C291" s="326">
        <v>-3727.35</v>
      </c>
      <c r="D291" s="121">
        <v>-6739.35</v>
      </c>
      <c r="E291" s="121">
        <v>-3727.35</v>
      </c>
      <c r="F291" s="121">
        <v>-37.65</v>
      </c>
      <c r="G291" s="121">
        <v>-77182.5</v>
      </c>
      <c r="H291" s="121">
        <v>-108337.78</v>
      </c>
      <c r="I291" s="121">
        <v>-127900.7688860496</v>
      </c>
      <c r="J291" s="34">
        <v>-88082.222204860518</v>
      </c>
      <c r="K291" s="34">
        <v>-112874.7</v>
      </c>
      <c r="L291" s="34">
        <v>-43222.200000000004</v>
      </c>
      <c r="M291" s="484">
        <v>188751.6755361323</v>
      </c>
      <c r="N291" s="484">
        <v>93255.027712579089</v>
      </c>
      <c r="O291" s="251">
        <f>SUM(LisäyksetVähennykset[[#This Row],[Kuntien yhdistymisavustus (-0,99 €/as)]:[TE25: Uudistuksen rahoituksen siirtymäajan porrastus (50 % kustannusperusteinen / 50 % vos-kriteerit)]])</f>
        <v>-289825.16784219863</v>
      </c>
      <c r="P291" s="112"/>
    </row>
    <row r="292" spans="1:16" s="45" customFormat="1">
      <c r="A292" s="239">
        <v>977</v>
      </c>
      <c r="B292" s="239" t="s">
        <v>300</v>
      </c>
      <c r="C292" s="326">
        <v>-15215.31</v>
      </c>
      <c r="D292" s="121">
        <v>-27510.510000000002</v>
      </c>
      <c r="E292" s="121">
        <v>-15215.31</v>
      </c>
      <c r="F292" s="121">
        <v>-153.69</v>
      </c>
      <c r="G292" s="121">
        <v>-315064.5</v>
      </c>
      <c r="H292" s="121">
        <v>-510612.1</v>
      </c>
      <c r="I292" s="121">
        <v>-576692.41300287575</v>
      </c>
      <c r="J292" s="34">
        <v>-395478.66085422336</v>
      </c>
      <c r="K292" s="34">
        <v>-460762.62</v>
      </c>
      <c r="L292" s="34">
        <v>-176436.12</v>
      </c>
      <c r="M292" s="484">
        <v>478610.95433419303</v>
      </c>
      <c r="N292" s="484">
        <v>-140684.23308164533</v>
      </c>
      <c r="O292" s="251">
        <f>SUM(LisäyksetVähennykset[[#This Row],[Kuntien yhdistymisavustus (-0,99 €/as)]:[TE25: Uudistuksen rahoituksen siirtymäajan porrastus (50 % kustannusperusteinen / 50 % vos-kriteerit)]])</f>
        <v>-2155214.5126045514</v>
      </c>
      <c r="P292" s="112"/>
    </row>
    <row r="293" spans="1:16" s="45" customFormat="1">
      <c r="A293" s="239">
        <v>980</v>
      </c>
      <c r="B293" s="239" t="s">
        <v>301</v>
      </c>
      <c r="C293" s="326">
        <v>-33340.230000000003</v>
      </c>
      <c r="D293" s="121">
        <v>-60281.83</v>
      </c>
      <c r="E293" s="121">
        <v>-33340.230000000003</v>
      </c>
      <c r="F293" s="121">
        <v>-336.77</v>
      </c>
      <c r="G293" s="121">
        <v>-690378.5</v>
      </c>
      <c r="H293" s="121">
        <v>-1071027.58</v>
      </c>
      <c r="I293" s="121">
        <v>333869.35435929714</v>
      </c>
      <c r="J293" s="34">
        <v>-68616.245975975937</v>
      </c>
      <c r="K293" s="34">
        <v>-1009636.46</v>
      </c>
      <c r="L293" s="34">
        <v>-386611.96</v>
      </c>
      <c r="M293" s="484">
        <v>1154053.68178936</v>
      </c>
      <c r="N293" s="484">
        <v>8255.5273907517549</v>
      </c>
      <c r="O293" s="251">
        <f>SUM(LisäyksetVähennykset[[#This Row],[Kuntien yhdistymisavustus (-0,99 €/as)]:[TE25: Uudistuksen rahoituksen siirtymäajan porrastus (50 % kustannusperusteinen / 50 % vos-kriteerit)]])</f>
        <v>-1857391.2424365671</v>
      </c>
      <c r="P293" s="112"/>
    </row>
    <row r="294" spans="1:16" s="45" customFormat="1">
      <c r="A294" s="239">
        <v>981</v>
      </c>
      <c r="B294" s="239" t="s">
        <v>302</v>
      </c>
      <c r="C294" s="326">
        <v>-2184.9299999999998</v>
      </c>
      <c r="D294" s="121">
        <v>-3950.53</v>
      </c>
      <c r="E294" s="121">
        <v>-2184.9299999999998</v>
      </c>
      <c r="F294" s="121">
        <v>-22.07</v>
      </c>
      <c r="G294" s="121">
        <v>-45243.5</v>
      </c>
      <c r="H294" s="121">
        <v>-61330.42</v>
      </c>
      <c r="I294" s="121">
        <v>660669.82322699786</v>
      </c>
      <c r="J294" s="34">
        <v>286380.70420316624</v>
      </c>
      <c r="K294" s="34">
        <v>-66165.86</v>
      </c>
      <c r="L294" s="34">
        <v>-25336.36</v>
      </c>
      <c r="M294" s="484">
        <v>135696.79524591466</v>
      </c>
      <c r="N294" s="484">
        <v>-5555.6085235807113</v>
      </c>
      <c r="O294" s="251">
        <f>SUM(LisäyksetVähennykset[[#This Row],[Kuntien yhdistymisavustus (-0,99 €/as)]:[TE25: Uudistuksen rahoituksen siirtymäajan porrastus (50 % kustannusperusteinen / 50 % vos-kriteerit)]])</f>
        <v>870773.11415249808</v>
      </c>
      <c r="P294" s="112"/>
    </row>
    <row r="295" spans="1:16" s="45" customFormat="1">
      <c r="A295" s="239">
        <v>989</v>
      </c>
      <c r="B295" s="239" t="s">
        <v>303</v>
      </c>
      <c r="C295" s="326">
        <v>-5262.84</v>
      </c>
      <c r="D295" s="121">
        <v>-9515.64</v>
      </c>
      <c r="E295" s="121">
        <v>-5262.84</v>
      </c>
      <c r="F295" s="121">
        <v>-53.160000000000004</v>
      </c>
      <c r="G295" s="121">
        <v>-108978</v>
      </c>
      <c r="H295" s="121">
        <v>-165705.98000000001</v>
      </c>
      <c r="I295" s="121">
        <v>-955924.69870101451</v>
      </c>
      <c r="J295" s="34">
        <v>-454161.09319828858</v>
      </c>
      <c r="K295" s="34">
        <v>-159373.68</v>
      </c>
      <c r="L295" s="34">
        <v>-61027.68</v>
      </c>
      <c r="M295" s="484">
        <v>205006.83251165878</v>
      </c>
      <c r="N295" s="484">
        <v>32655.564114848152</v>
      </c>
      <c r="O295" s="251">
        <f>SUM(LisäyksetVähennykset[[#This Row],[Kuntien yhdistymisavustus (-0,99 €/as)]:[TE25: Uudistuksen rahoituksen siirtymäajan porrastus (50 % kustannusperusteinen / 50 % vos-kriteerit)]])</f>
        <v>-1687603.2152727959</v>
      </c>
      <c r="P295" s="112"/>
    </row>
    <row r="296" spans="1:16" s="45" customFormat="1">
      <c r="A296" s="239">
        <v>992</v>
      </c>
      <c r="B296" s="239" t="s">
        <v>304</v>
      </c>
      <c r="C296" s="326">
        <v>-17791.29</v>
      </c>
      <c r="D296" s="121">
        <v>-32168.09</v>
      </c>
      <c r="E296" s="121">
        <v>-17791.29</v>
      </c>
      <c r="F296" s="121">
        <v>-179.71</v>
      </c>
      <c r="G296" s="121">
        <v>-368405.5</v>
      </c>
      <c r="H296" s="121">
        <v>-967558.37</v>
      </c>
      <c r="I296" s="121">
        <v>-217370.51605603099</v>
      </c>
      <c r="J296" s="34">
        <v>306283.6867723646</v>
      </c>
      <c r="K296" s="34">
        <v>-538770.57999999996</v>
      </c>
      <c r="L296" s="34">
        <v>-206307.08000000002</v>
      </c>
      <c r="M296" s="484">
        <v>1316622.2153600371</v>
      </c>
      <c r="N296" s="484">
        <v>190733.74390837236</v>
      </c>
      <c r="O296" s="251">
        <f>SUM(LisäyksetVähennykset[[#This Row],[Kuntien yhdistymisavustus (-0,99 €/as)]:[TE25: Uudistuksen rahoituksen siirtymäajan porrastus (50 % kustannusperusteinen / 50 % vos-kriteerit)]])</f>
        <v>-552702.78001525707</v>
      </c>
      <c r="P296" s="112"/>
    </row>
    <row r="312" spans="1:15">
      <c r="A312" s="244"/>
      <c r="B312" s="245"/>
      <c r="C312" s="245"/>
      <c r="D312" s="41"/>
      <c r="E312" s="41"/>
      <c r="F312" s="41"/>
      <c r="G312" s="38"/>
      <c r="H312" s="38"/>
      <c r="I312" s="41"/>
      <c r="J312" s="41"/>
      <c r="K312" s="41"/>
      <c r="L312" s="41"/>
      <c r="M312" s="41"/>
      <c r="N312" s="41"/>
      <c r="O312" s="249"/>
    </row>
    <row r="313" spans="1:15">
      <c r="A313" s="244"/>
      <c r="B313" s="245"/>
      <c r="C313" s="245"/>
      <c r="D313" s="41"/>
      <c r="E313" s="41"/>
      <c r="F313" s="41"/>
      <c r="G313" s="38"/>
      <c r="H313" s="38"/>
      <c r="I313" s="41"/>
      <c r="J313" s="41"/>
      <c r="K313" s="41"/>
      <c r="L313" s="41"/>
      <c r="M313" s="41"/>
      <c r="N313" s="41"/>
      <c r="O313" s="249"/>
    </row>
    <row r="314" spans="1:15">
      <c r="A314" s="244"/>
      <c r="B314" s="245"/>
      <c r="C314" s="245"/>
      <c r="D314" s="41"/>
      <c r="E314" s="41"/>
      <c r="F314" s="41"/>
      <c r="G314" s="38"/>
      <c r="H314" s="38"/>
      <c r="I314" s="41"/>
      <c r="J314" s="41"/>
      <c r="K314" s="41"/>
      <c r="L314" s="41"/>
      <c r="M314" s="41"/>
      <c r="N314" s="41"/>
      <c r="O314" s="249"/>
    </row>
    <row r="315" spans="1:15">
      <c r="A315" s="244"/>
      <c r="B315" s="245"/>
      <c r="C315" s="245"/>
      <c r="D315" s="41"/>
      <c r="E315" s="41"/>
      <c r="F315" s="41"/>
      <c r="G315" s="38"/>
      <c r="H315" s="38"/>
      <c r="I315" s="41"/>
      <c r="J315" s="41"/>
      <c r="K315" s="41"/>
      <c r="L315" s="41"/>
      <c r="M315" s="41"/>
      <c r="N315" s="41"/>
      <c r="O315" s="249"/>
    </row>
    <row r="316" spans="1:15">
      <c r="A316" s="244"/>
      <c r="B316" s="245"/>
      <c r="C316" s="245"/>
      <c r="D316" s="41"/>
      <c r="E316" s="41"/>
      <c r="F316" s="41"/>
      <c r="G316" s="38"/>
      <c r="H316" s="38"/>
      <c r="I316" s="41"/>
      <c r="J316" s="41"/>
      <c r="K316" s="41"/>
      <c r="L316" s="41"/>
      <c r="M316" s="41"/>
      <c r="N316" s="41"/>
      <c r="O316" s="249"/>
    </row>
    <row r="317" spans="1:15">
      <c r="A317" s="244"/>
      <c r="B317" s="245"/>
      <c r="C317" s="245"/>
      <c r="D317" s="41"/>
      <c r="E317" s="41"/>
      <c r="F317" s="41"/>
      <c r="G317" s="38"/>
      <c r="H317" s="38"/>
      <c r="I317" s="41"/>
      <c r="J317" s="41"/>
      <c r="K317" s="41"/>
      <c r="L317" s="41"/>
      <c r="M317" s="41"/>
      <c r="N317" s="41"/>
      <c r="O317" s="249"/>
    </row>
  </sheetData>
  <pageMargins left="0.31496062992125984" right="0.31496062992125984" top="0.55118110236220474" bottom="0.55118110236220474" header="0.31496062992125984" footer="0.31496062992125984"/>
  <pageSetup paperSize="9" scale="60" orientation="landscape"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4"/>
  <sheetViews>
    <sheetView zoomScale="90" zoomScaleNormal="90" workbookViewId="0">
      <pane xSplit="2" ySplit="11" topLeftCell="C12" activePane="bottomRight" state="frozen"/>
      <selection activeCell="G29" sqref="G29"/>
      <selection pane="topRight" activeCell="G29" sqref="G29"/>
      <selection pane="bottomLeft" activeCell="G29" sqref="G29"/>
      <selection pane="bottomRight"/>
    </sheetView>
  </sheetViews>
  <sheetFormatPr defaultRowHeight="15"/>
  <cols>
    <col min="1" max="1" width="18.75" style="20" customWidth="1"/>
    <col min="2" max="2" width="14.75" style="254" customWidth="1"/>
    <col min="3" max="3" width="14.625" style="255" customWidth="1"/>
    <col min="4" max="4" width="19.125" style="14" customWidth="1"/>
    <col min="5" max="5" width="20.125" style="14" bestFit="1" customWidth="1"/>
    <col min="6" max="6" width="18.875" style="14" bestFit="1" customWidth="1"/>
    <col min="7" max="7" width="16.375" style="269" customWidth="1"/>
    <col min="8" max="8" width="14.125" style="15" customWidth="1"/>
    <col min="9" max="9" width="18.625" style="15" customWidth="1"/>
    <col min="10" max="10" width="14.625" style="15" customWidth="1"/>
    <col min="11" max="11" width="23.5" style="15" customWidth="1"/>
    <col min="12" max="12" width="19.625" style="34" customWidth="1"/>
    <col min="13" max="13" width="11.625" style="280" bestFit="1" customWidth="1"/>
    <col min="14" max="14" width="13" style="281" bestFit="1" customWidth="1"/>
    <col min="16" max="16" width="11.125" style="120" bestFit="1" customWidth="1"/>
    <col min="17" max="17" width="13" style="119" bestFit="1" customWidth="1"/>
    <col min="18" max="18" width="10.875" style="119" bestFit="1" customWidth="1"/>
    <col min="19" max="19" width="12" style="119" bestFit="1" customWidth="1"/>
    <col min="20" max="20" width="11.125" style="115" bestFit="1" customWidth="1"/>
  </cols>
  <sheetData>
    <row r="1" spans="1:20" ht="23.25">
      <c r="A1" s="315" t="s">
        <v>782</v>
      </c>
      <c r="F1" s="321"/>
      <c r="G1" s="256"/>
      <c r="H1" s="14"/>
      <c r="P1"/>
      <c r="Q1" s="115"/>
      <c r="R1" s="115"/>
      <c r="S1" s="115"/>
    </row>
    <row r="2" spans="1:20">
      <c r="A2" s="253" t="s">
        <v>356</v>
      </c>
      <c r="G2" s="256"/>
      <c r="H2" s="14"/>
      <c r="K2" s="257"/>
      <c r="P2"/>
      <c r="Q2" s="115"/>
      <c r="R2" s="115"/>
      <c r="S2" s="115"/>
    </row>
    <row r="3" spans="1:20">
      <c r="A3" s="20" t="s">
        <v>781</v>
      </c>
      <c r="F3" s="258"/>
      <c r="G3" s="256"/>
      <c r="H3" s="259"/>
      <c r="P3"/>
      <c r="Q3" s="115"/>
      <c r="R3" s="115"/>
      <c r="S3" s="115"/>
    </row>
    <row r="4" spans="1:20">
      <c r="A4" s="20" t="s">
        <v>1198</v>
      </c>
      <c r="E4" s="195"/>
      <c r="G4" s="256"/>
      <c r="H4" s="14"/>
      <c r="M4" s="282"/>
      <c r="P4"/>
      <c r="Q4" s="115"/>
      <c r="R4" s="115"/>
      <c r="S4" s="115"/>
    </row>
    <row r="5" spans="1:20">
      <c r="A5" s="272" t="s">
        <v>1199</v>
      </c>
      <c r="G5" s="256"/>
      <c r="H5" s="14"/>
      <c r="P5"/>
      <c r="Q5" s="115"/>
      <c r="R5" s="115"/>
      <c r="S5" s="115"/>
    </row>
    <row r="6" spans="1:20">
      <c r="A6" s="20" t="s">
        <v>365</v>
      </c>
      <c r="G6" s="256"/>
      <c r="H6" s="14"/>
      <c r="P6"/>
      <c r="Q6" s="115"/>
      <c r="R6" s="115"/>
      <c r="S6" s="115"/>
    </row>
    <row r="7" spans="1:20">
      <c r="A7" s="359" t="s">
        <v>727</v>
      </c>
      <c r="B7" s="361">
        <v>0.9</v>
      </c>
      <c r="D7" s="260"/>
      <c r="G7" s="256"/>
      <c r="H7" s="14"/>
      <c r="I7" s="261"/>
      <c r="L7" s="123"/>
      <c r="P7"/>
      <c r="Q7" s="115"/>
      <c r="R7" s="115"/>
      <c r="S7" s="115"/>
    </row>
    <row r="8" spans="1:20">
      <c r="A8" s="360" t="s">
        <v>728</v>
      </c>
      <c r="B8" s="362">
        <v>0.1</v>
      </c>
      <c r="F8" s="262"/>
      <c r="G8" s="256"/>
      <c r="H8" s="14"/>
      <c r="I8" s="24"/>
      <c r="J8" s="263"/>
      <c r="L8" s="264"/>
      <c r="N8" s="283"/>
      <c r="P8"/>
      <c r="Q8" s="115"/>
      <c r="R8" s="115"/>
      <c r="S8" s="115"/>
    </row>
    <row r="9" spans="1:20" ht="36.6" customHeight="1">
      <c r="A9" s="290"/>
      <c r="B9" s="296">
        <v>293</v>
      </c>
      <c r="C9" s="291" t="s">
        <v>358</v>
      </c>
      <c r="D9" s="292"/>
      <c r="E9" s="292"/>
      <c r="F9" s="292"/>
      <c r="G9" s="293" t="s">
        <v>366</v>
      </c>
      <c r="H9" s="294"/>
      <c r="I9" s="294"/>
      <c r="J9" s="294"/>
      <c r="K9" s="295"/>
      <c r="L9" s="294"/>
      <c r="M9" s="288"/>
      <c r="N9" s="289"/>
      <c r="P9"/>
      <c r="Q9" s="115"/>
      <c r="R9" s="115"/>
      <c r="S9" s="115"/>
    </row>
    <row r="10" spans="1:20" s="278" customFormat="1" ht="42.75">
      <c r="A10" s="273" t="s">
        <v>658</v>
      </c>
      <c r="B10" s="274" t="s">
        <v>3</v>
      </c>
      <c r="C10" s="275" t="s">
        <v>783</v>
      </c>
      <c r="D10" s="276" t="s">
        <v>784</v>
      </c>
      <c r="E10" s="277" t="s">
        <v>686</v>
      </c>
      <c r="F10" s="277" t="s">
        <v>687</v>
      </c>
      <c r="G10" s="284" t="s">
        <v>700</v>
      </c>
      <c r="H10" s="285" t="s">
        <v>699</v>
      </c>
      <c r="I10" s="285" t="s">
        <v>726</v>
      </c>
      <c r="J10" s="285" t="s">
        <v>688</v>
      </c>
      <c r="K10" s="286" t="s">
        <v>689</v>
      </c>
      <c r="L10" s="287" t="s">
        <v>744</v>
      </c>
      <c r="M10" s="353" t="s">
        <v>690</v>
      </c>
      <c r="N10" s="354" t="s">
        <v>691</v>
      </c>
      <c r="Q10" s="279"/>
      <c r="R10" s="279"/>
      <c r="S10" s="279"/>
      <c r="T10" s="279"/>
    </row>
    <row r="11" spans="1:20">
      <c r="A11" s="253"/>
      <c r="B11" s="254" t="s">
        <v>367</v>
      </c>
      <c r="C11" s="28">
        <f>SUM(C12:C304)</f>
        <v>5533611</v>
      </c>
      <c r="D11" s="27">
        <v>7.3800000000000008</v>
      </c>
      <c r="E11" s="28">
        <f t="shared" ref="E11:J11" si="0">SUM(E12:E304)</f>
        <v>8936467375.600008</v>
      </c>
      <c r="F11" s="358">
        <f t="shared" si="0"/>
        <v>121084081108.53842</v>
      </c>
      <c r="G11" s="28">
        <f t="shared" si="0"/>
        <v>8936005185.8101463</v>
      </c>
      <c r="H11" s="28">
        <f t="shared" si="0"/>
        <v>1796890788.9494965</v>
      </c>
      <c r="I11" s="28">
        <f t="shared" si="0"/>
        <v>1074481577.3341503</v>
      </c>
      <c r="J11" s="28">
        <f t="shared" si="0"/>
        <v>11807377552.093781</v>
      </c>
      <c r="K11" s="265">
        <f>ROUND(Tasaus[[#This Row],[Laskennallinen verotulo yhteensä, €]]/Tasaus[[#This Row],[Asukasluku 31.12.2022]],2)</f>
        <v>2133.7600000000002</v>
      </c>
      <c r="L11" s="123">
        <v>0</v>
      </c>
      <c r="M11" s="367">
        <f>Tasaus[[#This Row],[Tasaus, €]]/Tasaus[[#This Row],[Asukasluku 31.12.2022]]</f>
        <v>144.24807544411283</v>
      </c>
      <c r="N11" s="368">
        <f>SUM(N12:N304)</f>
        <v>798212737.00637257</v>
      </c>
      <c r="P11"/>
      <c r="Q11" s="115"/>
      <c r="R11" s="115"/>
      <c r="S11" s="115"/>
    </row>
    <row r="12" spans="1:20">
      <c r="A12" s="266">
        <v>5</v>
      </c>
      <c r="B12" s="13" t="s">
        <v>368</v>
      </c>
      <c r="C12" s="267">
        <v>9183</v>
      </c>
      <c r="D12" s="268">
        <v>9.11</v>
      </c>
      <c r="E12" s="14">
        <v>12645558.27</v>
      </c>
      <c r="F12" s="14">
        <f>Tasaus[[#This Row],[Kunnallisvero (maksuunpantu), €]]*100/Tasaus[[#This Row],[Tuloveroprosentti 2023]]</f>
        <v>138809640.7244786</v>
      </c>
      <c r="G12" s="269">
        <f>Tasaus[[#This Row],[Verotettava tulo (kunnallisvero), €]]*($D$11/100)</f>
        <v>10244151.485466521</v>
      </c>
      <c r="H12" s="14">
        <v>2059725.7781197957</v>
      </c>
      <c r="I12" s="15">
        <v>1417746.2175999999</v>
      </c>
      <c r="J12" s="15">
        <f>SUM(Tasaus[[#This Row],[Laskennallinen kunnallisvero, €]:[Laskennallinen kiinteistövero, €]])</f>
        <v>13721623.481186315</v>
      </c>
      <c r="K12" s="15">
        <f>Tasaus[[#This Row],[Laskennallinen verotulo yhteensä, €]]/Tasaus[[#This Row],[Asukasluku 31.12.2022]]</f>
        <v>1494.2419123583052</v>
      </c>
      <c r="L12" s="34">
        <f>$K$11-Tasaus[[#This Row],[Laskennallinen verotulo yhteensä, €/asukas (=tasausraja)]]</f>
        <v>639.51808764169505</v>
      </c>
      <c r="M12" s="369">
        <v>575.56627887752552</v>
      </c>
      <c r="N12" s="370">
        <v>5285425.1389323166</v>
      </c>
      <c r="P12" s="116"/>
      <c r="Q12" s="117"/>
      <c r="R12" s="118"/>
    </row>
    <row r="13" spans="1:20">
      <c r="A13" s="266">
        <v>9</v>
      </c>
      <c r="B13" s="13" t="s">
        <v>369</v>
      </c>
      <c r="C13" s="267">
        <v>2447</v>
      </c>
      <c r="D13" s="268">
        <v>9.36</v>
      </c>
      <c r="E13" s="14">
        <v>3603757.99</v>
      </c>
      <c r="F13" s="14">
        <f>Tasaus[[#This Row],[Kunnallisvero (maksuunpantu), €]]*100/Tasaus[[#This Row],[Tuloveroprosentti 2023]]</f>
        <v>38501687.927350432</v>
      </c>
      <c r="G13" s="269">
        <f>Tasaus[[#This Row],[Verotettava tulo (kunnallisvero), €]]*($D$11/100)</f>
        <v>2841424.5690384619</v>
      </c>
      <c r="H13" s="14">
        <v>215100.76505093509</v>
      </c>
      <c r="I13" s="15">
        <v>217398.58869999999</v>
      </c>
      <c r="J13" s="15">
        <f>SUM(Tasaus[[#This Row],[Laskennallinen kunnallisvero, €]:[Laskennallinen kiinteistövero, €]])</f>
        <v>3273923.9227893972</v>
      </c>
      <c r="K13" s="15">
        <f>Tasaus[[#This Row],[Laskennallinen verotulo yhteensä, €]]/Tasaus[[#This Row],[Asukasluku 31.12.2022]]</f>
        <v>1337.933764932324</v>
      </c>
      <c r="L13" s="34">
        <f>$K$11-Tasaus[[#This Row],[Laskennallinen verotulo yhteensä, €/asukas (=tasausraja)]]</f>
        <v>795.82623506767618</v>
      </c>
      <c r="M13" s="369">
        <v>716.24361156090856</v>
      </c>
      <c r="N13" s="370">
        <v>1752648.1174895433</v>
      </c>
      <c r="P13" s="116"/>
      <c r="Q13" s="117"/>
      <c r="R13" s="118"/>
    </row>
    <row r="14" spans="1:20">
      <c r="A14" s="266">
        <v>10</v>
      </c>
      <c r="B14" s="13" t="s">
        <v>370</v>
      </c>
      <c r="C14" s="267">
        <v>11102</v>
      </c>
      <c r="D14" s="268">
        <v>8.61</v>
      </c>
      <c r="E14" s="14">
        <v>14268181.27</v>
      </c>
      <c r="F14" s="14">
        <f>Tasaus[[#This Row],[Kunnallisvero (maksuunpantu), €]]*100/Tasaus[[#This Row],[Tuloveroprosentti 2023]]</f>
        <v>165716391.05691057</v>
      </c>
      <c r="G14" s="269">
        <f>Tasaus[[#This Row],[Verotettava tulo (kunnallisvero), €]]*($D$11/100)</f>
        <v>12229869.660000002</v>
      </c>
      <c r="H14" s="14">
        <v>2176319.0135406516</v>
      </c>
      <c r="I14" s="15">
        <v>1815358.9288999997</v>
      </c>
      <c r="J14" s="15">
        <f>SUM(Tasaus[[#This Row],[Laskennallinen kunnallisvero, €]:[Laskennallinen kiinteistövero, €]])</f>
        <v>16221547.602440653</v>
      </c>
      <c r="K14" s="15">
        <f>Tasaus[[#This Row],[Laskennallinen verotulo yhteensä, €]]/Tasaus[[#This Row],[Asukasluku 31.12.2022]]</f>
        <v>1461.137416901518</v>
      </c>
      <c r="L14" s="34">
        <f>$K$11-Tasaus[[#This Row],[Laskennallinen verotulo yhteensä, €/asukas (=tasausraja)]]</f>
        <v>672.62258309848221</v>
      </c>
      <c r="M14" s="369">
        <v>605.36032478863399</v>
      </c>
      <c r="N14" s="370">
        <v>6720710.3258034149</v>
      </c>
      <c r="P14" s="116"/>
      <c r="Q14" s="117"/>
      <c r="R14" s="118"/>
    </row>
    <row r="15" spans="1:20">
      <c r="A15" s="266">
        <v>16</v>
      </c>
      <c r="B15" s="13" t="s">
        <v>371</v>
      </c>
      <c r="C15" s="267">
        <v>8014</v>
      </c>
      <c r="D15" s="268">
        <v>8.11</v>
      </c>
      <c r="E15" s="14">
        <v>12040991.1</v>
      </c>
      <c r="F15" s="14">
        <f>Tasaus[[#This Row],[Kunnallisvero (maksuunpantu), €]]*100/Tasaus[[#This Row],[Tuloveroprosentti 2023]]</f>
        <v>148470913.68680641</v>
      </c>
      <c r="G15" s="269">
        <f>Tasaus[[#This Row],[Verotettava tulo (kunnallisvero), €]]*($D$11/100)</f>
        <v>10957153.430086315</v>
      </c>
      <c r="H15" s="14">
        <v>1360277.772823575</v>
      </c>
      <c r="I15" s="15">
        <v>1807917.1969999999</v>
      </c>
      <c r="J15" s="15">
        <f>SUM(Tasaus[[#This Row],[Laskennallinen kunnallisvero, €]:[Laskennallinen kiinteistövero, €]])</f>
        <v>14125348.399909891</v>
      </c>
      <c r="K15" s="15">
        <f>Tasaus[[#This Row],[Laskennallinen verotulo yhteensä, €]]/Tasaus[[#This Row],[Asukasluku 31.12.2022]]</f>
        <v>1762.5840279398417</v>
      </c>
      <c r="L15" s="34">
        <f>$K$11-Tasaus[[#This Row],[Laskennallinen verotulo yhteensä, €/asukas (=tasausraja)]]</f>
        <v>371.17597206015853</v>
      </c>
      <c r="M15" s="369">
        <v>334.0583748541427</v>
      </c>
      <c r="N15" s="370">
        <v>2677143.8160810997</v>
      </c>
      <c r="P15" s="116"/>
      <c r="Q15" s="117"/>
      <c r="R15" s="118"/>
    </row>
    <row r="16" spans="1:20">
      <c r="A16" s="266">
        <v>18</v>
      </c>
      <c r="B16" s="13" t="s">
        <v>372</v>
      </c>
      <c r="C16" s="267">
        <v>4763</v>
      </c>
      <c r="D16" s="268">
        <v>8.86</v>
      </c>
      <c r="E16" s="14">
        <v>8937194.75</v>
      </c>
      <c r="F16" s="14">
        <f>Tasaus[[#This Row],[Kunnallisvero (maksuunpantu), €]]*100/Tasaus[[#This Row],[Tuloveroprosentti 2023]]</f>
        <v>100871272.57336344</v>
      </c>
      <c r="G16" s="269">
        <f>Tasaus[[#This Row],[Verotettava tulo (kunnallisvero), €]]*($D$11/100)</f>
        <v>7444299.9159142226</v>
      </c>
      <c r="H16" s="14">
        <v>1009762.4194720115</v>
      </c>
      <c r="I16" s="15">
        <v>547404.42425000004</v>
      </c>
      <c r="J16" s="15">
        <f>SUM(Tasaus[[#This Row],[Laskennallinen kunnallisvero, €]:[Laskennallinen kiinteistövero, €]])</f>
        <v>9001466.7596362326</v>
      </c>
      <c r="K16" s="15">
        <f>Tasaus[[#This Row],[Laskennallinen verotulo yhteensä, €]]/Tasaus[[#This Row],[Asukasluku 31.12.2022]]</f>
        <v>1889.8733486534186</v>
      </c>
      <c r="L16" s="34">
        <f>$K$11-Tasaus[[#This Row],[Laskennallinen verotulo yhteensä, €/asukas (=tasausraja)]]</f>
        <v>243.88665134658163</v>
      </c>
      <c r="M16" s="369">
        <v>219.49798621192346</v>
      </c>
      <c r="N16" s="370">
        <v>1045468.9083273915</v>
      </c>
      <c r="P16" s="116"/>
      <c r="Q16" s="117"/>
      <c r="R16" s="118"/>
    </row>
    <row r="17" spans="1:18">
      <c r="A17" s="266">
        <v>19</v>
      </c>
      <c r="B17" s="13" t="s">
        <v>373</v>
      </c>
      <c r="C17" s="267">
        <v>3965</v>
      </c>
      <c r="D17" s="268">
        <v>8.86</v>
      </c>
      <c r="E17" s="14">
        <v>6809703.8799999999</v>
      </c>
      <c r="F17" s="14">
        <f>Tasaus[[#This Row],[Kunnallisvero (maksuunpantu), €]]*100/Tasaus[[#This Row],[Tuloveroprosentti 2023]]</f>
        <v>76858960.270880371</v>
      </c>
      <c r="G17" s="269">
        <f>Tasaus[[#This Row],[Verotettava tulo (kunnallisvero), €]]*($D$11/100)</f>
        <v>5672191.2679909719</v>
      </c>
      <c r="H17" s="14">
        <v>557711.77551098878</v>
      </c>
      <c r="I17" s="15">
        <v>415632.45864999999</v>
      </c>
      <c r="J17" s="15">
        <f>SUM(Tasaus[[#This Row],[Laskennallinen kunnallisvero, €]:[Laskennallinen kiinteistövero, €]])</f>
        <v>6645535.5021519614</v>
      </c>
      <c r="K17" s="15">
        <f>Tasaus[[#This Row],[Laskennallinen verotulo yhteensä, €]]/Tasaus[[#This Row],[Asukasluku 31.12.2022]]</f>
        <v>1676.049306974013</v>
      </c>
      <c r="L17" s="34">
        <f>$K$11-Tasaus[[#This Row],[Laskennallinen verotulo yhteensä, €/asukas (=tasausraja)]]</f>
        <v>457.71069302598721</v>
      </c>
      <c r="M17" s="369">
        <v>411.93962372338848</v>
      </c>
      <c r="N17" s="370">
        <v>1633340.6080632354</v>
      </c>
      <c r="P17" s="116"/>
      <c r="Q17" s="117"/>
      <c r="R17" s="118"/>
    </row>
    <row r="18" spans="1:18">
      <c r="A18" s="266">
        <v>20</v>
      </c>
      <c r="B18" s="13" t="s">
        <v>18</v>
      </c>
      <c r="C18" s="267">
        <v>16473</v>
      </c>
      <c r="D18" s="268">
        <v>9.36</v>
      </c>
      <c r="E18" s="14">
        <v>30273887.73</v>
      </c>
      <c r="F18" s="14">
        <f>Tasaus[[#This Row],[Kunnallisvero (maksuunpantu), €]]*100/Tasaus[[#This Row],[Tuloveroprosentti 2023]]</f>
        <v>323438971.47435898</v>
      </c>
      <c r="G18" s="269">
        <f>Tasaus[[#This Row],[Verotettava tulo (kunnallisvero), €]]*($D$11/100)</f>
        <v>23869796.094807696</v>
      </c>
      <c r="H18" s="14">
        <v>1787960.4214174962</v>
      </c>
      <c r="I18" s="15">
        <v>1747905.8377999999</v>
      </c>
      <c r="J18" s="15">
        <f>SUM(Tasaus[[#This Row],[Laskennallinen kunnallisvero, €]:[Laskennallinen kiinteistövero, €]])</f>
        <v>27405662.354025193</v>
      </c>
      <c r="K18" s="15">
        <f>Tasaus[[#This Row],[Laskennallinen verotulo yhteensä, €]]/Tasaus[[#This Row],[Asukasluku 31.12.2022]]</f>
        <v>1663.6716052950399</v>
      </c>
      <c r="L18" s="34">
        <f>$K$11-Tasaus[[#This Row],[Laskennallinen verotulo yhteensä, €/asukas (=tasausraja)]]</f>
        <v>470.08839470496036</v>
      </c>
      <c r="M18" s="369">
        <v>423.07955523446435</v>
      </c>
      <c r="N18" s="370">
        <v>6969389.5133773312</v>
      </c>
      <c r="P18" s="116"/>
      <c r="Q18" s="117"/>
      <c r="R18" s="118"/>
    </row>
    <row r="19" spans="1:18">
      <c r="A19" s="266">
        <v>46</v>
      </c>
      <c r="B19" s="13" t="s">
        <v>374</v>
      </c>
      <c r="C19" s="267">
        <v>1341</v>
      </c>
      <c r="D19" s="268">
        <v>8.36</v>
      </c>
      <c r="E19" s="14">
        <v>1675687.22</v>
      </c>
      <c r="F19" s="14">
        <f>Tasaus[[#This Row],[Kunnallisvero (maksuunpantu), €]]*100/Tasaus[[#This Row],[Tuloveroprosentti 2023]]</f>
        <v>20044105.502392344</v>
      </c>
      <c r="G19" s="269">
        <f>Tasaus[[#This Row],[Verotettava tulo (kunnallisvero), €]]*($D$11/100)</f>
        <v>1479254.986076555</v>
      </c>
      <c r="H19" s="14">
        <v>471073.78767639433</v>
      </c>
      <c r="I19" s="15">
        <v>270278.61704999994</v>
      </c>
      <c r="J19" s="15">
        <f>SUM(Tasaus[[#This Row],[Laskennallinen kunnallisvero, €]:[Laskennallinen kiinteistövero, €]])</f>
        <v>2220607.3908029492</v>
      </c>
      <c r="K19" s="15">
        <f>Tasaus[[#This Row],[Laskennallinen verotulo yhteensä, €]]/Tasaus[[#This Row],[Asukasluku 31.12.2022]]</f>
        <v>1655.9339230447049</v>
      </c>
      <c r="L19" s="34">
        <f>$K$11-Tasaus[[#This Row],[Laskennallinen verotulo yhteensä, €/asukas (=tasausraja)]]</f>
        <v>477.82607695529532</v>
      </c>
      <c r="M19" s="369">
        <v>430.0434692597658</v>
      </c>
      <c r="N19" s="370">
        <v>576688.2922773459</v>
      </c>
      <c r="P19" s="116"/>
      <c r="Q19" s="117"/>
      <c r="R19" s="118"/>
    </row>
    <row r="20" spans="1:18">
      <c r="A20" s="266">
        <v>47</v>
      </c>
      <c r="B20" s="13" t="s">
        <v>375</v>
      </c>
      <c r="C20" s="267">
        <v>1811</v>
      </c>
      <c r="D20" s="268">
        <v>8.61</v>
      </c>
      <c r="E20" s="14">
        <v>2656181.14</v>
      </c>
      <c r="F20" s="14">
        <f>Tasaus[[#This Row],[Kunnallisvero (maksuunpantu), €]]*100/Tasaus[[#This Row],[Tuloveroprosentti 2023]]</f>
        <v>30849955.16840883</v>
      </c>
      <c r="G20" s="269">
        <f>Tasaus[[#This Row],[Verotettava tulo (kunnallisvero), €]]*($D$11/100)</f>
        <v>2276726.6914285719</v>
      </c>
      <c r="H20" s="14">
        <v>504996.0310574196</v>
      </c>
      <c r="I20" s="15">
        <v>527997.44775000005</v>
      </c>
      <c r="J20" s="15">
        <f>SUM(Tasaus[[#This Row],[Laskennallinen kunnallisvero, €]:[Laskennallinen kiinteistövero, €]])</f>
        <v>3309720.1702359915</v>
      </c>
      <c r="K20" s="15">
        <f>Tasaus[[#This Row],[Laskennallinen verotulo yhteensä, €]]/Tasaus[[#This Row],[Asukasluku 31.12.2022]]</f>
        <v>1827.5649752821598</v>
      </c>
      <c r="L20" s="34">
        <f>$K$11-Tasaus[[#This Row],[Laskennallinen verotulo yhteensä, €/asukas (=tasausraja)]]</f>
        <v>306.1950247178404</v>
      </c>
      <c r="M20" s="369">
        <v>275.57552224605638</v>
      </c>
      <c r="N20" s="370">
        <v>499067.27078760811</v>
      </c>
      <c r="P20" s="116"/>
      <c r="Q20" s="117"/>
      <c r="R20" s="118"/>
    </row>
    <row r="21" spans="1:18">
      <c r="A21" s="266">
        <v>49</v>
      </c>
      <c r="B21" s="13" t="s">
        <v>376</v>
      </c>
      <c r="C21" s="267">
        <v>305274</v>
      </c>
      <c r="D21" s="268">
        <v>5.3599999999999994</v>
      </c>
      <c r="E21" s="14">
        <v>489576210.29000002</v>
      </c>
      <c r="F21" s="14">
        <f>Tasaus[[#This Row],[Kunnallisvero (maksuunpantu), €]]*100/Tasaus[[#This Row],[Tuloveroprosentti 2023]]</f>
        <v>9133884520.3358212</v>
      </c>
      <c r="G21" s="269">
        <f>Tasaus[[#This Row],[Verotettava tulo (kunnallisvero), €]]*($D$11/100)</f>
        <v>674080677.60078359</v>
      </c>
      <c r="H21" s="14">
        <v>133195210.03373408</v>
      </c>
      <c r="I21" s="15">
        <v>84661609.821400017</v>
      </c>
      <c r="J21" s="15">
        <f>SUM(Tasaus[[#This Row],[Laskennallinen kunnallisvero, €]:[Laskennallinen kiinteistövero, €]])</f>
        <v>891937497.45591772</v>
      </c>
      <c r="K21" s="15">
        <f>Tasaus[[#This Row],[Laskennallinen verotulo yhteensä, €]]/Tasaus[[#This Row],[Asukasluku 31.12.2022]]</f>
        <v>2921.760442932964</v>
      </c>
      <c r="L21" s="34">
        <f>$K$11-Tasaus[[#This Row],[Laskennallinen verotulo yhteensä, €/asukas (=tasausraja)]]</f>
        <v>-788.00044293296378</v>
      </c>
      <c r="M21" s="369">
        <v>-78.800044293296381</v>
      </c>
      <c r="N21" s="370">
        <v>-24055604.721591759</v>
      </c>
      <c r="P21" s="116"/>
      <c r="Q21" s="117"/>
      <c r="R21" s="118"/>
    </row>
    <row r="22" spans="1:18">
      <c r="A22" s="266">
        <v>50</v>
      </c>
      <c r="B22" s="13" t="s">
        <v>377</v>
      </c>
      <c r="C22" s="267">
        <v>11276</v>
      </c>
      <c r="D22" s="268">
        <v>8.36</v>
      </c>
      <c r="E22" s="14">
        <v>18602093.280000001</v>
      </c>
      <c r="F22" s="14">
        <f>Tasaus[[#This Row],[Kunnallisvero (maksuunpantu), €]]*100/Tasaus[[#This Row],[Tuloveroprosentti 2023]]</f>
        <v>222513077.51196173</v>
      </c>
      <c r="G22" s="269">
        <f>Tasaus[[#This Row],[Verotettava tulo (kunnallisvero), €]]*($D$11/100)</f>
        <v>16421465.120382776</v>
      </c>
      <c r="H22" s="14">
        <v>2238692.5069175875</v>
      </c>
      <c r="I22" s="15">
        <v>1688179.6505999998</v>
      </c>
      <c r="J22" s="15">
        <f>SUM(Tasaus[[#This Row],[Laskennallinen kunnallisvero, €]:[Laskennallinen kiinteistövero, €]])</f>
        <v>20348337.277900364</v>
      </c>
      <c r="K22" s="15">
        <f>Tasaus[[#This Row],[Laskennallinen verotulo yhteensä, €]]/Tasaus[[#This Row],[Asukasluku 31.12.2022]]</f>
        <v>1804.5705283700217</v>
      </c>
      <c r="L22" s="34">
        <f>$K$11-Tasaus[[#This Row],[Laskennallinen verotulo yhteensä, €/asukas (=tasausraja)]]</f>
        <v>329.18947162997847</v>
      </c>
      <c r="M22" s="369">
        <v>296.27052446698065</v>
      </c>
      <c r="N22" s="370">
        <v>3340746.4338896736</v>
      </c>
      <c r="P22" s="116"/>
      <c r="Q22" s="117"/>
      <c r="R22" s="118"/>
    </row>
    <row r="23" spans="1:18">
      <c r="A23" s="266">
        <v>51</v>
      </c>
      <c r="B23" s="13" t="s">
        <v>378</v>
      </c>
      <c r="C23" s="267">
        <v>9211</v>
      </c>
      <c r="D23" s="268">
        <v>5.3599999999999994</v>
      </c>
      <c r="E23" s="14">
        <v>10299805.380000001</v>
      </c>
      <c r="F23" s="14">
        <f>Tasaus[[#This Row],[Kunnallisvero (maksuunpantu), €]]*100/Tasaus[[#This Row],[Tuloveroprosentti 2023]]</f>
        <v>192160548.1343284</v>
      </c>
      <c r="G23" s="269">
        <f>Tasaus[[#This Row],[Verotettava tulo (kunnallisvero), €]]*($D$11/100)</f>
        <v>14181448.452313436</v>
      </c>
      <c r="H23" s="14">
        <v>2753857.5023278301</v>
      </c>
      <c r="I23" s="15">
        <v>5256636.7167499997</v>
      </c>
      <c r="J23" s="15">
        <f>SUM(Tasaus[[#This Row],[Laskennallinen kunnallisvero, €]:[Laskennallinen kiinteistövero, €]])</f>
        <v>22191942.671391267</v>
      </c>
      <c r="K23" s="15">
        <f>Tasaus[[#This Row],[Laskennallinen verotulo yhteensä, €]]/Tasaus[[#This Row],[Asukasluku 31.12.2022]]</f>
        <v>2409.2870124189844</v>
      </c>
      <c r="L23" s="34">
        <f>$K$11-Tasaus[[#This Row],[Laskennallinen verotulo yhteensä, €/asukas (=tasausraja)]]</f>
        <v>-275.52701241898421</v>
      </c>
      <c r="M23" s="369">
        <v>-27.552701241898422</v>
      </c>
      <c r="N23" s="370">
        <v>-253787.93113912636</v>
      </c>
      <c r="P23" s="116"/>
      <c r="Q23" s="117"/>
      <c r="R23" s="118"/>
    </row>
    <row r="24" spans="1:18">
      <c r="A24" s="266">
        <v>52</v>
      </c>
      <c r="B24" s="13" t="s">
        <v>379</v>
      </c>
      <c r="C24" s="267">
        <v>2346</v>
      </c>
      <c r="D24" s="268">
        <v>9.86</v>
      </c>
      <c r="E24" s="14">
        <v>3652580.33</v>
      </c>
      <c r="F24" s="14">
        <f>Tasaus[[#This Row],[Kunnallisvero (maksuunpantu), €]]*100/Tasaus[[#This Row],[Tuloveroprosentti 2023]]</f>
        <v>37044425.253549695</v>
      </c>
      <c r="G24" s="269">
        <f>Tasaus[[#This Row],[Verotettava tulo (kunnallisvero), €]]*($D$11/100)</f>
        <v>2733878.5837119678</v>
      </c>
      <c r="H24" s="14">
        <v>602464.23905517044</v>
      </c>
      <c r="I24" s="15">
        <v>396744.63705000002</v>
      </c>
      <c r="J24" s="15">
        <f>SUM(Tasaus[[#This Row],[Laskennallinen kunnallisvero, €]:[Laskennallinen kiinteistövero, €]])</f>
        <v>3733087.4598171385</v>
      </c>
      <c r="K24" s="15">
        <f>Tasaus[[#This Row],[Laskennallinen verotulo yhteensä, €]]/Tasaus[[#This Row],[Asukasluku 31.12.2022]]</f>
        <v>1591.256376733648</v>
      </c>
      <c r="L24" s="34">
        <f>$K$11-Tasaus[[#This Row],[Laskennallinen verotulo yhteensä, €/asukas (=tasausraja)]]</f>
        <v>542.50362326635218</v>
      </c>
      <c r="M24" s="369">
        <v>488.25326093971699</v>
      </c>
      <c r="N24" s="370">
        <v>1145442.150164576</v>
      </c>
      <c r="P24" s="116"/>
      <c r="Q24" s="117"/>
      <c r="R24" s="118"/>
    </row>
    <row r="25" spans="1:18">
      <c r="A25" s="266">
        <v>61</v>
      </c>
      <c r="B25" s="13" t="s">
        <v>380</v>
      </c>
      <c r="C25" s="267">
        <v>16459</v>
      </c>
      <c r="D25" s="268">
        <v>7.8599999999999994</v>
      </c>
      <c r="E25" s="14">
        <v>23755006.059999999</v>
      </c>
      <c r="F25" s="14">
        <f>Tasaus[[#This Row],[Kunnallisvero (maksuunpantu), €]]*100/Tasaus[[#This Row],[Tuloveroprosentti 2023]]</f>
        <v>302226540.20356238</v>
      </c>
      <c r="G25" s="269">
        <f>Tasaus[[#This Row],[Verotettava tulo (kunnallisvero), €]]*($D$11/100)</f>
        <v>22304318.667022906</v>
      </c>
      <c r="H25" s="14">
        <v>4167258.7341249874</v>
      </c>
      <c r="I25" s="15">
        <v>2611551.3144999994</v>
      </c>
      <c r="J25" s="15">
        <f>SUM(Tasaus[[#This Row],[Laskennallinen kunnallisvero, €]:[Laskennallinen kiinteistövero, €]])</f>
        <v>29083128.715647895</v>
      </c>
      <c r="K25" s="15">
        <f>Tasaus[[#This Row],[Laskennallinen verotulo yhteensä, €]]/Tasaus[[#This Row],[Asukasluku 31.12.2022]]</f>
        <v>1767.0046002580896</v>
      </c>
      <c r="L25" s="34">
        <f>$K$11-Tasaus[[#This Row],[Laskennallinen verotulo yhteensä, €/asukas (=tasausraja)]]</f>
        <v>366.75539974191065</v>
      </c>
      <c r="M25" s="369">
        <v>330.0798597677196</v>
      </c>
      <c r="N25" s="370">
        <v>5432784.4119168967</v>
      </c>
      <c r="P25" s="116"/>
      <c r="Q25" s="117"/>
      <c r="R25" s="118"/>
    </row>
    <row r="26" spans="1:18">
      <c r="A26" s="266">
        <v>69</v>
      </c>
      <c r="B26" s="13" t="s">
        <v>381</v>
      </c>
      <c r="C26" s="267">
        <v>6687</v>
      </c>
      <c r="D26" s="268">
        <v>9.86</v>
      </c>
      <c r="E26" s="14">
        <v>10791799.710000001</v>
      </c>
      <c r="F26" s="14">
        <f>Tasaus[[#This Row],[Kunnallisvero (maksuunpantu), €]]*100/Tasaus[[#This Row],[Tuloveroprosentti 2023]]</f>
        <v>109450301.31845842</v>
      </c>
      <c r="G26" s="269">
        <f>Tasaus[[#This Row],[Verotettava tulo (kunnallisvero), €]]*($D$11/100)</f>
        <v>8077432.2373022325</v>
      </c>
      <c r="H26" s="14">
        <v>1752286.5688954028</v>
      </c>
      <c r="I26" s="15">
        <v>841556.86405000009</v>
      </c>
      <c r="J26" s="15">
        <f>SUM(Tasaus[[#This Row],[Laskennallinen kunnallisvero, €]:[Laskennallinen kiinteistövero, €]])</f>
        <v>10671275.670247637</v>
      </c>
      <c r="K26" s="15">
        <f>Tasaus[[#This Row],[Laskennallinen verotulo yhteensä, €]]/Tasaus[[#This Row],[Asukasluku 31.12.2022]]</f>
        <v>1595.8240870715772</v>
      </c>
      <c r="L26" s="34">
        <f>$K$11-Tasaus[[#This Row],[Laskennallinen verotulo yhteensä, €/asukas (=tasausraja)]]</f>
        <v>537.93591292842302</v>
      </c>
      <c r="M26" s="369">
        <v>484.14232163558074</v>
      </c>
      <c r="N26" s="370">
        <v>3237459.7047771285</v>
      </c>
      <c r="P26" s="116"/>
      <c r="Q26" s="117"/>
      <c r="R26" s="118"/>
    </row>
    <row r="27" spans="1:18">
      <c r="A27" s="266">
        <v>71</v>
      </c>
      <c r="B27" s="13" t="s">
        <v>382</v>
      </c>
      <c r="C27" s="267">
        <v>6591</v>
      </c>
      <c r="D27" s="268">
        <v>9.36</v>
      </c>
      <c r="E27" s="14">
        <v>9687735.3800000008</v>
      </c>
      <c r="F27" s="14">
        <f>Tasaus[[#This Row],[Kunnallisvero (maksuunpantu), €]]*100/Tasaus[[#This Row],[Tuloveroprosentti 2023]]</f>
        <v>103501446.36752139</v>
      </c>
      <c r="G27" s="269">
        <f>Tasaus[[#This Row],[Verotettava tulo (kunnallisvero), €]]*($D$11/100)</f>
        <v>7638406.7419230789</v>
      </c>
      <c r="H27" s="14">
        <v>1086204.3099028699</v>
      </c>
      <c r="I27" s="15">
        <v>886111.86179999984</v>
      </c>
      <c r="J27" s="15">
        <f>SUM(Tasaus[[#This Row],[Laskennallinen kunnallisvero, €]:[Laskennallinen kiinteistövero, €]])</f>
        <v>9610722.9136259481</v>
      </c>
      <c r="K27" s="15">
        <f>Tasaus[[#This Row],[Laskennallinen verotulo yhteensä, €]]/Tasaus[[#This Row],[Asukasluku 31.12.2022]]</f>
        <v>1458.1585364324001</v>
      </c>
      <c r="L27" s="34">
        <f>$K$11-Tasaus[[#This Row],[Laskennallinen verotulo yhteensä, €/asukas (=tasausraja)]]</f>
        <v>675.60146356760015</v>
      </c>
      <c r="M27" s="369">
        <v>608.04131721084013</v>
      </c>
      <c r="N27" s="370">
        <v>4007600.3217366473</v>
      </c>
      <c r="P27" s="116"/>
      <c r="Q27" s="117"/>
      <c r="R27" s="118"/>
    </row>
    <row r="28" spans="1:18">
      <c r="A28" s="266">
        <v>72</v>
      </c>
      <c r="B28" s="13" t="s">
        <v>383</v>
      </c>
      <c r="C28" s="267">
        <v>960</v>
      </c>
      <c r="D28" s="268">
        <v>7.8599999999999994</v>
      </c>
      <c r="E28" s="14">
        <v>1452340.73</v>
      </c>
      <c r="F28" s="14">
        <f>Tasaus[[#This Row],[Kunnallisvero (maksuunpantu), €]]*100/Tasaus[[#This Row],[Tuloveroprosentti 2023]]</f>
        <v>18477617.430025447</v>
      </c>
      <c r="G28" s="269">
        <f>Tasaus[[#This Row],[Verotettava tulo (kunnallisvero), €]]*($D$11/100)</f>
        <v>1363648.1663358782</v>
      </c>
      <c r="H28" s="14">
        <v>102835.88016250076</v>
      </c>
      <c r="I28" s="15">
        <v>181662.0025</v>
      </c>
      <c r="J28" s="15">
        <f>SUM(Tasaus[[#This Row],[Laskennallinen kunnallisvero, €]:[Laskennallinen kiinteistövero, €]])</f>
        <v>1648146.0489983789</v>
      </c>
      <c r="K28" s="15">
        <f>Tasaus[[#This Row],[Laskennallinen verotulo yhteensä, €]]/Tasaus[[#This Row],[Asukasluku 31.12.2022]]</f>
        <v>1716.8188010399781</v>
      </c>
      <c r="L28" s="34">
        <f>$K$11-Tasaus[[#This Row],[Laskennallinen verotulo yhteensä, €/asukas (=tasausraja)]]</f>
        <v>416.94119896002212</v>
      </c>
      <c r="M28" s="369">
        <v>375.24707906401994</v>
      </c>
      <c r="N28" s="370">
        <v>360237.19590145914</v>
      </c>
      <c r="P28" s="116"/>
      <c r="Q28" s="117"/>
      <c r="R28" s="118"/>
    </row>
    <row r="29" spans="1:18">
      <c r="A29" s="266">
        <v>74</v>
      </c>
      <c r="B29" s="13" t="s">
        <v>384</v>
      </c>
      <c r="C29" s="267">
        <v>1052</v>
      </c>
      <c r="D29" s="268">
        <v>10.860000000000003</v>
      </c>
      <c r="E29" s="14">
        <v>1689697.71</v>
      </c>
      <c r="F29" s="14">
        <f>Tasaus[[#This Row],[Kunnallisvero (maksuunpantu), €]]*100/Tasaus[[#This Row],[Tuloveroprosentti 2023]]</f>
        <v>15558910.773480659</v>
      </c>
      <c r="G29" s="269">
        <f>Tasaus[[#This Row],[Verotettava tulo (kunnallisvero), €]]*($D$11/100)</f>
        <v>1148247.6150828728</v>
      </c>
      <c r="H29" s="14">
        <v>287018.98292061308</v>
      </c>
      <c r="I29" s="15">
        <v>180968.50865</v>
      </c>
      <c r="J29" s="15">
        <f>SUM(Tasaus[[#This Row],[Laskennallinen kunnallisvero, €]:[Laskennallinen kiinteistövero, €]])</f>
        <v>1616235.1066534859</v>
      </c>
      <c r="K29" s="15">
        <f>Tasaus[[#This Row],[Laskennallinen verotulo yhteensä, €]]/Tasaus[[#This Row],[Asukasluku 31.12.2022]]</f>
        <v>1536.3451584158611</v>
      </c>
      <c r="L29" s="34">
        <f>$K$11-Tasaus[[#This Row],[Laskennallinen verotulo yhteensä, €/asukas (=tasausraja)]]</f>
        <v>597.41484158413914</v>
      </c>
      <c r="M29" s="369">
        <v>537.67335742572527</v>
      </c>
      <c r="N29" s="370">
        <v>565632.37201186293</v>
      </c>
      <c r="P29" s="116"/>
      <c r="Q29" s="117"/>
      <c r="R29" s="118"/>
    </row>
    <row r="30" spans="1:18">
      <c r="A30" s="266">
        <v>75</v>
      </c>
      <c r="B30" s="13" t="s">
        <v>385</v>
      </c>
      <c r="C30" s="267">
        <v>19549</v>
      </c>
      <c r="D30" s="268">
        <v>8.36</v>
      </c>
      <c r="E30" s="14">
        <v>33498761.449999999</v>
      </c>
      <c r="F30" s="14">
        <f>Tasaus[[#This Row],[Kunnallisvero (maksuunpantu), €]]*100/Tasaus[[#This Row],[Tuloveroprosentti 2023]]</f>
        <v>400702888.15789479</v>
      </c>
      <c r="G30" s="269">
        <f>Tasaus[[#This Row],[Verotettava tulo (kunnallisvero), €]]*($D$11/100)</f>
        <v>29571873.146052636</v>
      </c>
      <c r="H30" s="14">
        <v>9593054.2064687554</v>
      </c>
      <c r="I30" s="15">
        <v>3606666.3376000002</v>
      </c>
      <c r="J30" s="15">
        <f>SUM(Tasaus[[#This Row],[Laskennallinen kunnallisvero, €]:[Laskennallinen kiinteistövero, €]])</f>
        <v>42771593.69012139</v>
      </c>
      <c r="K30" s="15">
        <f>Tasaus[[#This Row],[Laskennallinen verotulo yhteensä, €]]/Tasaus[[#This Row],[Asukasluku 31.12.2022]]</f>
        <v>2187.9172177667087</v>
      </c>
      <c r="L30" s="34">
        <f>$K$11-Tasaus[[#This Row],[Laskennallinen verotulo yhteensä, €/asukas (=tasausraja)]]</f>
        <v>-54.157217766708527</v>
      </c>
      <c r="M30" s="369">
        <v>-5.4157217766708534</v>
      </c>
      <c r="N30" s="370">
        <v>-105871.94501213852</v>
      </c>
      <c r="P30" s="116"/>
      <c r="Q30" s="117"/>
      <c r="R30" s="118"/>
    </row>
    <row r="31" spans="1:18">
      <c r="A31" s="266">
        <v>77</v>
      </c>
      <c r="B31" s="13" t="s">
        <v>386</v>
      </c>
      <c r="C31" s="267">
        <v>4601</v>
      </c>
      <c r="D31" s="268">
        <v>9.36</v>
      </c>
      <c r="E31" s="14">
        <v>6720488.2300000004</v>
      </c>
      <c r="F31" s="14">
        <f>Tasaus[[#This Row],[Kunnallisvero (maksuunpantu), €]]*100/Tasaus[[#This Row],[Tuloveroprosentti 2023]]</f>
        <v>71800087.927350432</v>
      </c>
      <c r="G31" s="269">
        <f>Tasaus[[#This Row],[Verotettava tulo (kunnallisvero), €]]*($D$11/100)</f>
        <v>5298846.4890384618</v>
      </c>
      <c r="H31" s="14">
        <v>810561.62225617492</v>
      </c>
      <c r="I31" s="15">
        <v>724432.36594999989</v>
      </c>
      <c r="J31" s="15">
        <f>SUM(Tasaus[[#This Row],[Laskennallinen kunnallisvero, €]:[Laskennallinen kiinteistövero, €]])</f>
        <v>6833840.477244636</v>
      </c>
      <c r="K31" s="15">
        <f>Tasaus[[#This Row],[Laskennallinen verotulo yhteensä, €]]/Tasaus[[#This Row],[Asukasluku 31.12.2022]]</f>
        <v>1485.2946049216771</v>
      </c>
      <c r="L31" s="34">
        <f>$K$11-Tasaus[[#This Row],[Laskennallinen verotulo yhteensä, €/asukas (=tasausraja)]]</f>
        <v>648.46539507832313</v>
      </c>
      <c r="M31" s="369">
        <v>583.61885557049084</v>
      </c>
      <c r="N31" s="370">
        <v>2685230.3544798284</v>
      </c>
      <c r="P31" s="116"/>
      <c r="Q31" s="117"/>
      <c r="R31" s="118"/>
    </row>
    <row r="32" spans="1:18">
      <c r="A32" s="266">
        <v>78</v>
      </c>
      <c r="B32" s="13" t="s">
        <v>387</v>
      </c>
      <c r="C32" s="267">
        <v>7832</v>
      </c>
      <c r="D32" s="268">
        <v>9.11</v>
      </c>
      <c r="E32" s="14">
        <v>16104753.960000001</v>
      </c>
      <c r="F32" s="14">
        <f>Tasaus[[#This Row],[Kunnallisvero (maksuunpantu), €]]*100/Tasaus[[#This Row],[Tuloveroprosentti 2023]]</f>
        <v>176781053.34796926</v>
      </c>
      <c r="G32" s="269">
        <f>Tasaus[[#This Row],[Verotettava tulo (kunnallisvero), €]]*($D$11/100)</f>
        <v>13046441.737080133</v>
      </c>
      <c r="H32" s="14">
        <v>3191639.9349791994</v>
      </c>
      <c r="I32" s="15">
        <v>1476340.4687999999</v>
      </c>
      <c r="J32" s="15">
        <f>SUM(Tasaus[[#This Row],[Laskennallinen kunnallisvero, €]:[Laskennallinen kiinteistövero, €]])</f>
        <v>17714422.140859332</v>
      </c>
      <c r="K32" s="15">
        <f>Tasaus[[#This Row],[Laskennallinen verotulo yhteensä, €]]/Tasaus[[#This Row],[Asukasluku 31.12.2022]]</f>
        <v>2261.8005797828564</v>
      </c>
      <c r="L32" s="34">
        <f>$K$11-Tasaus[[#This Row],[Laskennallinen verotulo yhteensä, €/asukas (=tasausraja)]]</f>
        <v>-128.04057978285618</v>
      </c>
      <c r="M32" s="369">
        <v>-12.80405797828562</v>
      </c>
      <c r="N32" s="370">
        <v>-100281.38208593297</v>
      </c>
      <c r="P32" s="116"/>
      <c r="Q32" s="117"/>
      <c r="R32" s="118"/>
    </row>
    <row r="33" spans="1:18">
      <c r="A33" s="266">
        <v>79</v>
      </c>
      <c r="B33" s="13" t="s">
        <v>388</v>
      </c>
      <c r="C33" s="267">
        <v>6753</v>
      </c>
      <c r="D33" s="268">
        <v>8.86</v>
      </c>
      <c r="E33" s="14">
        <v>11991726.76</v>
      </c>
      <c r="F33" s="14">
        <f>Tasaus[[#This Row],[Kunnallisvero (maksuunpantu), €]]*100/Tasaus[[#This Row],[Tuloveroprosentti 2023]]</f>
        <v>135346803.1602709</v>
      </c>
      <c r="G33" s="269">
        <f>Tasaus[[#This Row],[Verotettava tulo (kunnallisvero), €]]*($D$11/100)</f>
        <v>9988594.0732279923</v>
      </c>
      <c r="H33" s="14">
        <v>6063295.308312797</v>
      </c>
      <c r="I33" s="15">
        <v>1370876.0565000002</v>
      </c>
      <c r="J33" s="15">
        <f>SUM(Tasaus[[#This Row],[Laskennallinen kunnallisvero, €]:[Laskennallinen kiinteistövero, €]])</f>
        <v>17422765.438040789</v>
      </c>
      <c r="K33" s="15">
        <f>Tasaus[[#This Row],[Laskennallinen verotulo yhteensä, €]]/Tasaus[[#This Row],[Asukasluku 31.12.2022]]</f>
        <v>2580.0037669244466</v>
      </c>
      <c r="L33" s="34">
        <f>$K$11-Tasaus[[#This Row],[Laskennallinen verotulo yhteensä, €/asukas (=tasausraja)]]</f>
        <v>-446.24376692444639</v>
      </c>
      <c r="M33" s="369">
        <v>-44.624376692444642</v>
      </c>
      <c r="N33" s="370">
        <v>-301348.41580407869</v>
      </c>
      <c r="P33" s="116"/>
      <c r="Q33" s="117"/>
      <c r="R33" s="118"/>
    </row>
    <row r="34" spans="1:18">
      <c r="A34" s="266">
        <v>81</v>
      </c>
      <c r="B34" s="13" t="s">
        <v>389</v>
      </c>
      <c r="C34" s="267">
        <v>2574</v>
      </c>
      <c r="D34" s="268">
        <v>8.86</v>
      </c>
      <c r="E34" s="14">
        <v>3561968.07</v>
      </c>
      <c r="F34" s="14">
        <f>Tasaus[[#This Row],[Kunnallisvero (maksuunpantu), €]]*100/Tasaus[[#This Row],[Tuloveroprosentti 2023]]</f>
        <v>40202799.887133189</v>
      </c>
      <c r="G34" s="269">
        <f>Tasaus[[#This Row],[Verotettava tulo (kunnallisvero), €]]*($D$11/100)</f>
        <v>2966966.6316704294</v>
      </c>
      <c r="H34" s="14">
        <v>937863.96740101208</v>
      </c>
      <c r="I34" s="15">
        <v>813421.53260000004</v>
      </c>
      <c r="J34" s="15">
        <f>SUM(Tasaus[[#This Row],[Laskennallinen kunnallisvero, €]:[Laskennallinen kiinteistövero, €]])</f>
        <v>4718252.1316714417</v>
      </c>
      <c r="K34" s="15">
        <f>Tasaus[[#This Row],[Laskennallinen verotulo yhteensä, €]]/Tasaus[[#This Row],[Asukasluku 31.12.2022]]</f>
        <v>1833.0427861971414</v>
      </c>
      <c r="L34" s="34">
        <f>$K$11-Tasaus[[#This Row],[Laskennallinen verotulo yhteensä, €/asukas (=tasausraja)]]</f>
        <v>300.71721380285885</v>
      </c>
      <c r="M34" s="369">
        <v>270.645492422573</v>
      </c>
      <c r="N34" s="370">
        <v>696641.49749570293</v>
      </c>
      <c r="P34" s="116"/>
      <c r="Q34" s="117"/>
      <c r="R34" s="118"/>
    </row>
    <row r="35" spans="1:18">
      <c r="A35" s="266">
        <v>82</v>
      </c>
      <c r="B35" s="13" t="s">
        <v>390</v>
      </c>
      <c r="C35" s="267">
        <v>9359</v>
      </c>
      <c r="D35" s="268">
        <v>8.11</v>
      </c>
      <c r="E35" s="14">
        <v>16719253.289999999</v>
      </c>
      <c r="F35" s="14">
        <f>Tasaus[[#This Row],[Kunnallisvero (maksuunpantu), €]]*100/Tasaus[[#This Row],[Tuloveroprosentti 2023]]</f>
        <v>206156020.83847103</v>
      </c>
      <c r="G35" s="269">
        <f>Tasaus[[#This Row],[Verotettava tulo (kunnallisvero), €]]*($D$11/100)</f>
        <v>15214314.337879162</v>
      </c>
      <c r="H35" s="14">
        <v>2728984.5806490332</v>
      </c>
      <c r="I35" s="15">
        <v>1484265.88365</v>
      </c>
      <c r="J35" s="15">
        <f>SUM(Tasaus[[#This Row],[Laskennallinen kunnallisvero, €]:[Laskennallinen kiinteistövero, €]])</f>
        <v>19427564.802178197</v>
      </c>
      <c r="K35" s="15">
        <f>Tasaus[[#This Row],[Laskennallinen verotulo yhteensä, €]]/Tasaus[[#This Row],[Asukasluku 31.12.2022]]</f>
        <v>2075.8163053935459</v>
      </c>
      <c r="L35" s="34">
        <f>$K$11-Tasaus[[#This Row],[Laskennallinen verotulo yhteensä, €/asukas (=tasausraja)]]</f>
        <v>57.943694606454301</v>
      </c>
      <c r="M35" s="369">
        <v>52.149325145808874</v>
      </c>
      <c r="N35" s="370">
        <v>488065.53403962526</v>
      </c>
      <c r="P35" s="116"/>
      <c r="Q35" s="117"/>
      <c r="R35" s="118"/>
    </row>
    <row r="36" spans="1:18">
      <c r="A36" s="266">
        <v>86</v>
      </c>
      <c r="B36" s="13" t="s">
        <v>391</v>
      </c>
      <c r="C36" s="267">
        <v>8031</v>
      </c>
      <c r="D36" s="268">
        <v>8.86</v>
      </c>
      <c r="E36" s="14">
        <v>14622369.91</v>
      </c>
      <c r="F36" s="14">
        <f>Tasaus[[#This Row],[Kunnallisvero (maksuunpantu), €]]*100/Tasaus[[#This Row],[Tuloveroprosentti 2023]]</f>
        <v>165038035.10158014</v>
      </c>
      <c r="G36" s="269">
        <f>Tasaus[[#This Row],[Verotettava tulo (kunnallisvero), €]]*($D$11/100)</f>
        <v>12179806.990496615</v>
      </c>
      <c r="H36" s="14">
        <v>1002093.6489629329</v>
      </c>
      <c r="I36" s="15">
        <v>958912.05764999997</v>
      </c>
      <c r="J36" s="15">
        <f>SUM(Tasaus[[#This Row],[Laskennallinen kunnallisvero, €]:[Laskennallinen kiinteistövero, €]])</f>
        <v>14140812.697109548</v>
      </c>
      <c r="K36" s="15">
        <f>Tasaus[[#This Row],[Laskennallinen verotulo yhteensä, €]]/Tasaus[[#This Row],[Asukasluku 31.12.2022]]</f>
        <v>1760.7785701792488</v>
      </c>
      <c r="L36" s="34">
        <f>$K$11-Tasaus[[#This Row],[Laskennallinen verotulo yhteensä, €/asukas (=tasausraja)]]</f>
        <v>372.98142982075137</v>
      </c>
      <c r="M36" s="369">
        <v>335.68328683867622</v>
      </c>
      <c r="N36" s="370">
        <v>2695872.4766014088</v>
      </c>
      <c r="P36" s="116"/>
      <c r="Q36" s="117"/>
      <c r="R36" s="118"/>
    </row>
    <row r="37" spans="1:18">
      <c r="A37" s="266">
        <v>90</v>
      </c>
      <c r="B37" s="13" t="s">
        <v>392</v>
      </c>
      <c r="C37" s="267">
        <v>3061</v>
      </c>
      <c r="D37" s="268">
        <v>8.86</v>
      </c>
      <c r="E37" s="14">
        <v>4201376.21</v>
      </c>
      <c r="F37" s="14">
        <f>Tasaus[[#This Row],[Kunnallisvero (maksuunpantu), €]]*100/Tasaus[[#This Row],[Tuloveroprosentti 2023]]</f>
        <v>47419596.049661405</v>
      </c>
      <c r="G37" s="269">
        <f>Tasaus[[#This Row],[Verotettava tulo (kunnallisvero), €]]*($D$11/100)</f>
        <v>3499566.1884650118</v>
      </c>
      <c r="H37" s="14">
        <v>1483865.5853294958</v>
      </c>
      <c r="I37" s="15">
        <v>641042.63224999991</v>
      </c>
      <c r="J37" s="15">
        <f>SUM(Tasaus[[#This Row],[Laskennallinen kunnallisvero, €]:[Laskennallinen kiinteistövero, €]])</f>
        <v>5624474.4060445074</v>
      </c>
      <c r="K37" s="15">
        <f>Tasaus[[#This Row],[Laskennallinen verotulo yhteensä, €]]/Tasaus[[#This Row],[Asukasluku 31.12.2022]]</f>
        <v>1837.463053265112</v>
      </c>
      <c r="L37" s="34">
        <f>$K$11-Tasaus[[#This Row],[Laskennallinen verotulo yhteensä, €/asukas (=tasausraja)]]</f>
        <v>296.29694673488825</v>
      </c>
      <c r="M37" s="369">
        <v>266.66725206139944</v>
      </c>
      <c r="N37" s="370">
        <v>816268.45855994371</v>
      </c>
      <c r="P37" s="116"/>
      <c r="Q37" s="117"/>
      <c r="R37" s="118"/>
    </row>
    <row r="38" spans="1:18">
      <c r="A38" s="266">
        <v>91</v>
      </c>
      <c r="B38" s="13" t="s">
        <v>393</v>
      </c>
      <c r="C38" s="267">
        <v>664028</v>
      </c>
      <c r="D38" s="268">
        <v>5.3599999999999994</v>
      </c>
      <c r="E38" s="14">
        <v>984002110.11000001</v>
      </c>
      <c r="F38" s="14">
        <f>Tasaus[[#This Row],[Kunnallisvero (maksuunpantu), €]]*100/Tasaus[[#This Row],[Tuloveroprosentti 2023]]</f>
        <v>18358248322.947762</v>
      </c>
      <c r="G38" s="269">
        <f>Tasaus[[#This Row],[Verotettava tulo (kunnallisvero), €]]*($D$11/100)</f>
        <v>1354838726.2335448</v>
      </c>
      <c r="H38" s="14">
        <v>477886716.17315882</v>
      </c>
      <c r="I38" s="15">
        <v>186163489.94729999</v>
      </c>
      <c r="J38" s="15">
        <f>SUM(Tasaus[[#This Row],[Laskennallinen kunnallisvero, €]:[Laskennallinen kiinteistövero, €]])</f>
        <v>2018888932.3540037</v>
      </c>
      <c r="K38" s="15">
        <f>Tasaus[[#This Row],[Laskennallinen verotulo yhteensä, €]]/Tasaus[[#This Row],[Asukasluku 31.12.2022]]</f>
        <v>3040.3671717969778</v>
      </c>
      <c r="L38" s="34">
        <f>$K$11-Tasaus[[#This Row],[Laskennallinen verotulo yhteensä, €/asukas (=tasausraja)]]</f>
        <v>-906.60717179697758</v>
      </c>
      <c r="M38" s="369">
        <v>-90.66071717969777</v>
      </c>
      <c r="N38" s="370">
        <v>-60201254.707400352</v>
      </c>
      <c r="P38" s="116"/>
      <c r="Q38" s="117"/>
      <c r="R38" s="118"/>
    </row>
    <row r="39" spans="1:18">
      <c r="A39" s="266">
        <v>92</v>
      </c>
      <c r="B39" s="13" t="s">
        <v>394</v>
      </c>
      <c r="C39" s="267">
        <v>242819</v>
      </c>
      <c r="D39" s="268">
        <v>6.3599999999999994</v>
      </c>
      <c r="E39" s="14">
        <v>363169393.61000001</v>
      </c>
      <c r="F39" s="14">
        <f>Tasaus[[#This Row],[Kunnallisvero (maksuunpantu), €]]*100/Tasaus[[#This Row],[Tuloveroprosentti 2023]]</f>
        <v>5710210591.3522015</v>
      </c>
      <c r="G39" s="269">
        <f>Tasaus[[#This Row],[Verotettava tulo (kunnallisvero), €]]*($D$11/100)</f>
        <v>421413541.64179248</v>
      </c>
      <c r="H39" s="14">
        <v>83574736.105863824</v>
      </c>
      <c r="I39" s="15">
        <v>54019702.440149993</v>
      </c>
      <c r="J39" s="15">
        <f>SUM(Tasaus[[#This Row],[Laskennallinen kunnallisvero, €]:[Laskennallinen kiinteistövero, €]])</f>
        <v>559007980.18780625</v>
      </c>
      <c r="K39" s="15">
        <f>Tasaus[[#This Row],[Laskennallinen verotulo yhteensä, €]]/Tasaus[[#This Row],[Asukasluku 31.12.2022]]</f>
        <v>2302.1591398852902</v>
      </c>
      <c r="L39" s="34">
        <f>$K$11-Tasaus[[#This Row],[Laskennallinen verotulo yhteensä, €/asukas (=tasausraja)]]</f>
        <v>-168.39913988528997</v>
      </c>
      <c r="M39" s="369">
        <v>-16.839913988528998</v>
      </c>
      <c r="N39" s="370">
        <v>-4089051.074780623</v>
      </c>
      <c r="P39" s="116"/>
      <c r="Q39" s="117"/>
      <c r="R39" s="118"/>
    </row>
    <row r="40" spans="1:18">
      <c r="A40" s="266">
        <v>97</v>
      </c>
      <c r="B40" s="13" t="s">
        <v>395</v>
      </c>
      <c r="C40" s="267">
        <v>2091</v>
      </c>
      <c r="D40" s="268">
        <v>7.3599999999999994</v>
      </c>
      <c r="E40" s="14">
        <v>2628375.9700000002</v>
      </c>
      <c r="F40" s="14">
        <f>Tasaus[[#This Row],[Kunnallisvero (maksuunpantu), €]]*100/Tasaus[[#This Row],[Tuloveroprosentti 2023]]</f>
        <v>35711630.027173921</v>
      </c>
      <c r="G40" s="269">
        <f>Tasaus[[#This Row],[Verotettava tulo (kunnallisvero), €]]*($D$11/100)</f>
        <v>2635518.2960054358</v>
      </c>
      <c r="H40" s="14">
        <v>656717.04388960695</v>
      </c>
      <c r="I40" s="15">
        <v>828934.11050000007</v>
      </c>
      <c r="J40" s="15">
        <f>SUM(Tasaus[[#This Row],[Laskennallinen kunnallisvero, €]:[Laskennallinen kiinteistövero, €]])</f>
        <v>4121169.4503950425</v>
      </c>
      <c r="K40" s="15">
        <f>Tasaus[[#This Row],[Laskennallinen verotulo yhteensä, €]]/Tasaus[[#This Row],[Asukasluku 31.12.2022]]</f>
        <v>1970.908393302268</v>
      </c>
      <c r="L40" s="34">
        <f>$K$11-Tasaus[[#This Row],[Laskennallinen verotulo yhteensä, €/asukas (=tasausraja)]]</f>
        <v>162.85160669773222</v>
      </c>
      <c r="M40" s="369">
        <v>146.56644602795902</v>
      </c>
      <c r="N40" s="370">
        <v>306470.43864446232</v>
      </c>
      <c r="P40" s="116"/>
      <c r="Q40" s="117"/>
      <c r="R40" s="118"/>
    </row>
    <row r="41" spans="1:18">
      <c r="A41" s="266">
        <v>98</v>
      </c>
      <c r="B41" s="13" t="s">
        <v>396</v>
      </c>
      <c r="C41" s="267">
        <v>22943</v>
      </c>
      <c r="D41" s="268">
        <v>8.36</v>
      </c>
      <c r="E41" s="14">
        <v>40635413.43</v>
      </c>
      <c r="F41" s="14">
        <f>Tasaus[[#This Row],[Kunnallisvero (maksuunpantu), €]]*100/Tasaus[[#This Row],[Tuloveroprosentti 2023]]</f>
        <v>486069538.63636369</v>
      </c>
      <c r="G41" s="269">
        <f>Tasaus[[#This Row],[Verotettava tulo (kunnallisvero), €]]*($D$11/100)</f>
        <v>35871931.951363645</v>
      </c>
      <c r="H41" s="14">
        <v>2987551.2354392624</v>
      </c>
      <c r="I41" s="15">
        <v>2993335.7806499996</v>
      </c>
      <c r="J41" s="15">
        <f>SUM(Tasaus[[#This Row],[Laskennallinen kunnallisvero, €]:[Laskennallinen kiinteistövero, €]])</f>
        <v>41852818.967452906</v>
      </c>
      <c r="K41" s="15">
        <f>Tasaus[[#This Row],[Laskennallinen verotulo yhteensä, €]]/Tasaus[[#This Row],[Asukasluku 31.12.2022]]</f>
        <v>1824.2086460991547</v>
      </c>
      <c r="L41" s="34">
        <f>$K$11-Tasaus[[#This Row],[Laskennallinen verotulo yhteensä, €/asukas (=tasausraja)]]</f>
        <v>309.55135390084547</v>
      </c>
      <c r="M41" s="369">
        <v>278.59621851076093</v>
      </c>
      <c r="N41" s="370">
        <v>6391833.041292388</v>
      </c>
      <c r="P41" s="116"/>
      <c r="Q41" s="117"/>
      <c r="R41" s="118"/>
    </row>
    <row r="42" spans="1:18">
      <c r="A42" s="266">
        <v>102</v>
      </c>
      <c r="B42" s="13" t="s">
        <v>397</v>
      </c>
      <c r="C42" s="267">
        <v>9745</v>
      </c>
      <c r="D42" s="268">
        <v>8.36</v>
      </c>
      <c r="E42" s="14">
        <v>14352288.789999999</v>
      </c>
      <c r="F42" s="14">
        <f>Tasaus[[#This Row],[Kunnallisvero (maksuunpantu), €]]*100/Tasaus[[#This Row],[Tuloveroprosentti 2023]]</f>
        <v>171678095.57416269</v>
      </c>
      <c r="G42" s="269">
        <f>Tasaus[[#This Row],[Verotettava tulo (kunnallisvero), €]]*($D$11/100)</f>
        <v>12669843.453373207</v>
      </c>
      <c r="H42" s="14">
        <v>2113165.6695613116</v>
      </c>
      <c r="I42" s="15">
        <v>1575495.3802499999</v>
      </c>
      <c r="J42" s="15">
        <f>SUM(Tasaus[[#This Row],[Laskennallinen kunnallisvero, €]:[Laskennallinen kiinteistövero, €]])</f>
        <v>16358504.503184518</v>
      </c>
      <c r="K42" s="15">
        <f>Tasaus[[#This Row],[Laskennallinen verotulo yhteensä, €]]/Tasaus[[#This Row],[Asukasluku 31.12.2022]]</f>
        <v>1678.656182984558</v>
      </c>
      <c r="L42" s="34">
        <f>$K$11-Tasaus[[#This Row],[Laskennallinen verotulo yhteensä, €/asukas (=tasausraja)]]</f>
        <v>455.10381701544225</v>
      </c>
      <c r="M42" s="369">
        <v>409.59343531389806</v>
      </c>
      <c r="N42" s="370">
        <v>3991488.0271339365</v>
      </c>
      <c r="P42" s="116"/>
      <c r="Q42" s="117"/>
      <c r="R42" s="118"/>
    </row>
    <row r="43" spans="1:18">
      <c r="A43" s="266">
        <v>103</v>
      </c>
      <c r="B43" s="13" t="s">
        <v>398</v>
      </c>
      <c r="C43" s="267">
        <v>2161</v>
      </c>
      <c r="D43" s="268">
        <v>9.36</v>
      </c>
      <c r="E43" s="14">
        <v>3425591.52</v>
      </c>
      <c r="F43" s="14">
        <f>Tasaus[[#This Row],[Kunnallisvero (maksuunpantu), €]]*100/Tasaus[[#This Row],[Tuloveroprosentti 2023]]</f>
        <v>36598200</v>
      </c>
      <c r="G43" s="269">
        <f>Tasaus[[#This Row],[Verotettava tulo (kunnallisvero), €]]*($D$11/100)</f>
        <v>2700947.16</v>
      </c>
      <c r="H43" s="14">
        <v>356368.54540748766</v>
      </c>
      <c r="I43" s="15">
        <v>281159.54704999999</v>
      </c>
      <c r="J43" s="15">
        <f>SUM(Tasaus[[#This Row],[Laskennallinen kunnallisvero, €]:[Laskennallinen kiinteistövero, €]])</f>
        <v>3338475.2524574879</v>
      </c>
      <c r="K43" s="15">
        <f>Tasaus[[#This Row],[Laskennallinen verotulo yhteensä, €]]/Tasaus[[#This Row],[Asukasluku 31.12.2022]]</f>
        <v>1544.8751746679723</v>
      </c>
      <c r="L43" s="34">
        <f>$K$11-Tasaus[[#This Row],[Laskennallinen verotulo yhteensä, €/asukas (=tasausraja)]]</f>
        <v>588.88482533202796</v>
      </c>
      <c r="M43" s="369">
        <v>529.99634279882514</v>
      </c>
      <c r="N43" s="370">
        <v>1145322.0967882611</v>
      </c>
      <c r="P43" s="116"/>
      <c r="Q43" s="117"/>
      <c r="R43" s="118"/>
    </row>
    <row r="44" spans="1:18">
      <c r="A44" s="266">
        <v>105</v>
      </c>
      <c r="B44" s="13" t="s">
        <v>399</v>
      </c>
      <c r="C44" s="267">
        <v>2094</v>
      </c>
      <c r="D44" s="268">
        <v>9.11</v>
      </c>
      <c r="E44" s="14">
        <v>2901028.64</v>
      </c>
      <c r="F44" s="14">
        <f>Tasaus[[#This Row],[Kunnallisvero (maksuunpantu), €]]*100/Tasaus[[#This Row],[Tuloveroprosentti 2023]]</f>
        <v>31844441.712403953</v>
      </c>
      <c r="G44" s="269">
        <f>Tasaus[[#This Row],[Verotettava tulo (kunnallisvero), €]]*($D$11/100)</f>
        <v>2350119.7983754119</v>
      </c>
      <c r="H44" s="14">
        <v>575435.40780779219</v>
      </c>
      <c r="I44" s="15">
        <v>411264.78619999997</v>
      </c>
      <c r="J44" s="15">
        <f>SUM(Tasaus[[#This Row],[Laskennallinen kunnallisvero, €]:[Laskennallinen kiinteistövero, €]])</f>
        <v>3336819.9923832039</v>
      </c>
      <c r="K44" s="15">
        <f>Tasaus[[#This Row],[Laskennallinen verotulo yhteensä, €]]/Tasaus[[#This Row],[Asukasluku 31.12.2022]]</f>
        <v>1593.5148005650449</v>
      </c>
      <c r="L44" s="34">
        <f>$K$11-Tasaus[[#This Row],[Laskennallinen verotulo yhteensä, €/asukas (=tasausraja)]]</f>
        <v>540.24519943495534</v>
      </c>
      <c r="M44" s="369">
        <v>486.2206794914598</v>
      </c>
      <c r="N44" s="370">
        <v>1018146.1028551168</v>
      </c>
      <c r="P44" s="116"/>
      <c r="Q44" s="117"/>
      <c r="R44" s="118"/>
    </row>
    <row r="45" spans="1:18">
      <c r="A45" s="266">
        <v>106</v>
      </c>
      <c r="B45" s="13" t="s">
        <v>400</v>
      </c>
      <c r="C45" s="267">
        <v>46797</v>
      </c>
      <c r="D45" s="268">
        <v>7.610000000000003</v>
      </c>
      <c r="E45" s="14">
        <v>84279090.450000003</v>
      </c>
      <c r="F45" s="14">
        <f>Tasaus[[#This Row],[Kunnallisvero (maksuunpantu), €]]*100/Tasaus[[#This Row],[Tuloveroprosentti 2023]]</f>
        <v>1107478192.509855</v>
      </c>
      <c r="G45" s="269">
        <f>Tasaus[[#This Row],[Verotettava tulo (kunnallisvero), €]]*($D$11/100)</f>
        <v>81731890.607227311</v>
      </c>
      <c r="H45" s="14">
        <v>12073184.147352753</v>
      </c>
      <c r="I45" s="15">
        <v>7353790.7100499989</v>
      </c>
      <c r="J45" s="15">
        <f>SUM(Tasaus[[#This Row],[Laskennallinen kunnallisvero, €]:[Laskennallinen kiinteistövero, €]])</f>
        <v>101158865.46463007</v>
      </c>
      <c r="K45" s="15">
        <f>Tasaus[[#This Row],[Laskennallinen verotulo yhteensä, €]]/Tasaus[[#This Row],[Asukasluku 31.12.2022]]</f>
        <v>2161.6527868160365</v>
      </c>
      <c r="L45" s="34">
        <f>$K$11-Tasaus[[#This Row],[Laskennallinen verotulo yhteensä, €/asukas (=tasausraja)]]</f>
        <v>-27.892786816036278</v>
      </c>
      <c r="M45" s="369">
        <v>-2.7892786816036281</v>
      </c>
      <c r="N45" s="370">
        <v>-130529.87446300499</v>
      </c>
      <c r="P45" s="116"/>
      <c r="Q45" s="117"/>
      <c r="R45" s="118"/>
    </row>
    <row r="46" spans="1:18">
      <c r="A46" s="266">
        <v>108</v>
      </c>
      <c r="B46" s="13" t="s">
        <v>401</v>
      </c>
      <c r="C46" s="267">
        <v>10257</v>
      </c>
      <c r="D46" s="268">
        <v>9.360000000000003</v>
      </c>
      <c r="E46" s="14">
        <v>18177666.309999999</v>
      </c>
      <c r="F46" s="14">
        <f>Tasaus[[#This Row],[Kunnallisvero (maksuunpantu), €]]*100/Tasaus[[#This Row],[Tuloveroprosentti 2023]]</f>
        <v>194205836.64529905</v>
      </c>
      <c r="G46" s="269">
        <f>Tasaus[[#This Row],[Verotettava tulo (kunnallisvero), €]]*($D$11/100)</f>
        <v>14332390.744423071</v>
      </c>
      <c r="H46" s="14">
        <v>2040103.5510153882</v>
      </c>
      <c r="I46" s="15">
        <v>1223151.0814999999</v>
      </c>
      <c r="J46" s="15">
        <f>SUM(Tasaus[[#This Row],[Laskennallinen kunnallisvero, €]:[Laskennallinen kiinteistövero, €]])</f>
        <v>17595645.376938459</v>
      </c>
      <c r="K46" s="15">
        <f>Tasaus[[#This Row],[Laskennallinen verotulo yhteensä, €]]/Tasaus[[#This Row],[Asukasluku 31.12.2022]]</f>
        <v>1715.4767843364004</v>
      </c>
      <c r="L46" s="34">
        <f>$K$11-Tasaus[[#This Row],[Laskennallinen verotulo yhteensä, €/asukas (=tasausraja)]]</f>
        <v>418.28321566359978</v>
      </c>
      <c r="M46" s="369">
        <v>376.45489409723979</v>
      </c>
      <c r="N46" s="370">
        <v>3861297.8487553885</v>
      </c>
      <c r="P46" s="116"/>
      <c r="Q46" s="117"/>
      <c r="R46" s="118"/>
    </row>
    <row r="47" spans="1:18">
      <c r="A47" s="266">
        <v>109</v>
      </c>
      <c r="B47" s="13" t="s">
        <v>402</v>
      </c>
      <c r="C47" s="267">
        <v>68043</v>
      </c>
      <c r="D47" s="268">
        <v>8.36</v>
      </c>
      <c r="E47" s="14">
        <v>121849681.37</v>
      </c>
      <c r="F47" s="14">
        <f>Tasaus[[#This Row],[Kunnallisvero (maksuunpantu), €]]*100/Tasaus[[#This Row],[Tuloveroprosentti 2023]]</f>
        <v>1457532073.8038278</v>
      </c>
      <c r="G47" s="269">
        <f>Tasaus[[#This Row],[Verotettava tulo (kunnallisvero), €]]*($D$11/100)</f>
        <v>107565867.0467225</v>
      </c>
      <c r="H47" s="14">
        <v>16934618.270131946</v>
      </c>
      <c r="I47" s="15">
        <v>13037747.681299997</v>
      </c>
      <c r="J47" s="15">
        <f>SUM(Tasaus[[#This Row],[Laskennallinen kunnallisvero, €]:[Laskennallinen kiinteistövero, €]])</f>
        <v>137538232.99815443</v>
      </c>
      <c r="K47" s="15">
        <f>Tasaus[[#This Row],[Laskennallinen verotulo yhteensä, €]]/Tasaus[[#This Row],[Asukasluku 31.12.2022]]</f>
        <v>2021.34287139242</v>
      </c>
      <c r="L47" s="34">
        <f>$K$11-Tasaus[[#This Row],[Laskennallinen verotulo yhteensä, €/asukas (=tasausraja)]]</f>
        <v>112.41712860758025</v>
      </c>
      <c r="M47" s="369">
        <v>101.17541574682222</v>
      </c>
      <c r="N47" s="370">
        <v>6884278.8136610249</v>
      </c>
      <c r="P47" s="116"/>
      <c r="Q47" s="117"/>
      <c r="R47" s="118"/>
    </row>
    <row r="48" spans="1:18">
      <c r="A48" s="266">
        <v>111</v>
      </c>
      <c r="B48" s="13" t="s">
        <v>403</v>
      </c>
      <c r="C48" s="267">
        <v>18131</v>
      </c>
      <c r="D48" s="268">
        <v>7.8599999999999994</v>
      </c>
      <c r="E48" s="14">
        <v>27086658.73</v>
      </c>
      <c r="F48" s="14">
        <f>Tasaus[[#This Row],[Kunnallisvero (maksuunpantu), €]]*100/Tasaus[[#This Row],[Tuloveroprosentti 2023]]</f>
        <v>344613978.75318068</v>
      </c>
      <c r="G48" s="269">
        <f>Tasaus[[#This Row],[Verotettava tulo (kunnallisvero), €]]*($D$11/100)</f>
        <v>25432511.631984737</v>
      </c>
      <c r="H48" s="14">
        <v>2995458.4533560346</v>
      </c>
      <c r="I48" s="15">
        <v>3818143.9605</v>
      </c>
      <c r="J48" s="15">
        <f>SUM(Tasaus[[#This Row],[Laskennallinen kunnallisvero, €]:[Laskennallinen kiinteistövero, €]])</f>
        <v>32246114.04584077</v>
      </c>
      <c r="K48" s="15">
        <f>Tasaus[[#This Row],[Laskennallinen verotulo yhteensä, €]]/Tasaus[[#This Row],[Asukasluku 31.12.2022]]</f>
        <v>1778.5072001456494</v>
      </c>
      <c r="L48" s="34">
        <f>$K$11-Tasaus[[#This Row],[Laskennallinen verotulo yhteensä, €/asukas (=tasausraja)]]</f>
        <v>355.25279985435077</v>
      </c>
      <c r="M48" s="369">
        <v>319.72751986891569</v>
      </c>
      <c r="N48" s="370">
        <v>5796979.6627433104</v>
      </c>
      <c r="P48" s="116"/>
      <c r="Q48" s="117"/>
      <c r="R48" s="118"/>
    </row>
    <row r="49" spans="1:18">
      <c r="A49" s="266">
        <v>139</v>
      </c>
      <c r="B49" s="13" t="s">
        <v>404</v>
      </c>
      <c r="C49" s="267">
        <v>9853</v>
      </c>
      <c r="D49" s="268">
        <v>8.86</v>
      </c>
      <c r="E49" s="14">
        <v>15017515.380000001</v>
      </c>
      <c r="F49" s="14">
        <f>Tasaus[[#This Row],[Kunnallisvero (maksuunpantu), €]]*100/Tasaus[[#This Row],[Tuloveroprosentti 2023]]</f>
        <v>169497916.25282168</v>
      </c>
      <c r="G49" s="269">
        <f>Tasaus[[#This Row],[Verotettava tulo (kunnallisvero), €]]*($D$11/100)</f>
        <v>12508946.219458241</v>
      </c>
      <c r="H49" s="14">
        <v>1291651.9979464894</v>
      </c>
      <c r="I49" s="15">
        <v>1050039.9489500001</v>
      </c>
      <c r="J49" s="15">
        <f>SUM(Tasaus[[#This Row],[Laskennallinen kunnallisvero, €]:[Laskennallinen kiinteistövero, €]])</f>
        <v>14850638.166354731</v>
      </c>
      <c r="K49" s="15">
        <f>Tasaus[[#This Row],[Laskennallinen verotulo yhteensä, €]]/Tasaus[[#This Row],[Asukasluku 31.12.2022]]</f>
        <v>1507.2199498989883</v>
      </c>
      <c r="L49" s="34">
        <f>$K$11-Tasaus[[#This Row],[Laskennallinen verotulo yhteensä, €/asukas (=tasausraja)]]</f>
        <v>626.54005010101196</v>
      </c>
      <c r="M49" s="369">
        <v>563.88604509091078</v>
      </c>
      <c r="N49" s="370">
        <v>5555969.202280744</v>
      </c>
      <c r="P49" s="116"/>
      <c r="Q49" s="117"/>
      <c r="R49" s="118"/>
    </row>
    <row r="50" spans="1:18">
      <c r="A50" s="266">
        <v>140</v>
      </c>
      <c r="B50" s="13" t="s">
        <v>405</v>
      </c>
      <c r="C50" s="267">
        <v>20801</v>
      </c>
      <c r="D50" s="268">
        <v>7.8599999999999994</v>
      </c>
      <c r="E50" s="14">
        <v>29718848.969999999</v>
      </c>
      <c r="F50" s="14">
        <f>Tasaus[[#This Row],[Kunnallisvero (maksuunpantu), €]]*100/Tasaus[[#This Row],[Tuloveroprosentti 2023]]</f>
        <v>378102404.19847333</v>
      </c>
      <c r="G50" s="269">
        <f>Tasaus[[#This Row],[Verotettava tulo (kunnallisvero), €]]*($D$11/100)</f>
        <v>27903957.429847334</v>
      </c>
      <c r="H50" s="14">
        <v>5045428.1926263077</v>
      </c>
      <c r="I50" s="15">
        <v>3167545.2512999992</v>
      </c>
      <c r="J50" s="15">
        <f>SUM(Tasaus[[#This Row],[Laskennallinen kunnallisvero, €]:[Laskennallinen kiinteistövero, €]])</f>
        <v>36116930.873773642</v>
      </c>
      <c r="K50" s="15">
        <f>Tasaus[[#This Row],[Laskennallinen verotulo yhteensä, €]]/Tasaus[[#This Row],[Asukasluku 31.12.2022]]</f>
        <v>1736.307431074162</v>
      </c>
      <c r="L50" s="34">
        <f>$K$11-Tasaus[[#This Row],[Laskennallinen verotulo yhteensä, €/asukas (=tasausraja)]]</f>
        <v>397.45256892583825</v>
      </c>
      <c r="M50" s="369">
        <v>357.70731203325442</v>
      </c>
      <c r="N50" s="370">
        <v>7440669.7976037255</v>
      </c>
      <c r="P50" s="116"/>
      <c r="Q50" s="117"/>
      <c r="R50" s="118"/>
    </row>
    <row r="51" spans="1:18">
      <c r="A51" s="266">
        <v>142</v>
      </c>
      <c r="B51" s="13" t="s">
        <v>406</v>
      </c>
      <c r="C51" s="267">
        <v>6504</v>
      </c>
      <c r="D51" s="268">
        <v>8.61</v>
      </c>
      <c r="E51" s="14">
        <v>10032172.24</v>
      </c>
      <c r="F51" s="14">
        <f>Tasaus[[#This Row],[Kunnallisvero (maksuunpantu), €]]*100/Tasaus[[#This Row],[Tuloveroprosentti 2023]]</f>
        <v>116517679.90708479</v>
      </c>
      <c r="G51" s="269">
        <f>Tasaus[[#This Row],[Verotettava tulo (kunnallisvero), €]]*($D$11/100)</f>
        <v>8599004.7771428581</v>
      </c>
      <c r="H51" s="14">
        <v>937911.40531784028</v>
      </c>
      <c r="I51" s="15">
        <v>1317685.8930000002</v>
      </c>
      <c r="J51" s="15">
        <f>SUM(Tasaus[[#This Row],[Laskennallinen kunnallisvero, €]:[Laskennallinen kiinteistövero, €]])</f>
        <v>10854602.075460698</v>
      </c>
      <c r="K51" s="15">
        <f>Tasaus[[#This Row],[Laskennallinen verotulo yhteensä, €]]/Tasaus[[#This Row],[Asukasluku 31.12.2022]]</f>
        <v>1668.9117582196645</v>
      </c>
      <c r="L51" s="34">
        <f>$K$11-Tasaus[[#This Row],[Laskennallinen verotulo yhteensä, €/asukas (=tasausraja)]]</f>
        <v>464.84824178033568</v>
      </c>
      <c r="M51" s="369">
        <v>418.36341760230215</v>
      </c>
      <c r="N51" s="370">
        <v>2721035.668085373</v>
      </c>
      <c r="P51" s="116"/>
      <c r="Q51" s="117"/>
      <c r="R51" s="118"/>
    </row>
    <row r="52" spans="1:18">
      <c r="A52" s="266">
        <v>143</v>
      </c>
      <c r="B52" s="13" t="s">
        <v>407</v>
      </c>
      <c r="C52" s="267">
        <v>6804</v>
      </c>
      <c r="D52" s="268">
        <v>9.36</v>
      </c>
      <c r="E52" s="14">
        <v>10809294.58</v>
      </c>
      <c r="F52" s="14">
        <f>Tasaus[[#This Row],[Kunnallisvero (maksuunpantu), €]]*100/Tasaus[[#This Row],[Tuloveroprosentti 2023]]</f>
        <v>115483916.45299146</v>
      </c>
      <c r="G52" s="269">
        <f>Tasaus[[#This Row],[Verotettava tulo (kunnallisvero), €]]*($D$11/100)</f>
        <v>8522713.0342307705</v>
      </c>
      <c r="H52" s="14">
        <v>1667255.181115208</v>
      </c>
      <c r="I52" s="15">
        <v>1377097.5307499999</v>
      </c>
      <c r="J52" s="15">
        <f>SUM(Tasaus[[#This Row],[Laskennallinen kunnallisvero, €]:[Laskennallinen kiinteistövero, €]])</f>
        <v>11567065.746095978</v>
      </c>
      <c r="K52" s="15">
        <f>Tasaus[[#This Row],[Laskennallinen verotulo yhteensä, €]]/Tasaus[[#This Row],[Asukasluku 31.12.2022]]</f>
        <v>1700.03905733333</v>
      </c>
      <c r="L52" s="34">
        <f>$K$11-Tasaus[[#This Row],[Laskennallinen verotulo yhteensä, €/asukas (=tasausraja)]]</f>
        <v>433.72094266667023</v>
      </c>
      <c r="M52" s="369">
        <v>390.34884840000319</v>
      </c>
      <c r="N52" s="370">
        <v>2655933.5645136219</v>
      </c>
      <c r="P52" s="116"/>
      <c r="Q52" s="117"/>
      <c r="R52" s="118"/>
    </row>
    <row r="53" spans="1:18">
      <c r="A53" s="266">
        <v>145</v>
      </c>
      <c r="B53" s="13" t="s">
        <v>408</v>
      </c>
      <c r="C53" s="267">
        <v>12369</v>
      </c>
      <c r="D53" s="268">
        <v>8.36</v>
      </c>
      <c r="E53" s="14">
        <v>19108553.18</v>
      </c>
      <c r="F53" s="14">
        <f>Tasaus[[#This Row],[Kunnallisvero (maksuunpantu), €]]*100/Tasaus[[#This Row],[Tuloveroprosentti 2023]]</f>
        <v>228571210.28708136</v>
      </c>
      <c r="G53" s="269">
        <f>Tasaus[[#This Row],[Verotettava tulo (kunnallisvero), €]]*($D$11/100)</f>
        <v>16868555.319186606</v>
      </c>
      <c r="H53" s="14">
        <v>1587666.2161565835</v>
      </c>
      <c r="I53" s="15">
        <v>1451120.8001000001</v>
      </c>
      <c r="J53" s="15">
        <f>SUM(Tasaus[[#This Row],[Laskennallinen kunnallisvero, €]:[Laskennallinen kiinteistövero, €]])</f>
        <v>19907342.335443188</v>
      </c>
      <c r="K53" s="15">
        <f>Tasaus[[#This Row],[Laskennallinen verotulo yhteensä, €]]/Tasaus[[#This Row],[Asukasluku 31.12.2022]]</f>
        <v>1609.454469677677</v>
      </c>
      <c r="L53" s="34">
        <f>$K$11-Tasaus[[#This Row],[Laskennallinen verotulo yhteensä, €/asukas (=tasausraja)]]</f>
        <v>524.30553032232319</v>
      </c>
      <c r="M53" s="369">
        <v>471.8749772900909</v>
      </c>
      <c r="N53" s="370">
        <v>5836621.5941011347</v>
      </c>
      <c r="P53" s="116"/>
      <c r="Q53" s="117"/>
      <c r="R53" s="118"/>
    </row>
    <row r="54" spans="1:18">
      <c r="A54" s="266">
        <v>146</v>
      </c>
      <c r="B54" s="13" t="s">
        <v>409</v>
      </c>
      <c r="C54" s="267">
        <v>4492</v>
      </c>
      <c r="D54" s="268">
        <v>8.36</v>
      </c>
      <c r="E54" s="14">
        <v>5832415.8200000003</v>
      </c>
      <c r="F54" s="14">
        <f>Tasaus[[#This Row],[Kunnallisvero (maksuunpantu), €]]*100/Tasaus[[#This Row],[Tuloveroprosentti 2023]]</f>
        <v>69765739.473684222</v>
      </c>
      <c r="G54" s="269">
        <f>Tasaus[[#This Row],[Verotettava tulo (kunnallisvero), €]]*($D$11/100)</f>
        <v>5148711.5731578963</v>
      </c>
      <c r="H54" s="14">
        <v>2230879.0866999985</v>
      </c>
      <c r="I54" s="15">
        <v>832952.34549999994</v>
      </c>
      <c r="J54" s="15">
        <f>SUM(Tasaus[[#This Row],[Laskennallinen kunnallisvero, €]:[Laskennallinen kiinteistövero, €]])</f>
        <v>8212543.005357895</v>
      </c>
      <c r="K54" s="15">
        <f>Tasaus[[#This Row],[Laskennallinen verotulo yhteensä, €]]/Tasaus[[#This Row],[Asukasluku 31.12.2022]]</f>
        <v>1828.2597963842152</v>
      </c>
      <c r="L54" s="34">
        <f>$K$11-Tasaus[[#This Row],[Laskennallinen verotulo yhteensä, €/asukas (=tasausraja)]]</f>
        <v>305.50020361578504</v>
      </c>
      <c r="M54" s="369">
        <v>274.95018325420654</v>
      </c>
      <c r="N54" s="370">
        <v>1235076.2231778956</v>
      </c>
      <c r="P54" s="116"/>
      <c r="Q54" s="117"/>
      <c r="R54" s="118"/>
    </row>
    <row r="55" spans="1:18">
      <c r="A55" s="266">
        <v>148</v>
      </c>
      <c r="B55" s="13" t="s">
        <v>410</v>
      </c>
      <c r="C55" s="267">
        <v>7047</v>
      </c>
      <c r="D55" s="268">
        <v>6.3599999999999994</v>
      </c>
      <c r="E55" s="14">
        <v>9272412.8499999996</v>
      </c>
      <c r="F55" s="14">
        <f>Tasaus[[#This Row],[Kunnallisvero (maksuunpantu), €]]*100/Tasaus[[#This Row],[Tuloveroprosentti 2023]]</f>
        <v>145792654.87421384</v>
      </c>
      <c r="G55" s="269">
        <f>Tasaus[[#This Row],[Verotettava tulo (kunnallisvero), €]]*($D$11/100)</f>
        <v>10759497.929716982</v>
      </c>
      <c r="H55" s="14">
        <v>1930279.562574663</v>
      </c>
      <c r="I55" s="15">
        <v>2411096.6837499999</v>
      </c>
      <c r="J55" s="15">
        <f>SUM(Tasaus[[#This Row],[Laskennallinen kunnallisvero, €]:[Laskennallinen kiinteistövero, €]])</f>
        <v>15100874.176041644</v>
      </c>
      <c r="K55" s="15">
        <f>Tasaus[[#This Row],[Laskennallinen verotulo yhteensä, €]]/Tasaus[[#This Row],[Asukasluku 31.12.2022]]</f>
        <v>2142.8798319911516</v>
      </c>
      <c r="L55" s="34">
        <f>$K$11-Tasaus[[#This Row],[Laskennallinen verotulo yhteensä, €/asukas (=tasausraja)]]</f>
        <v>-9.1198319911513863</v>
      </c>
      <c r="M55" s="369">
        <v>-0.9119831991151387</v>
      </c>
      <c r="N55" s="370">
        <v>-6426.7456041643827</v>
      </c>
      <c r="P55" s="116"/>
      <c r="Q55" s="117"/>
      <c r="R55" s="118"/>
    </row>
    <row r="56" spans="1:18">
      <c r="A56" s="266">
        <v>149</v>
      </c>
      <c r="B56" s="13" t="s">
        <v>411</v>
      </c>
      <c r="C56" s="267">
        <v>5384</v>
      </c>
      <c r="D56" s="268">
        <v>8.11</v>
      </c>
      <c r="E56" s="14">
        <v>10399491.140000001</v>
      </c>
      <c r="F56" s="14">
        <f>Tasaus[[#This Row],[Kunnallisvero (maksuunpantu), €]]*100/Tasaus[[#This Row],[Tuloveroprosentti 2023]]</f>
        <v>128230470.28360051</v>
      </c>
      <c r="G56" s="269">
        <f>Tasaus[[#This Row],[Verotettava tulo (kunnallisvero), €]]*($D$11/100)</f>
        <v>9463408.7069297191</v>
      </c>
      <c r="H56" s="14">
        <v>924163.75326974539</v>
      </c>
      <c r="I56" s="15">
        <v>1429040.6802500002</v>
      </c>
      <c r="J56" s="15">
        <f>SUM(Tasaus[[#This Row],[Laskennallinen kunnallisvero, €]:[Laskennallinen kiinteistövero, €]])</f>
        <v>11816613.140449464</v>
      </c>
      <c r="K56" s="15">
        <f>Tasaus[[#This Row],[Laskennallinen verotulo yhteensä, €]]/Tasaus[[#This Row],[Asukasluku 31.12.2022]]</f>
        <v>2194.764699191951</v>
      </c>
      <c r="L56" s="34">
        <f>$K$11-Tasaus[[#This Row],[Laskennallinen verotulo yhteensä, €/asukas (=tasausraja)]]</f>
        <v>-61.004699191950749</v>
      </c>
      <c r="M56" s="369">
        <v>-6.1004699191950751</v>
      </c>
      <c r="N56" s="370">
        <v>-32844.930044946283</v>
      </c>
      <c r="P56" s="116"/>
      <c r="Q56" s="117"/>
      <c r="R56" s="118"/>
    </row>
    <row r="57" spans="1:18">
      <c r="A57" s="266">
        <v>151</v>
      </c>
      <c r="B57" s="13" t="s">
        <v>412</v>
      </c>
      <c r="C57" s="267">
        <v>1852</v>
      </c>
      <c r="D57" s="268">
        <v>9.86</v>
      </c>
      <c r="E57" s="14">
        <v>2887764.6</v>
      </c>
      <c r="F57" s="14">
        <f>Tasaus[[#This Row],[Kunnallisvero (maksuunpantu), €]]*100/Tasaus[[#This Row],[Tuloveroprosentti 2023]]</f>
        <v>29287673.427991889</v>
      </c>
      <c r="G57" s="269">
        <f>Tasaus[[#This Row],[Verotettava tulo (kunnallisvero), €]]*($D$11/100)</f>
        <v>2161430.2989858016</v>
      </c>
      <c r="H57" s="14">
        <v>836488.4203826905</v>
      </c>
      <c r="I57" s="15">
        <v>318810.92725000001</v>
      </c>
      <c r="J57" s="15">
        <f>SUM(Tasaus[[#This Row],[Laskennallinen kunnallisvero, €]:[Laskennallinen kiinteistövero, €]])</f>
        <v>3316729.6466184924</v>
      </c>
      <c r="K57" s="15">
        <f>Tasaus[[#This Row],[Laskennallinen verotulo yhteensä, €]]/Tasaus[[#This Row],[Asukasluku 31.12.2022]]</f>
        <v>1790.8907379149528</v>
      </c>
      <c r="L57" s="34">
        <f>$K$11-Tasaus[[#This Row],[Laskennallinen verotulo yhteensä, €/asukas (=tasausraja)]]</f>
        <v>342.86926208504747</v>
      </c>
      <c r="M57" s="369">
        <v>308.58233587654274</v>
      </c>
      <c r="N57" s="370">
        <v>571494.48604335717</v>
      </c>
      <c r="P57" s="116"/>
      <c r="Q57" s="117"/>
      <c r="R57" s="118"/>
    </row>
    <row r="58" spans="1:18">
      <c r="A58" s="266">
        <v>152</v>
      </c>
      <c r="B58" s="13" t="s">
        <v>413</v>
      </c>
      <c r="C58" s="267">
        <v>4406</v>
      </c>
      <c r="D58" s="268">
        <v>8.86</v>
      </c>
      <c r="E58" s="14">
        <v>6923808.8399999999</v>
      </c>
      <c r="F58" s="14">
        <f>Tasaus[[#This Row],[Kunnallisvero (maksuunpantu), €]]*100/Tasaus[[#This Row],[Tuloveroprosentti 2023]]</f>
        <v>78146826.636568859</v>
      </c>
      <c r="G58" s="269">
        <f>Tasaus[[#This Row],[Verotettava tulo (kunnallisvero), €]]*($D$11/100)</f>
        <v>5767235.8057787819</v>
      </c>
      <c r="H58" s="14">
        <v>752304.8056767222</v>
      </c>
      <c r="I58" s="15">
        <v>490552.41554999998</v>
      </c>
      <c r="J58" s="15">
        <f>SUM(Tasaus[[#This Row],[Laskennallinen kunnallisvero, €]:[Laskennallinen kiinteistövero, €]])</f>
        <v>7010093.0270055039</v>
      </c>
      <c r="K58" s="15">
        <f>Tasaus[[#This Row],[Laskennallinen verotulo yhteensä, €]]/Tasaus[[#This Row],[Asukasluku 31.12.2022]]</f>
        <v>1591.0333697243541</v>
      </c>
      <c r="L58" s="34">
        <f>$K$11-Tasaus[[#This Row],[Laskennallinen verotulo yhteensä, €/asukas (=tasausraja)]]</f>
        <v>542.72663027564613</v>
      </c>
      <c r="M58" s="369">
        <v>488.45396724808154</v>
      </c>
      <c r="N58" s="370">
        <v>2152128.1796950474</v>
      </c>
      <c r="P58" s="116"/>
      <c r="Q58" s="117"/>
      <c r="R58" s="118"/>
    </row>
    <row r="59" spans="1:18">
      <c r="A59" s="266">
        <v>153</v>
      </c>
      <c r="B59" s="13" t="s">
        <v>414</v>
      </c>
      <c r="C59" s="267">
        <v>25208</v>
      </c>
      <c r="D59" s="268">
        <v>7.3599999999999994</v>
      </c>
      <c r="E59" s="14">
        <v>37711192.539999999</v>
      </c>
      <c r="F59" s="14">
        <f>Tasaus[[#This Row],[Kunnallisvero (maksuunpantu), €]]*100/Tasaus[[#This Row],[Tuloveroprosentti 2023]]</f>
        <v>512380333.42391306</v>
      </c>
      <c r="G59" s="269">
        <f>Tasaus[[#This Row],[Verotettava tulo (kunnallisvero), €]]*($D$11/100)</f>
        <v>37813668.606684789</v>
      </c>
      <c r="H59" s="14">
        <v>3688386.0810463945</v>
      </c>
      <c r="I59" s="15">
        <v>4110429.4466500003</v>
      </c>
      <c r="J59" s="15">
        <f>SUM(Tasaus[[#This Row],[Laskennallinen kunnallisvero, €]:[Laskennallinen kiinteistövero, €]])</f>
        <v>45612484.134381182</v>
      </c>
      <c r="K59" s="15">
        <f>Tasaus[[#This Row],[Laskennallinen verotulo yhteensä, €]]/Tasaus[[#This Row],[Asukasluku 31.12.2022]]</f>
        <v>1809.4447847659942</v>
      </c>
      <c r="L59" s="34">
        <f>$K$11-Tasaus[[#This Row],[Laskennallinen verotulo yhteensä, €/asukas (=tasausraja)]]</f>
        <v>324.31521523400602</v>
      </c>
      <c r="M59" s="369">
        <v>291.88369371060543</v>
      </c>
      <c r="N59" s="370">
        <v>7357804.1510569416</v>
      </c>
      <c r="P59" s="116"/>
      <c r="Q59" s="117"/>
      <c r="R59" s="118"/>
    </row>
    <row r="60" spans="1:18">
      <c r="A60" s="266">
        <v>165</v>
      </c>
      <c r="B60" s="13" t="s">
        <v>415</v>
      </c>
      <c r="C60" s="267">
        <v>16280</v>
      </c>
      <c r="D60" s="268">
        <v>8.36</v>
      </c>
      <c r="E60" s="14">
        <v>28502469.57</v>
      </c>
      <c r="F60" s="14">
        <f>Tasaus[[#This Row],[Kunnallisvero (maksuunpantu), €]]*100/Tasaus[[#This Row],[Tuloveroprosentti 2023]]</f>
        <v>340938631.22009569</v>
      </c>
      <c r="G60" s="269">
        <f>Tasaus[[#This Row],[Verotettava tulo (kunnallisvero), €]]*($D$11/100)</f>
        <v>25161270.984043065</v>
      </c>
      <c r="H60" s="14">
        <v>2797635.1526190066</v>
      </c>
      <c r="I60" s="15">
        <v>2297412.4029999999</v>
      </c>
      <c r="J60" s="15">
        <f>SUM(Tasaus[[#This Row],[Laskennallinen kunnallisvero, €]:[Laskennallinen kiinteistövero, €]])</f>
        <v>30256318.539662074</v>
      </c>
      <c r="K60" s="15">
        <f>Tasaus[[#This Row],[Laskennallinen verotulo yhteensä, €]]/Tasaus[[#This Row],[Asukasluku 31.12.2022]]</f>
        <v>1858.4962247949677</v>
      </c>
      <c r="L60" s="34">
        <f>$K$11-Tasaus[[#This Row],[Laskennallinen verotulo yhteensä, €/asukas (=tasausraja)]]</f>
        <v>275.26377520503252</v>
      </c>
      <c r="M60" s="369">
        <v>247.73739768452927</v>
      </c>
      <c r="N60" s="370">
        <v>4033164.8343041367</v>
      </c>
      <c r="P60" s="116"/>
      <c r="Q60" s="117"/>
      <c r="R60" s="118"/>
    </row>
    <row r="61" spans="1:18">
      <c r="A61" s="266">
        <v>167</v>
      </c>
      <c r="B61" s="13" t="s">
        <v>416</v>
      </c>
      <c r="C61" s="267">
        <v>77513</v>
      </c>
      <c r="D61" s="268">
        <v>7.8599999999999994</v>
      </c>
      <c r="E61" s="14">
        <v>109851505.51000001</v>
      </c>
      <c r="F61" s="14">
        <f>Tasaus[[#This Row],[Kunnallisvero (maksuunpantu), €]]*100/Tasaus[[#This Row],[Tuloveroprosentti 2023]]</f>
        <v>1397601851.2722647</v>
      </c>
      <c r="G61" s="269">
        <f>Tasaus[[#This Row],[Verotettava tulo (kunnallisvero), €]]*($D$11/100)</f>
        <v>103143016.62389314</v>
      </c>
      <c r="H61" s="14">
        <v>24044368.867205262</v>
      </c>
      <c r="I61" s="15">
        <v>12520594.710349999</v>
      </c>
      <c r="J61" s="15">
        <f>SUM(Tasaus[[#This Row],[Laskennallinen kunnallisvero, €]:[Laskennallinen kiinteistövero, €]])</f>
        <v>139707980.20144841</v>
      </c>
      <c r="K61" s="15">
        <f>Tasaus[[#This Row],[Laskennallinen verotulo yhteensä, €]]/Tasaus[[#This Row],[Asukasluku 31.12.2022]]</f>
        <v>1802.381280578076</v>
      </c>
      <c r="L61" s="34">
        <f>$K$11-Tasaus[[#This Row],[Laskennallinen verotulo yhteensä, €/asukas (=tasausraja)]]</f>
        <v>331.37871942192419</v>
      </c>
      <c r="M61" s="369">
        <v>298.24084747973177</v>
      </c>
      <c r="N61" s="370">
        <v>23117542.810696449</v>
      </c>
      <c r="P61" s="116"/>
      <c r="Q61" s="117"/>
      <c r="R61" s="118"/>
    </row>
    <row r="62" spans="1:18">
      <c r="A62" s="266">
        <v>169</v>
      </c>
      <c r="B62" s="13" t="s">
        <v>417</v>
      </c>
      <c r="C62" s="267">
        <v>4990</v>
      </c>
      <c r="D62" s="268">
        <v>8.6099999999999959</v>
      </c>
      <c r="E62" s="14">
        <v>8328371.4400000004</v>
      </c>
      <c r="F62" s="14">
        <f>Tasaus[[#This Row],[Kunnallisvero (maksuunpantu), €]]*100/Tasaus[[#This Row],[Tuloveroprosentti 2023]]</f>
        <v>96729052.729384482</v>
      </c>
      <c r="G62" s="269">
        <f>Tasaus[[#This Row],[Verotettava tulo (kunnallisvero), €]]*($D$11/100)</f>
        <v>7138604.0914285751</v>
      </c>
      <c r="H62" s="14">
        <v>618947.83701851976</v>
      </c>
      <c r="I62" s="15">
        <v>597753.6915999999</v>
      </c>
      <c r="J62" s="15">
        <f>SUM(Tasaus[[#This Row],[Laskennallinen kunnallisvero, €]:[Laskennallinen kiinteistövero, €]])</f>
        <v>8355305.6200470943</v>
      </c>
      <c r="K62" s="15">
        <f>Tasaus[[#This Row],[Laskennallinen verotulo yhteensä, €]]/Tasaus[[#This Row],[Asukasluku 31.12.2022]]</f>
        <v>1674.4099438972132</v>
      </c>
      <c r="L62" s="34">
        <f>$K$11-Tasaus[[#This Row],[Laskennallinen verotulo yhteensä, €/asukas (=tasausraja)]]</f>
        <v>459.35005610278699</v>
      </c>
      <c r="M62" s="369">
        <v>413.41505049250833</v>
      </c>
      <c r="N62" s="370">
        <v>2062941.1019576166</v>
      </c>
      <c r="P62" s="116"/>
      <c r="Q62" s="117"/>
      <c r="R62" s="118"/>
    </row>
    <row r="63" spans="1:18">
      <c r="A63" s="266">
        <v>171</v>
      </c>
      <c r="B63" s="13" t="s">
        <v>418</v>
      </c>
      <c r="C63" s="267">
        <v>4540</v>
      </c>
      <c r="D63" s="268">
        <v>8.61</v>
      </c>
      <c r="E63" s="14">
        <v>7223920.6299999999</v>
      </c>
      <c r="F63" s="14">
        <f>Tasaus[[#This Row],[Kunnallisvero (maksuunpantu), €]]*100/Tasaus[[#This Row],[Tuloveroprosentti 2023]]</f>
        <v>83901517.189314753</v>
      </c>
      <c r="G63" s="269">
        <f>Tasaus[[#This Row],[Verotettava tulo (kunnallisvero), €]]*($D$11/100)</f>
        <v>6191931.9685714291</v>
      </c>
      <c r="H63" s="14">
        <v>1215197.8886582663</v>
      </c>
      <c r="I63" s="15">
        <v>667311.3121499999</v>
      </c>
      <c r="J63" s="15">
        <f>SUM(Tasaus[[#This Row],[Laskennallinen kunnallisvero, €]:[Laskennallinen kiinteistövero, €]])</f>
        <v>8074441.1693796953</v>
      </c>
      <c r="K63" s="15">
        <f>Tasaus[[#This Row],[Laskennallinen verotulo yhteensä, €]]/Tasaus[[#This Row],[Asukasluku 31.12.2022]]</f>
        <v>1778.5112707884791</v>
      </c>
      <c r="L63" s="34">
        <f>$K$11-Tasaus[[#This Row],[Laskennallinen verotulo yhteensä, €/asukas (=tasausraja)]]</f>
        <v>355.24872921152109</v>
      </c>
      <c r="M63" s="369">
        <v>319.72385629036899</v>
      </c>
      <c r="N63" s="370">
        <v>1451546.3075582753</v>
      </c>
      <c r="P63" s="116"/>
      <c r="Q63" s="117"/>
      <c r="R63" s="118"/>
    </row>
    <row r="64" spans="1:18">
      <c r="A64" s="266">
        <v>172</v>
      </c>
      <c r="B64" s="13" t="s">
        <v>419</v>
      </c>
      <c r="C64" s="267">
        <v>4171</v>
      </c>
      <c r="D64" s="268">
        <v>8.36</v>
      </c>
      <c r="E64" s="14">
        <v>5482080.9500000002</v>
      </c>
      <c r="F64" s="14">
        <f>Tasaus[[#This Row],[Kunnallisvero (maksuunpantu), €]]*100/Tasaus[[#This Row],[Tuloveroprosentti 2023]]</f>
        <v>65575130.980861247</v>
      </c>
      <c r="G64" s="269">
        <f>Tasaus[[#This Row],[Verotettava tulo (kunnallisvero), €]]*($D$11/100)</f>
        <v>4839444.6663875598</v>
      </c>
      <c r="H64" s="14">
        <v>1186583.1216005611</v>
      </c>
      <c r="I64" s="15">
        <v>906868.66209999984</v>
      </c>
      <c r="J64" s="15">
        <f>SUM(Tasaus[[#This Row],[Laskennallinen kunnallisvero, €]:[Laskennallinen kiinteistövero, €]])</f>
        <v>6932896.450088121</v>
      </c>
      <c r="K64" s="15">
        <f>Tasaus[[#This Row],[Laskennallinen verotulo yhteensä, €]]/Tasaus[[#This Row],[Asukasluku 31.12.2022]]</f>
        <v>1662.1664948664879</v>
      </c>
      <c r="L64" s="34">
        <f>$K$11-Tasaus[[#This Row],[Laskennallinen verotulo yhteensä, €/asukas (=tasausraja)]]</f>
        <v>471.59350513351228</v>
      </c>
      <c r="M64" s="369">
        <v>424.43415462016105</v>
      </c>
      <c r="N64" s="370">
        <v>1770314.8589206918</v>
      </c>
      <c r="P64" s="116"/>
      <c r="Q64" s="117"/>
      <c r="R64" s="118"/>
    </row>
    <row r="65" spans="1:18">
      <c r="A65" s="266">
        <v>176</v>
      </c>
      <c r="B65" s="13" t="s">
        <v>420</v>
      </c>
      <c r="C65" s="267">
        <v>4352</v>
      </c>
      <c r="D65" s="268">
        <v>8.11</v>
      </c>
      <c r="E65" s="14">
        <v>5173570.42</v>
      </c>
      <c r="F65" s="14">
        <f>Tasaus[[#This Row],[Kunnallisvero (maksuunpantu), €]]*100/Tasaus[[#This Row],[Tuloveroprosentti 2023]]</f>
        <v>63792483.600493222</v>
      </c>
      <c r="G65" s="269">
        <f>Tasaus[[#This Row],[Verotettava tulo (kunnallisvero), €]]*($D$11/100)</f>
        <v>4707885.2897164002</v>
      </c>
      <c r="H65" s="14">
        <v>1303852.7067143775</v>
      </c>
      <c r="I65" s="15">
        <v>779526.71644999995</v>
      </c>
      <c r="J65" s="15">
        <f>SUM(Tasaus[[#This Row],[Laskennallinen kunnallisvero, €]:[Laskennallinen kiinteistövero, €]])</f>
        <v>6791264.7128807781</v>
      </c>
      <c r="K65" s="15">
        <f>Tasaus[[#This Row],[Laskennallinen verotulo yhteensä, €]]/Tasaus[[#This Row],[Asukasluku 31.12.2022]]</f>
        <v>1560.4928108641493</v>
      </c>
      <c r="L65" s="34">
        <f>$K$11-Tasaus[[#This Row],[Laskennallinen verotulo yhteensä, €/asukas (=tasausraja)]]</f>
        <v>573.26718913585091</v>
      </c>
      <c r="M65" s="369">
        <v>515.94047022226584</v>
      </c>
      <c r="N65" s="370">
        <v>2245372.9264073009</v>
      </c>
      <c r="P65" s="116"/>
      <c r="Q65" s="117"/>
      <c r="R65" s="118"/>
    </row>
    <row r="66" spans="1:18">
      <c r="A66" s="266">
        <v>177</v>
      </c>
      <c r="B66" s="13" t="s">
        <v>421</v>
      </c>
      <c r="C66" s="267">
        <v>1768</v>
      </c>
      <c r="D66" s="268">
        <v>8.36</v>
      </c>
      <c r="E66" s="14">
        <v>2518662.19</v>
      </c>
      <c r="F66" s="14">
        <f>Tasaus[[#This Row],[Kunnallisvero (maksuunpantu), €]]*100/Tasaus[[#This Row],[Tuloveroprosentti 2023]]</f>
        <v>30127538.157894738</v>
      </c>
      <c r="G66" s="269">
        <f>Tasaus[[#This Row],[Verotettava tulo (kunnallisvero), €]]*($D$11/100)</f>
        <v>2223412.3160526319</v>
      </c>
      <c r="H66" s="14">
        <v>904134.53040164104</v>
      </c>
      <c r="I66" s="15">
        <v>317444.44284999993</v>
      </c>
      <c r="J66" s="15">
        <f>SUM(Tasaus[[#This Row],[Laskennallinen kunnallisvero, €]:[Laskennallinen kiinteistövero, €]])</f>
        <v>3444991.2893042727</v>
      </c>
      <c r="K66" s="15">
        <f>Tasaus[[#This Row],[Laskennallinen verotulo yhteensä, €]]/Tasaus[[#This Row],[Asukasluku 31.12.2022]]</f>
        <v>1948.5244849006067</v>
      </c>
      <c r="L66" s="34">
        <f>$K$11-Tasaus[[#This Row],[Laskennallinen verotulo yhteensä, €/asukas (=tasausraja)]]</f>
        <v>185.23551509939352</v>
      </c>
      <c r="M66" s="369">
        <v>166.71196358945417</v>
      </c>
      <c r="N66" s="370">
        <v>294746.75162615499</v>
      </c>
      <c r="P66" s="116"/>
      <c r="Q66" s="117"/>
      <c r="R66" s="118"/>
    </row>
    <row r="67" spans="1:18">
      <c r="A67" s="266">
        <v>178</v>
      </c>
      <c r="B67" s="13" t="s">
        <v>422</v>
      </c>
      <c r="C67" s="267">
        <v>5769</v>
      </c>
      <c r="D67" s="268">
        <v>8.11</v>
      </c>
      <c r="E67" s="14">
        <v>7554256.5599999996</v>
      </c>
      <c r="F67" s="14">
        <f>Tasaus[[#This Row],[Kunnallisvero (maksuunpantu), €]]*100/Tasaus[[#This Row],[Tuloveroprosentti 2023]]</f>
        <v>93147429.839704081</v>
      </c>
      <c r="G67" s="269">
        <f>Tasaus[[#This Row],[Verotettava tulo (kunnallisvero), €]]*($D$11/100)</f>
        <v>6874280.3221701616</v>
      </c>
      <c r="H67" s="14">
        <v>1645903.4466264369</v>
      </c>
      <c r="I67" s="15">
        <v>1028618.0887999999</v>
      </c>
      <c r="J67" s="15">
        <f>SUM(Tasaus[[#This Row],[Laskennallinen kunnallisvero, €]:[Laskennallinen kiinteistövero, €]])</f>
        <v>9548801.8575965986</v>
      </c>
      <c r="K67" s="15">
        <f>Tasaus[[#This Row],[Laskennallinen verotulo yhteensä, €]]/Tasaus[[#This Row],[Asukasluku 31.12.2022]]</f>
        <v>1655.1918629912634</v>
      </c>
      <c r="L67" s="34">
        <f>$K$11-Tasaus[[#This Row],[Laskennallinen verotulo yhteensä, €/asukas (=tasausraja)]]</f>
        <v>478.56813700873681</v>
      </c>
      <c r="M67" s="369">
        <v>430.71132330786315</v>
      </c>
      <c r="N67" s="370">
        <v>2484773.6241630623</v>
      </c>
      <c r="P67" s="116"/>
      <c r="Q67" s="117"/>
      <c r="R67" s="118"/>
    </row>
    <row r="68" spans="1:18">
      <c r="A68" s="266">
        <v>179</v>
      </c>
      <c r="B68" s="13" t="s">
        <v>423</v>
      </c>
      <c r="C68" s="267">
        <v>145887</v>
      </c>
      <c r="D68" s="268">
        <v>7.3599999999999994</v>
      </c>
      <c r="E68" s="14">
        <v>214139265.28</v>
      </c>
      <c r="F68" s="14">
        <f>Tasaus[[#This Row],[Kunnallisvero (maksuunpantu), €]]*100/Tasaus[[#This Row],[Tuloveroprosentti 2023]]</f>
        <v>2909500886.956522</v>
      </c>
      <c r="G68" s="269">
        <f>Tasaus[[#This Row],[Verotettava tulo (kunnallisvero), €]]*($D$11/100)</f>
        <v>214721165.45739132</v>
      </c>
      <c r="H68" s="14">
        <v>30886317.509589463</v>
      </c>
      <c r="I68" s="15">
        <v>26037830.997099999</v>
      </c>
      <c r="J68" s="15">
        <f>SUM(Tasaus[[#This Row],[Laskennallinen kunnallisvero, €]:[Laskennallinen kiinteistövero, €]])</f>
        <v>271645313.96408081</v>
      </c>
      <c r="K68" s="15">
        <f>Tasaus[[#This Row],[Laskennallinen verotulo yhteensä, €]]/Tasaus[[#This Row],[Asukasluku 31.12.2022]]</f>
        <v>1862.025498941515</v>
      </c>
      <c r="L68" s="34">
        <f>$K$11-Tasaus[[#This Row],[Laskennallinen verotulo yhteensä, €/asukas (=tasausraja)]]</f>
        <v>271.73450105848519</v>
      </c>
      <c r="M68" s="369">
        <v>244.56105095263669</v>
      </c>
      <c r="N68" s="370">
        <v>35678278.040327311</v>
      </c>
      <c r="P68" s="116"/>
      <c r="Q68" s="117"/>
      <c r="R68" s="118"/>
    </row>
    <row r="69" spans="1:18">
      <c r="A69" s="266">
        <v>181</v>
      </c>
      <c r="B69" s="13" t="s">
        <v>424</v>
      </c>
      <c r="C69" s="267">
        <v>1683</v>
      </c>
      <c r="D69" s="268">
        <v>9.86</v>
      </c>
      <c r="E69" s="14">
        <v>2663436.6</v>
      </c>
      <c r="F69" s="14">
        <f>Tasaus[[#This Row],[Kunnallisvero (maksuunpantu), €]]*100/Tasaus[[#This Row],[Tuloveroprosentti 2023]]</f>
        <v>27012541.582150102</v>
      </c>
      <c r="G69" s="269">
        <f>Tasaus[[#This Row],[Verotettava tulo (kunnallisvero), €]]*($D$11/100)</f>
        <v>1993525.5687626777</v>
      </c>
      <c r="H69" s="14">
        <v>279063.24895253917</v>
      </c>
      <c r="I69" s="15">
        <v>253160.82299999995</v>
      </c>
      <c r="J69" s="15">
        <f>SUM(Tasaus[[#This Row],[Laskennallinen kunnallisvero, €]:[Laskennallinen kiinteistövero, €]])</f>
        <v>2525749.6407152168</v>
      </c>
      <c r="K69" s="15">
        <f>Tasaus[[#This Row],[Laskennallinen verotulo yhteensä, €]]/Tasaus[[#This Row],[Asukasluku 31.12.2022]]</f>
        <v>1500.7425078521787</v>
      </c>
      <c r="L69" s="34">
        <f>$K$11-Tasaus[[#This Row],[Laskennallinen verotulo yhteensä, €/asukas (=tasausraja)]]</f>
        <v>633.01749214782149</v>
      </c>
      <c r="M69" s="369">
        <v>569.71574293303934</v>
      </c>
      <c r="N69" s="370">
        <v>958831.59535630525</v>
      </c>
      <c r="P69" s="116"/>
      <c r="Q69" s="117"/>
      <c r="R69" s="118"/>
    </row>
    <row r="70" spans="1:18">
      <c r="A70" s="266">
        <v>182</v>
      </c>
      <c r="B70" s="13" t="s">
        <v>70</v>
      </c>
      <c r="C70" s="267">
        <v>19347</v>
      </c>
      <c r="D70" s="268">
        <v>8.36</v>
      </c>
      <c r="E70" s="14">
        <v>31073990.829999998</v>
      </c>
      <c r="F70" s="14">
        <f>Tasaus[[#This Row],[Kunnallisvero (maksuunpantu), €]]*100/Tasaus[[#This Row],[Tuloveroprosentti 2023]]</f>
        <v>371698454.90430623</v>
      </c>
      <c r="G70" s="269">
        <f>Tasaus[[#This Row],[Verotettava tulo (kunnallisvero), €]]*($D$11/100)</f>
        <v>27431345.971937802</v>
      </c>
      <c r="H70" s="14">
        <v>6951418.463650425</v>
      </c>
      <c r="I70" s="15">
        <v>3521743.0575000001</v>
      </c>
      <c r="J70" s="15">
        <f>SUM(Tasaus[[#This Row],[Laskennallinen kunnallisvero, €]:[Laskennallinen kiinteistövero, €]])</f>
        <v>37904507.493088223</v>
      </c>
      <c r="K70" s="15">
        <f>Tasaus[[#This Row],[Laskennallinen verotulo yhteensä, €]]/Tasaus[[#This Row],[Asukasluku 31.12.2022]]</f>
        <v>1959.1930269854872</v>
      </c>
      <c r="L70" s="34">
        <f>$K$11-Tasaus[[#This Row],[Laskennallinen verotulo yhteensä, €/asukas (=tasausraja)]]</f>
        <v>174.566973014513</v>
      </c>
      <c r="M70" s="369">
        <v>157.1102757130617</v>
      </c>
      <c r="N70" s="370">
        <v>3039612.5042206044</v>
      </c>
      <c r="P70" s="116"/>
      <c r="Q70" s="117"/>
      <c r="R70" s="118"/>
    </row>
    <row r="71" spans="1:18">
      <c r="A71" s="266">
        <v>186</v>
      </c>
      <c r="B71" s="13" t="s">
        <v>425</v>
      </c>
      <c r="C71" s="267">
        <v>45630</v>
      </c>
      <c r="D71" s="268">
        <v>7.6099999999999994</v>
      </c>
      <c r="E71" s="14">
        <v>86468323.980000004</v>
      </c>
      <c r="F71" s="14">
        <f>Tasaus[[#This Row],[Kunnallisvero (maksuunpantu), €]]*100/Tasaus[[#This Row],[Tuloveroprosentti 2023]]</f>
        <v>1136246044.4152431</v>
      </c>
      <c r="G71" s="269">
        <f>Tasaus[[#This Row],[Verotettava tulo (kunnallisvero), €]]*($D$11/100)</f>
        <v>83854958.077844948</v>
      </c>
      <c r="H71" s="14">
        <v>5748793.2401533592</v>
      </c>
      <c r="I71" s="15">
        <v>7339811.9809500007</v>
      </c>
      <c r="J71" s="15">
        <f>SUM(Tasaus[[#This Row],[Laskennallinen kunnallisvero, €]:[Laskennallinen kiinteistövero, €]])</f>
        <v>96943563.298948303</v>
      </c>
      <c r="K71" s="15">
        <f>Tasaus[[#This Row],[Laskennallinen verotulo yhteensä, €]]/Tasaus[[#This Row],[Asukasluku 31.12.2022]]</f>
        <v>2124.5576002399366</v>
      </c>
      <c r="L71" s="34">
        <f>$K$11-Tasaus[[#This Row],[Laskennallinen verotulo yhteensä, €/asukas (=tasausraja)]]</f>
        <v>9.2023997600635994</v>
      </c>
      <c r="M71" s="369">
        <v>8.2821597840572405</v>
      </c>
      <c r="N71" s="370">
        <v>377914.9509465319</v>
      </c>
      <c r="P71" s="116"/>
      <c r="Q71" s="117"/>
      <c r="R71" s="118"/>
    </row>
    <row r="72" spans="1:18">
      <c r="A72" s="266">
        <v>202</v>
      </c>
      <c r="B72" s="13" t="s">
        <v>426</v>
      </c>
      <c r="C72" s="267">
        <v>35848</v>
      </c>
      <c r="D72" s="268">
        <v>7.6099999999999994</v>
      </c>
      <c r="E72" s="14">
        <v>67163964.840000004</v>
      </c>
      <c r="F72" s="14">
        <f>Tasaus[[#This Row],[Kunnallisvero (maksuunpantu), €]]*100/Tasaus[[#This Row],[Tuloveroprosentti 2023]]</f>
        <v>882575096.45203686</v>
      </c>
      <c r="G72" s="269">
        <f>Tasaus[[#This Row],[Verotettava tulo (kunnallisvero), €]]*($D$11/100)</f>
        <v>65134042.118160322</v>
      </c>
      <c r="H72" s="14">
        <v>6111104.1033999026</v>
      </c>
      <c r="I72" s="15">
        <v>5115456.9964999994</v>
      </c>
      <c r="J72" s="15">
        <f>SUM(Tasaus[[#This Row],[Laskennallinen kunnallisvero, €]:[Laskennallinen kiinteistövero, €]])</f>
        <v>76360603.218060225</v>
      </c>
      <c r="K72" s="15">
        <f>Tasaus[[#This Row],[Laskennallinen verotulo yhteensä, €]]/Tasaus[[#This Row],[Asukasluku 31.12.2022]]</f>
        <v>2130.1217144069469</v>
      </c>
      <c r="L72" s="34">
        <f>$K$11-Tasaus[[#This Row],[Laskennallinen verotulo yhteensä, €/asukas (=tasausraja)]]</f>
        <v>3.6382855930532969</v>
      </c>
      <c r="M72" s="369">
        <v>3.2744570337479675</v>
      </c>
      <c r="N72" s="370">
        <v>117382.73574579714</v>
      </c>
      <c r="P72" s="116"/>
      <c r="Q72" s="117"/>
      <c r="R72" s="118"/>
    </row>
    <row r="73" spans="1:18">
      <c r="A73" s="266">
        <v>204</v>
      </c>
      <c r="B73" s="13" t="s">
        <v>427</v>
      </c>
      <c r="C73" s="267">
        <v>2689</v>
      </c>
      <c r="D73" s="268">
        <v>9.36</v>
      </c>
      <c r="E73" s="14">
        <v>3771367.43</v>
      </c>
      <c r="F73" s="14">
        <f>Tasaus[[#This Row],[Kunnallisvero (maksuunpantu), €]]*100/Tasaus[[#This Row],[Tuloveroprosentti 2023]]</f>
        <v>40292387.072649576</v>
      </c>
      <c r="G73" s="269">
        <f>Tasaus[[#This Row],[Verotettava tulo (kunnallisvero), €]]*($D$11/100)</f>
        <v>2973578.1659615389</v>
      </c>
      <c r="H73" s="14">
        <v>993407.11951099325</v>
      </c>
      <c r="I73" s="15">
        <v>476662.87280000001</v>
      </c>
      <c r="J73" s="15">
        <f>SUM(Tasaus[[#This Row],[Laskennallinen kunnallisvero, €]:[Laskennallinen kiinteistövero, €]])</f>
        <v>4443648.1582725327</v>
      </c>
      <c r="K73" s="15">
        <f>Tasaus[[#This Row],[Laskennallinen verotulo yhteensä, €]]/Tasaus[[#This Row],[Asukasluku 31.12.2022]]</f>
        <v>1652.528136211429</v>
      </c>
      <c r="L73" s="34">
        <f>$K$11-Tasaus[[#This Row],[Laskennallinen verotulo yhteensä, €/asukas (=tasausraja)]]</f>
        <v>481.23186378857122</v>
      </c>
      <c r="M73" s="369">
        <v>433.10867740971412</v>
      </c>
      <c r="N73" s="370">
        <v>1164629.2335547213</v>
      </c>
      <c r="P73" s="116"/>
      <c r="Q73" s="117"/>
      <c r="R73" s="118"/>
    </row>
    <row r="74" spans="1:18">
      <c r="A74" s="266">
        <v>205</v>
      </c>
      <c r="B74" s="13" t="s">
        <v>428</v>
      </c>
      <c r="C74" s="267">
        <v>36297</v>
      </c>
      <c r="D74" s="268">
        <v>8.36</v>
      </c>
      <c r="E74" s="14">
        <v>59588650.32</v>
      </c>
      <c r="F74" s="14">
        <f>Tasaus[[#This Row],[Kunnallisvero (maksuunpantu), €]]*100/Tasaus[[#This Row],[Tuloveroprosentti 2023]]</f>
        <v>712782898.56459332</v>
      </c>
      <c r="G74" s="269">
        <f>Tasaus[[#This Row],[Verotettava tulo (kunnallisvero), €]]*($D$11/100)</f>
        <v>52603377.914066993</v>
      </c>
      <c r="H74" s="14">
        <v>5502731.1483634301</v>
      </c>
      <c r="I74" s="15">
        <v>5287134.3505999995</v>
      </c>
      <c r="J74" s="15">
        <f>SUM(Tasaus[[#This Row],[Laskennallinen kunnallisvero, €]:[Laskennallinen kiinteistövero, €]])</f>
        <v>63393243.413030423</v>
      </c>
      <c r="K74" s="15">
        <f>Tasaus[[#This Row],[Laskennallinen verotulo yhteensä, €]]/Tasaus[[#This Row],[Asukasluku 31.12.2022]]</f>
        <v>1746.5146820131256</v>
      </c>
      <c r="L74" s="34">
        <f>$K$11-Tasaus[[#This Row],[Laskennallinen verotulo yhteensä, €/asukas (=tasausraja)]]</f>
        <v>387.24531798687462</v>
      </c>
      <c r="M74" s="369">
        <v>348.52078618818717</v>
      </c>
      <c r="N74" s="370">
        <v>12650258.97627263</v>
      </c>
      <c r="P74" s="116"/>
      <c r="Q74" s="117"/>
      <c r="R74" s="118"/>
    </row>
    <row r="75" spans="1:18">
      <c r="A75" s="266">
        <v>208</v>
      </c>
      <c r="B75" s="13" t="s">
        <v>429</v>
      </c>
      <c r="C75" s="267">
        <v>12335</v>
      </c>
      <c r="D75" s="268">
        <v>8.36</v>
      </c>
      <c r="E75" s="14">
        <v>17531549.050000001</v>
      </c>
      <c r="F75" s="14">
        <f>Tasaus[[#This Row],[Kunnallisvero (maksuunpantu), €]]*100/Tasaus[[#This Row],[Tuloveroprosentti 2023]]</f>
        <v>209707524.52153111</v>
      </c>
      <c r="G75" s="269">
        <f>Tasaus[[#This Row],[Verotettava tulo (kunnallisvero), €]]*($D$11/100)</f>
        <v>15476415.309688997</v>
      </c>
      <c r="H75" s="14">
        <v>2799097.4623430539</v>
      </c>
      <c r="I75" s="15">
        <v>2307406.98495</v>
      </c>
      <c r="J75" s="15">
        <f>SUM(Tasaus[[#This Row],[Laskennallinen kunnallisvero, €]:[Laskennallinen kiinteistövero, €]])</f>
        <v>20582919.756982051</v>
      </c>
      <c r="K75" s="15">
        <f>Tasaus[[#This Row],[Laskennallinen verotulo yhteensä, €]]/Tasaus[[#This Row],[Asukasluku 31.12.2022]]</f>
        <v>1668.6598911213662</v>
      </c>
      <c r="L75" s="34">
        <f>$K$11-Tasaus[[#This Row],[Laskennallinen verotulo yhteensä, €/asukas (=tasausraja)]]</f>
        <v>465.10010887863405</v>
      </c>
      <c r="M75" s="369">
        <v>418.59009799077063</v>
      </c>
      <c r="N75" s="370">
        <v>5163308.8587161554</v>
      </c>
      <c r="P75" s="116"/>
      <c r="Q75" s="117"/>
      <c r="R75" s="118"/>
    </row>
    <row r="76" spans="1:18">
      <c r="A76" s="266">
        <v>211</v>
      </c>
      <c r="B76" s="13" t="s">
        <v>430</v>
      </c>
      <c r="C76" s="267">
        <v>32959</v>
      </c>
      <c r="D76" s="268">
        <v>8.36</v>
      </c>
      <c r="E76" s="14">
        <v>61803319</v>
      </c>
      <c r="F76" s="14">
        <f>Tasaus[[#This Row],[Kunnallisvero (maksuunpantu), €]]*100/Tasaus[[#This Row],[Tuloveroprosentti 2023]]</f>
        <v>739274150.71770334</v>
      </c>
      <c r="G76" s="269">
        <f>Tasaus[[#This Row],[Verotettava tulo (kunnallisvero), €]]*($D$11/100)</f>
        <v>54558432.322966509</v>
      </c>
      <c r="H76" s="14">
        <v>4516477.4510832448</v>
      </c>
      <c r="I76" s="15">
        <v>5218134.978550001</v>
      </c>
      <c r="J76" s="15">
        <f>SUM(Tasaus[[#This Row],[Laskennallinen kunnallisvero, €]:[Laskennallinen kiinteistövero, €]])</f>
        <v>64293044.752599753</v>
      </c>
      <c r="K76" s="15">
        <f>Tasaus[[#This Row],[Laskennallinen verotulo yhteensä, €]]/Tasaus[[#This Row],[Asukasluku 31.12.2022]]</f>
        <v>1950.6976774962757</v>
      </c>
      <c r="L76" s="34">
        <f>$K$11-Tasaus[[#This Row],[Laskennallinen verotulo yhteensä, €/asukas (=tasausraja)]]</f>
        <v>183.06232250372454</v>
      </c>
      <c r="M76" s="369">
        <v>164.75609025335208</v>
      </c>
      <c r="N76" s="370">
        <v>5430195.9786602315</v>
      </c>
      <c r="P76" s="116"/>
      <c r="Q76" s="117"/>
      <c r="R76" s="118"/>
    </row>
    <row r="77" spans="1:18">
      <c r="A77" s="266">
        <v>213</v>
      </c>
      <c r="B77" s="13" t="s">
        <v>431</v>
      </c>
      <c r="C77" s="267">
        <v>5154</v>
      </c>
      <c r="D77" s="268">
        <v>8.86</v>
      </c>
      <c r="E77" s="14">
        <v>7424019.5999999996</v>
      </c>
      <c r="F77" s="14">
        <f>Tasaus[[#This Row],[Kunnallisvero (maksuunpantu), €]]*100/Tasaus[[#This Row],[Tuloveroprosentti 2023]]</f>
        <v>83792546.275395036</v>
      </c>
      <c r="G77" s="269">
        <f>Tasaus[[#This Row],[Verotettava tulo (kunnallisvero), €]]*($D$11/100)</f>
        <v>6183889.9151241537</v>
      </c>
      <c r="H77" s="14">
        <v>1939073.9054739394</v>
      </c>
      <c r="I77" s="15">
        <v>1179483.2535000003</v>
      </c>
      <c r="J77" s="15">
        <f>SUM(Tasaus[[#This Row],[Laskennallinen kunnallisvero, €]:[Laskennallinen kiinteistövero, €]])</f>
        <v>9302447.0740980934</v>
      </c>
      <c r="K77" s="15">
        <f>Tasaus[[#This Row],[Laskennallinen verotulo yhteensä, €]]/Tasaus[[#This Row],[Asukasluku 31.12.2022]]</f>
        <v>1804.8985397939646</v>
      </c>
      <c r="L77" s="34">
        <f>$K$11-Tasaus[[#This Row],[Laskennallinen verotulo yhteensä, €/asukas (=tasausraja)]]</f>
        <v>328.86146020603564</v>
      </c>
      <c r="M77" s="369">
        <v>295.97531418543207</v>
      </c>
      <c r="N77" s="370">
        <v>1525456.7693117168</v>
      </c>
      <c r="P77" s="116"/>
      <c r="Q77" s="117"/>
      <c r="R77" s="118"/>
    </row>
    <row r="78" spans="1:18">
      <c r="A78" s="266">
        <v>214</v>
      </c>
      <c r="B78" s="13" t="s">
        <v>432</v>
      </c>
      <c r="C78" s="267">
        <v>12528</v>
      </c>
      <c r="D78" s="268">
        <v>9.11</v>
      </c>
      <c r="E78" s="14">
        <v>19509319.190000001</v>
      </c>
      <c r="F78" s="14">
        <f>Tasaus[[#This Row],[Kunnallisvero (maksuunpantu), €]]*100/Tasaus[[#This Row],[Tuloveroprosentti 2023]]</f>
        <v>214152790.23051596</v>
      </c>
      <c r="G78" s="269">
        <f>Tasaus[[#This Row],[Verotettava tulo (kunnallisvero), €]]*($D$11/100)</f>
        <v>15804475.919012079</v>
      </c>
      <c r="H78" s="14">
        <v>3170389.7248200038</v>
      </c>
      <c r="I78" s="352">
        <v>2112391.8798500001</v>
      </c>
      <c r="J78" s="15">
        <f>SUM(Tasaus[[#This Row],[Laskennallinen kunnallisvero, €]:[Laskennallinen kiinteistövero, €]])</f>
        <v>21087257.523682084</v>
      </c>
      <c r="K78" s="15">
        <f>Tasaus[[#This Row],[Laskennallinen verotulo yhteensä, €]]/Tasaus[[#This Row],[Asukasluku 31.12.2022]]</f>
        <v>1683.2102110218777</v>
      </c>
      <c r="L78" s="34">
        <f>$K$11-Tasaus[[#This Row],[Laskennallinen verotulo yhteensä, €/asukas (=tasausraja)]]</f>
        <v>450.54978897812248</v>
      </c>
      <c r="M78" s="369">
        <v>405.49481008031023</v>
      </c>
      <c r="N78" s="370">
        <v>5080038.9806861263</v>
      </c>
      <c r="P78" s="116"/>
      <c r="Q78" s="117"/>
      <c r="R78" s="118"/>
    </row>
    <row r="79" spans="1:18">
      <c r="A79" s="266">
        <v>216</v>
      </c>
      <c r="B79" s="13" t="s">
        <v>433</v>
      </c>
      <c r="C79" s="267">
        <v>1269</v>
      </c>
      <c r="D79" s="268">
        <v>8.86</v>
      </c>
      <c r="E79" s="14">
        <v>1647835.73</v>
      </c>
      <c r="F79" s="14">
        <f>Tasaus[[#This Row],[Kunnallisvero (maksuunpantu), €]]*100/Tasaus[[#This Row],[Tuloveroprosentti 2023]]</f>
        <v>18598597.404063206</v>
      </c>
      <c r="G79" s="269">
        <f>Tasaus[[#This Row],[Verotettava tulo (kunnallisvero), €]]*($D$11/100)</f>
        <v>1372576.4884198648</v>
      </c>
      <c r="H79" s="14">
        <v>465828.48377437185</v>
      </c>
      <c r="I79" s="15">
        <v>277477.22579999996</v>
      </c>
      <c r="J79" s="15">
        <f>SUM(Tasaus[[#This Row],[Laskennallinen kunnallisvero, €]:[Laskennallinen kiinteistövero, €]])</f>
        <v>2115882.1979942368</v>
      </c>
      <c r="K79" s="15">
        <f>Tasaus[[#This Row],[Laskennallinen verotulo yhteensä, €]]/Tasaus[[#This Row],[Asukasluku 31.12.2022]]</f>
        <v>1667.3618581514868</v>
      </c>
      <c r="L79" s="34">
        <f>$K$11-Tasaus[[#This Row],[Laskennallinen verotulo yhteensä, €/asukas (=tasausraja)]]</f>
        <v>466.39814184851343</v>
      </c>
      <c r="M79" s="369">
        <v>419.7583276636621</v>
      </c>
      <c r="N79" s="370">
        <v>532673.31780518719</v>
      </c>
      <c r="P79" s="116"/>
      <c r="Q79" s="117"/>
      <c r="R79" s="118"/>
    </row>
    <row r="80" spans="1:18">
      <c r="A80" s="266">
        <v>217</v>
      </c>
      <c r="B80" s="13" t="s">
        <v>434</v>
      </c>
      <c r="C80" s="267">
        <v>5352</v>
      </c>
      <c r="D80" s="268">
        <v>8.86</v>
      </c>
      <c r="E80" s="14">
        <v>8047973.6399999997</v>
      </c>
      <c r="F80" s="14">
        <f>Tasaus[[#This Row],[Kunnallisvero (maksuunpantu), €]]*100/Tasaus[[#This Row],[Tuloveroprosentti 2023]]</f>
        <v>90834916.930022582</v>
      </c>
      <c r="G80" s="269">
        <f>Tasaus[[#This Row],[Verotettava tulo (kunnallisvero), €]]*($D$11/100)</f>
        <v>6703616.8694356671</v>
      </c>
      <c r="H80" s="14">
        <v>886492.11756849824</v>
      </c>
      <c r="I80" s="15">
        <v>743158.89585000009</v>
      </c>
      <c r="J80" s="15">
        <f>SUM(Tasaus[[#This Row],[Laskennallinen kunnallisvero, €]:[Laskennallinen kiinteistövero, €]])</f>
        <v>8333267.8828541655</v>
      </c>
      <c r="K80" s="15">
        <f>Tasaus[[#This Row],[Laskennallinen verotulo yhteensä, €]]/Tasaus[[#This Row],[Asukasluku 31.12.2022]]</f>
        <v>1557.0380947036931</v>
      </c>
      <c r="L80" s="34">
        <f>$K$11-Tasaus[[#This Row],[Laskennallinen verotulo yhteensä, €/asukas (=tasausraja)]]</f>
        <v>576.72190529630711</v>
      </c>
      <c r="M80" s="369">
        <v>519.0497147666764</v>
      </c>
      <c r="N80" s="370">
        <v>2777954.073431252</v>
      </c>
      <c r="P80" s="116"/>
      <c r="Q80" s="117"/>
      <c r="R80" s="118"/>
    </row>
    <row r="81" spans="1:18">
      <c r="A81" s="266">
        <v>218</v>
      </c>
      <c r="B81" s="13" t="s">
        <v>435</v>
      </c>
      <c r="C81" s="267">
        <v>1200</v>
      </c>
      <c r="D81" s="268">
        <v>9.86</v>
      </c>
      <c r="E81" s="14">
        <v>1817494.39</v>
      </c>
      <c r="F81" s="14">
        <f>Tasaus[[#This Row],[Kunnallisvero (maksuunpantu), €]]*100/Tasaus[[#This Row],[Tuloveroprosentti 2023]]</f>
        <v>18433005.983772822</v>
      </c>
      <c r="G81" s="269">
        <f>Tasaus[[#This Row],[Verotettava tulo (kunnallisvero), €]]*($D$11/100)</f>
        <v>1360355.8416024344</v>
      </c>
      <c r="H81" s="14">
        <v>246196.67891002173</v>
      </c>
      <c r="I81" s="15">
        <v>155369.71170000001</v>
      </c>
      <c r="J81" s="15">
        <f>SUM(Tasaus[[#This Row],[Laskennallinen kunnallisvero, €]:[Laskennallinen kiinteistövero, €]])</f>
        <v>1761922.2322124562</v>
      </c>
      <c r="K81" s="15">
        <f>Tasaus[[#This Row],[Laskennallinen verotulo yhteensä, €]]/Tasaus[[#This Row],[Asukasluku 31.12.2022]]</f>
        <v>1468.2685268437135</v>
      </c>
      <c r="L81" s="34">
        <f>$K$11-Tasaus[[#This Row],[Laskennallinen verotulo yhteensä, €/asukas (=tasausraja)]]</f>
        <v>665.4914731562867</v>
      </c>
      <c r="M81" s="369">
        <v>598.9423258406581</v>
      </c>
      <c r="N81" s="370">
        <v>718730.79100878967</v>
      </c>
      <c r="P81" s="116"/>
      <c r="Q81" s="117"/>
      <c r="R81" s="118"/>
    </row>
    <row r="82" spans="1:18">
      <c r="A82" s="266">
        <v>224</v>
      </c>
      <c r="B82" s="13" t="s">
        <v>436</v>
      </c>
      <c r="C82" s="267">
        <v>8603</v>
      </c>
      <c r="D82" s="268">
        <v>8.61</v>
      </c>
      <c r="E82" s="14">
        <v>14101543.25</v>
      </c>
      <c r="F82" s="14">
        <f>Tasaus[[#This Row],[Kunnallisvero (maksuunpantu), €]]*100/Tasaus[[#This Row],[Tuloveroprosentti 2023]]</f>
        <v>163780990.12775844</v>
      </c>
      <c r="G82" s="269">
        <f>Tasaus[[#This Row],[Verotettava tulo (kunnallisvero), €]]*($D$11/100)</f>
        <v>12087037.071428575</v>
      </c>
      <c r="H82" s="14">
        <v>976564.68245709059</v>
      </c>
      <c r="I82" s="15">
        <v>1125196.36035</v>
      </c>
      <c r="J82" s="15">
        <f>SUM(Tasaus[[#This Row],[Laskennallinen kunnallisvero, €]:[Laskennallinen kiinteistövero, €]])</f>
        <v>14188798.114235666</v>
      </c>
      <c r="K82" s="15">
        <f>Tasaus[[#This Row],[Laskennallinen verotulo yhteensä, €]]/Tasaus[[#This Row],[Asukasluku 31.12.2022]]</f>
        <v>1649.284913894649</v>
      </c>
      <c r="L82" s="34">
        <f>$K$11-Tasaus[[#This Row],[Laskennallinen verotulo yhteensä, €/asukas (=tasausraja)]]</f>
        <v>484.47508610535124</v>
      </c>
      <c r="M82" s="369">
        <v>436.02757749481611</v>
      </c>
      <c r="N82" s="370">
        <v>3751145.249187903</v>
      </c>
      <c r="P82" s="116"/>
      <c r="Q82" s="117"/>
      <c r="R82" s="118"/>
    </row>
    <row r="83" spans="1:18">
      <c r="A83" s="266">
        <v>226</v>
      </c>
      <c r="B83" s="13" t="s">
        <v>437</v>
      </c>
      <c r="C83" s="267">
        <v>3665</v>
      </c>
      <c r="D83" s="268">
        <v>8.86</v>
      </c>
      <c r="E83" s="14">
        <v>4986552.75</v>
      </c>
      <c r="F83" s="14">
        <f>Tasaus[[#This Row],[Kunnallisvero (maksuunpantu), €]]*100/Tasaus[[#This Row],[Tuloveroprosentti 2023]]</f>
        <v>56281633.747178331</v>
      </c>
      <c r="G83" s="269">
        <f>Tasaus[[#This Row],[Verotettava tulo (kunnallisvero), €]]*($D$11/100)</f>
        <v>4153584.5705417609</v>
      </c>
      <c r="H83" s="14">
        <v>1095080.2316439648</v>
      </c>
      <c r="I83" s="15">
        <v>677457.67764999997</v>
      </c>
      <c r="J83" s="15">
        <f>SUM(Tasaus[[#This Row],[Laskennallinen kunnallisvero, €]:[Laskennallinen kiinteistövero, €]])</f>
        <v>5926122.4798357254</v>
      </c>
      <c r="K83" s="15">
        <f>Tasaus[[#This Row],[Laskennallinen verotulo yhteensä, €]]/Tasaus[[#This Row],[Asukasluku 31.12.2022]]</f>
        <v>1616.9501991366235</v>
      </c>
      <c r="L83" s="34">
        <f>$K$11-Tasaus[[#This Row],[Laskennallinen verotulo yhteensä, €/asukas (=tasausraja)]]</f>
        <v>516.80980086337672</v>
      </c>
      <c r="M83" s="369">
        <v>465.12882077703904</v>
      </c>
      <c r="N83" s="370">
        <v>1704697.1281478482</v>
      </c>
      <c r="P83" s="116"/>
      <c r="Q83" s="117"/>
      <c r="R83" s="118"/>
    </row>
    <row r="84" spans="1:18">
      <c r="A84" s="266">
        <v>230</v>
      </c>
      <c r="B84" s="13" t="s">
        <v>438</v>
      </c>
      <c r="C84" s="267">
        <v>2240</v>
      </c>
      <c r="D84" s="268">
        <v>7.8599999999999994</v>
      </c>
      <c r="E84" s="14">
        <v>2649635.14</v>
      </c>
      <c r="F84" s="14">
        <f>Tasaus[[#This Row],[Kunnallisvero (maksuunpantu), €]]*100/Tasaus[[#This Row],[Tuloveroprosentti 2023]]</f>
        <v>33710370.737913489</v>
      </c>
      <c r="G84" s="269">
        <f>Tasaus[[#This Row],[Verotettava tulo (kunnallisvero), €]]*($D$11/100)</f>
        <v>2487825.3604580155</v>
      </c>
      <c r="H84" s="14">
        <v>491083.60412397818</v>
      </c>
      <c r="I84" s="15">
        <v>330247.86034999997</v>
      </c>
      <c r="J84" s="15">
        <f>SUM(Tasaus[[#This Row],[Laskennallinen kunnallisvero, €]:[Laskennallinen kiinteistövero, €]])</f>
        <v>3309156.8249319931</v>
      </c>
      <c r="K84" s="15">
        <f>Tasaus[[#This Row],[Laskennallinen verotulo yhteensä, €]]/Tasaus[[#This Row],[Asukasluku 31.12.2022]]</f>
        <v>1477.3021539874969</v>
      </c>
      <c r="L84" s="34">
        <f>$K$11-Tasaus[[#This Row],[Laskennallinen verotulo yhteensä, €/asukas (=tasausraja)]]</f>
        <v>656.4578460125033</v>
      </c>
      <c r="M84" s="369">
        <v>590.81206141125301</v>
      </c>
      <c r="N84" s="370">
        <v>1323419.0175612068</v>
      </c>
      <c r="P84" s="116"/>
      <c r="Q84" s="117"/>
      <c r="R84" s="118"/>
    </row>
    <row r="85" spans="1:18">
      <c r="A85" s="266">
        <v>231</v>
      </c>
      <c r="B85" s="13" t="s">
        <v>439</v>
      </c>
      <c r="C85" s="267">
        <v>1256</v>
      </c>
      <c r="D85" s="268">
        <v>10.36</v>
      </c>
      <c r="E85" s="14">
        <v>2563774.5499999998</v>
      </c>
      <c r="F85" s="14">
        <f>Tasaus[[#This Row],[Kunnallisvero (maksuunpantu), €]]*100/Tasaus[[#This Row],[Tuloveroprosentti 2023]]</f>
        <v>24746858.590733588</v>
      </c>
      <c r="G85" s="269">
        <f>Tasaus[[#This Row],[Verotettava tulo (kunnallisvero), €]]*($D$11/100)</f>
        <v>1826318.1639961388</v>
      </c>
      <c r="H85" s="14">
        <v>1004842.5324918679</v>
      </c>
      <c r="I85" s="15">
        <v>286999.10394999996</v>
      </c>
      <c r="J85" s="15">
        <f>SUM(Tasaus[[#This Row],[Laskennallinen kunnallisvero, €]:[Laskennallinen kiinteistövero, €]])</f>
        <v>3118159.8004380069</v>
      </c>
      <c r="K85" s="15">
        <f>Tasaus[[#This Row],[Laskennallinen verotulo yhteensä, €]]/Tasaus[[#This Row],[Asukasluku 31.12.2022]]</f>
        <v>2482.6113060812158</v>
      </c>
      <c r="L85" s="34">
        <f>$K$11-Tasaus[[#This Row],[Laskennallinen verotulo yhteensä, €/asukas (=tasausraja)]]</f>
        <v>-348.85130608121563</v>
      </c>
      <c r="M85" s="369">
        <v>-34.885130608121564</v>
      </c>
      <c r="N85" s="370">
        <v>-43815.724043800685</v>
      </c>
      <c r="P85" s="116"/>
      <c r="Q85" s="117"/>
      <c r="R85" s="118"/>
    </row>
    <row r="86" spans="1:18">
      <c r="A86" s="266">
        <v>232</v>
      </c>
      <c r="B86" s="13" t="s">
        <v>440</v>
      </c>
      <c r="C86" s="267">
        <v>12750</v>
      </c>
      <c r="D86" s="268">
        <v>9.36</v>
      </c>
      <c r="E86" s="14">
        <v>19847300.359999999</v>
      </c>
      <c r="F86" s="14">
        <f>Tasaus[[#This Row],[Kunnallisvero (maksuunpantu), €]]*100/Tasaus[[#This Row],[Tuloveroprosentti 2023]]</f>
        <v>212043807.26495728</v>
      </c>
      <c r="G86" s="269">
        <f>Tasaus[[#This Row],[Verotettava tulo (kunnallisvero), €]]*($D$11/100)</f>
        <v>15648832.976153849</v>
      </c>
      <c r="H86" s="14">
        <v>3792996.7502411404</v>
      </c>
      <c r="I86" s="15">
        <v>1911405.6578999998</v>
      </c>
      <c r="J86" s="15">
        <f>SUM(Tasaus[[#This Row],[Laskennallinen kunnallisvero, €]:[Laskennallinen kiinteistövero, €]])</f>
        <v>21353235.384294987</v>
      </c>
      <c r="K86" s="15">
        <f>Tasaus[[#This Row],[Laskennallinen verotulo yhteensä, €]]/Tasaus[[#This Row],[Asukasluku 31.12.2022]]</f>
        <v>1674.763559552548</v>
      </c>
      <c r="L86" s="34">
        <f>$K$11-Tasaus[[#This Row],[Laskennallinen verotulo yhteensä, €/asukas (=tasausraja)]]</f>
        <v>458.99644044745219</v>
      </c>
      <c r="M86" s="369">
        <v>413.09679640270696</v>
      </c>
      <c r="N86" s="370">
        <v>5266984.1541345138</v>
      </c>
      <c r="P86" s="116"/>
      <c r="Q86" s="117"/>
      <c r="R86" s="118"/>
    </row>
    <row r="87" spans="1:18">
      <c r="A87" s="266">
        <v>233</v>
      </c>
      <c r="B87" s="13" t="s">
        <v>441</v>
      </c>
      <c r="C87" s="267">
        <v>15116</v>
      </c>
      <c r="D87" s="268">
        <v>9.11</v>
      </c>
      <c r="E87" s="14">
        <v>23692173.57</v>
      </c>
      <c r="F87" s="14">
        <f>Tasaus[[#This Row],[Kunnallisvero (maksuunpantu), €]]*100/Tasaus[[#This Row],[Tuloveroprosentti 2023]]</f>
        <v>260067766.95938531</v>
      </c>
      <c r="G87" s="269">
        <f>Tasaus[[#This Row],[Verotettava tulo (kunnallisvero), €]]*($D$11/100)</f>
        <v>19193001.201602638</v>
      </c>
      <c r="H87" s="14">
        <v>2983045.8911641296</v>
      </c>
      <c r="I87" s="15">
        <v>2373193.4394999999</v>
      </c>
      <c r="J87" s="15">
        <f>SUM(Tasaus[[#This Row],[Laskennallinen kunnallisvero, €]:[Laskennallinen kiinteistövero, €]])</f>
        <v>24549240.53226677</v>
      </c>
      <c r="K87" s="15">
        <f>Tasaus[[#This Row],[Laskennallinen verotulo yhteensä, €]]/Tasaus[[#This Row],[Asukasluku 31.12.2022]]</f>
        <v>1624.0566639499054</v>
      </c>
      <c r="L87" s="34">
        <f>$K$11-Tasaus[[#This Row],[Laskennallinen verotulo yhteensä, €/asukas (=tasausraja)]]</f>
        <v>509.70333605009478</v>
      </c>
      <c r="M87" s="369">
        <v>458.73300244508533</v>
      </c>
      <c r="N87" s="370">
        <v>6934208.0649599098</v>
      </c>
      <c r="P87" s="116"/>
      <c r="Q87" s="117"/>
      <c r="R87" s="118"/>
    </row>
    <row r="88" spans="1:18">
      <c r="A88" s="266">
        <v>235</v>
      </c>
      <c r="B88" s="13" t="s">
        <v>442</v>
      </c>
      <c r="C88" s="267">
        <v>10284</v>
      </c>
      <c r="D88" s="268">
        <v>4.3599999999999994</v>
      </c>
      <c r="E88" s="14">
        <v>19289652.34</v>
      </c>
      <c r="F88" s="14">
        <f>Tasaus[[#This Row],[Kunnallisvero (maksuunpantu), €]]*100/Tasaus[[#This Row],[Tuloveroprosentti 2023]]</f>
        <v>442423218.80733949</v>
      </c>
      <c r="G88" s="269">
        <f>Tasaus[[#This Row],[Verotettava tulo (kunnallisvero), €]]*($D$11/100)</f>
        <v>32650833.547981657</v>
      </c>
      <c r="H88" s="14">
        <v>1459055.5548283125</v>
      </c>
      <c r="I88" s="15">
        <v>2897404.95505</v>
      </c>
      <c r="J88" s="15">
        <f>SUM(Tasaus[[#This Row],[Laskennallinen kunnallisvero, €]:[Laskennallinen kiinteistövero, €]])</f>
        <v>37007294.057859972</v>
      </c>
      <c r="K88" s="15">
        <f>Tasaus[[#This Row],[Laskennallinen verotulo yhteensä, €]]/Tasaus[[#This Row],[Asukasluku 31.12.2022]]</f>
        <v>3598.5311219233736</v>
      </c>
      <c r="L88" s="34">
        <f>$K$11-Tasaus[[#This Row],[Laskennallinen verotulo yhteensä, €/asukas (=tasausraja)]]</f>
        <v>-1464.7711219233734</v>
      </c>
      <c r="M88" s="369">
        <v>-146.47711219233733</v>
      </c>
      <c r="N88" s="370">
        <v>-1506370.6217859972</v>
      </c>
      <c r="P88" s="116"/>
      <c r="Q88" s="117"/>
      <c r="R88" s="118"/>
    </row>
    <row r="89" spans="1:18">
      <c r="A89" s="266">
        <v>236</v>
      </c>
      <c r="B89" s="13" t="s">
        <v>443</v>
      </c>
      <c r="C89" s="267">
        <v>4198</v>
      </c>
      <c r="D89" s="268">
        <v>9.36</v>
      </c>
      <c r="E89" s="14">
        <v>6595922.9900000002</v>
      </c>
      <c r="F89" s="14">
        <f>Tasaus[[#This Row],[Kunnallisvero (maksuunpantu), €]]*100/Tasaus[[#This Row],[Tuloveroprosentti 2023]]</f>
        <v>70469262.713675216</v>
      </c>
      <c r="G89" s="269">
        <f>Tasaus[[#This Row],[Verotettava tulo (kunnallisvero), €]]*($D$11/100)</f>
        <v>5200631.5882692309</v>
      </c>
      <c r="H89" s="14">
        <v>692907.50251352321</v>
      </c>
      <c r="I89" s="15">
        <v>578251.79589999979</v>
      </c>
      <c r="J89" s="15">
        <f>SUM(Tasaus[[#This Row],[Laskennallinen kunnallisvero, €]:[Laskennallinen kiinteistövero, €]])</f>
        <v>6471790.8866827544</v>
      </c>
      <c r="K89" s="15">
        <f>Tasaus[[#This Row],[Laskennallinen verotulo yhteensä, €]]/Tasaus[[#This Row],[Asukasluku 31.12.2022]]</f>
        <v>1541.6367047838862</v>
      </c>
      <c r="L89" s="34">
        <f>$K$11-Tasaus[[#This Row],[Laskennallinen verotulo yhteensä, €/asukas (=tasausraja)]]</f>
        <v>592.123295216114</v>
      </c>
      <c r="M89" s="369">
        <v>532.91096569450258</v>
      </c>
      <c r="N89" s="370">
        <v>2237160.2339855218</v>
      </c>
      <c r="P89" s="116"/>
      <c r="Q89" s="117"/>
      <c r="R89" s="118"/>
    </row>
    <row r="90" spans="1:18">
      <c r="A90" s="266">
        <v>239</v>
      </c>
      <c r="B90" s="13" t="s">
        <v>444</v>
      </c>
      <c r="C90" s="267">
        <v>2029</v>
      </c>
      <c r="D90" s="268">
        <v>7.8599999999999994</v>
      </c>
      <c r="E90" s="14">
        <v>2514937.21</v>
      </c>
      <c r="F90" s="14">
        <f>Tasaus[[#This Row],[Kunnallisvero (maksuunpantu), €]]*100/Tasaus[[#This Row],[Tuloveroprosentti 2023]]</f>
        <v>31996656.615776084</v>
      </c>
      <c r="G90" s="269">
        <f>Tasaus[[#This Row],[Verotettava tulo (kunnallisvero), €]]*($D$11/100)</f>
        <v>2361353.2582442751</v>
      </c>
      <c r="H90" s="14">
        <v>1505792.6842488886</v>
      </c>
      <c r="I90" s="15">
        <v>314479.44034999999</v>
      </c>
      <c r="J90" s="15">
        <f>SUM(Tasaus[[#This Row],[Laskennallinen kunnallisvero, €]:[Laskennallinen kiinteistövero, €]])</f>
        <v>4181625.3828431638</v>
      </c>
      <c r="K90" s="15">
        <f>Tasaus[[#This Row],[Laskennallinen verotulo yhteensä, €]]/Tasaus[[#This Row],[Asukasluku 31.12.2022]]</f>
        <v>2060.9292177640036</v>
      </c>
      <c r="L90" s="34">
        <f>$K$11-Tasaus[[#This Row],[Laskennallinen verotulo yhteensä, €/asukas (=tasausraja)]]</f>
        <v>72.830782235996594</v>
      </c>
      <c r="M90" s="369">
        <v>65.547704012396935</v>
      </c>
      <c r="N90" s="370">
        <v>132996.29144115339</v>
      </c>
      <c r="P90" s="116"/>
      <c r="Q90" s="117"/>
      <c r="R90" s="118"/>
    </row>
    <row r="91" spans="1:18">
      <c r="A91" s="266">
        <v>240</v>
      </c>
      <c r="B91" s="13" t="s">
        <v>445</v>
      </c>
      <c r="C91" s="267">
        <v>19499</v>
      </c>
      <c r="D91" s="268">
        <v>9.11</v>
      </c>
      <c r="E91" s="14">
        <v>35812144.280000001</v>
      </c>
      <c r="F91" s="14">
        <f>Tasaus[[#This Row],[Kunnallisvero (maksuunpantu), €]]*100/Tasaus[[#This Row],[Tuloveroprosentti 2023]]</f>
        <v>393108060.15367728</v>
      </c>
      <c r="G91" s="269">
        <f>Tasaus[[#This Row],[Verotettava tulo (kunnallisvero), €]]*($D$11/100)</f>
        <v>29011374.839341387</v>
      </c>
      <c r="H91" s="14">
        <v>4677216.3400288541</v>
      </c>
      <c r="I91" s="15">
        <v>3531026.7371999989</v>
      </c>
      <c r="J91" s="15">
        <f>SUM(Tasaus[[#This Row],[Laskennallinen kunnallisvero, €]:[Laskennallinen kiinteistövero, €]])</f>
        <v>37219617.916570239</v>
      </c>
      <c r="K91" s="15">
        <f>Tasaus[[#This Row],[Laskennallinen verotulo yhteensä, €]]/Tasaus[[#This Row],[Asukasluku 31.12.2022]]</f>
        <v>1908.7962416826626</v>
      </c>
      <c r="L91" s="34">
        <f>$K$11-Tasaus[[#This Row],[Laskennallinen verotulo yhteensä, €/asukas (=tasausraja)]]</f>
        <v>224.96375831733758</v>
      </c>
      <c r="M91" s="369">
        <v>202.46738248560382</v>
      </c>
      <c r="N91" s="370">
        <v>3947911.4910867889</v>
      </c>
      <c r="P91" s="116"/>
      <c r="Q91" s="117"/>
      <c r="R91" s="118"/>
    </row>
    <row r="92" spans="1:18">
      <c r="A92" s="266">
        <v>241</v>
      </c>
      <c r="B92" s="13" t="s">
        <v>446</v>
      </c>
      <c r="C92" s="267">
        <v>7771</v>
      </c>
      <c r="D92" s="268">
        <v>8.61</v>
      </c>
      <c r="E92" s="14">
        <v>14638210.33</v>
      </c>
      <c r="F92" s="14">
        <f>Tasaus[[#This Row],[Kunnallisvero (maksuunpantu), €]]*100/Tasaus[[#This Row],[Tuloveroprosentti 2023]]</f>
        <v>170014057.25900117</v>
      </c>
      <c r="G92" s="269">
        <f>Tasaus[[#This Row],[Verotettava tulo (kunnallisvero), €]]*($D$11/100)</f>
        <v>12547037.425714286</v>
      </c>
      <c r="H92" s="14">
        <v>1226997.3517129819</v>
      </c>
      <c r="I92" s="15">
        <v>1021573.8455499999</v>
      </c>
      <c r="J92" s="15">
        <f>SUM(Tasaus[[#This Row],[Laskennallinen kunnallisvero, €]:[Laskennallinen kiinteistövero, €]])</f>
        <v>14795608.622977268</v>
      </c>
      <c r="K92" s="15">
        <f>Tasaus[[#This Row],[Laskennallinen verotulo yhteensä, €]]/Tasaus[[#This Row],[Asukasluku 31.12.2022]]</f>
        <v>1903.9516951457042</v>
      </c>
      <c r="L92" s="34">
        <f>$K$11-Tasaus[[#This Row],[Laskennallinen verotulo yhteensä, €/asukas (=tasausraja)]]</f>
        <v>229.80830485429601</v>
      </c>
      <c r="M92" s="369">
        <v>206.8274743688664</v>
      </c>
      <c r="N92" s="370">
        <v>1607256.3033204607</v>
      </c>
      <c r="P92" s="116"/>
      <c r="Q92" s="117"/>
      <c r="R92" s="118"/>
    </row>
    <row r="93" spans="1:18">
      <c r="A93" s="266">
        <v>244</v>
      </c>
      <c r="B93" s="13" t="s">
        <v>447</v>
      </c>
      <c r="C93" s="267">
        <v>19300</v>
      </c>
      <c r="D93" s="268">
        <v>7.8599999999999994</v>
      </c>
      <c r="E93" s="14">
        <v>32806582.59</v>
      </c>
      <c r="F93" s="14">
        <f>Tasaus[[#This Row],[Kunnallisvero (maksuunpantu), €]]*100/Tasaus[[#This Row],[Tuloveroprosentti 2023]]</f>
        <v>417386546.94656491</v>
      </c>
      <c r="G93" s="269">
        <f>Tasaus[[#This Row],[Verotettava tulo (kunnallisvero), €]]*($D$11/100)</f>
        <v>30803127.164656494</v>
      </c>
      <c r="H93" s="14">
        <v>3898266.5189772733</v>
      </c>
      <c r="I93" s="15">
        <v>2664824.6878</v>
      </c>
      <c r="J93" s="15">
        <f>SUM(Tasaus[[#This Row],[Laskennallinen kunnallisvero, €]:[Laskennallinen kiinteistövero, €]])</f>
        <v>37366218.371433765</v>
      </c>
      <c r="K93" s="15">
        <f>Tasaus[[#This Row],[Laskennallinen verotulo yhteensä, €]]/Tasaus[[#This Row],[Asukasluku 31.12.2022]]</f>
        <v>1936.0734907478634</v>
      </c>
      <c r="L93" s="34">
        <f>$K$11-Tasaus[[#This Row],[Laskennallinen verotulo yhteensä, €/asukas (=tasausraja)]]</f>
        <v>197.68650925213683</v>
      </c>
      <c r="M93" s="369">
        <v>177.91785832692315</v>
      </c>
      <c r="N93" s="370">
        <v>3433814.6657096166</v>
      </c>
      <c r="P93" s="116"/>
      <c r="Q93" s="117"/>
      <c r="R93" s="118"/>
    </row>
    <row r="94" spans="1:18">
      <c r="A94" s="266">
        <v>245</v>
      </c>
      <c r="B94" s="13" t="s">
        <v>448</v>
      </c>
      <c r="C94" s="267">
        <v>37676</v>
      </c>
      <c r="D94" s="268">
        <v>6.6099999999999994</v>
      </c>
      <c r="E94" s="14">
        <v>58937793.039999999</v>
      </c>
      <c r="F94" s="14">
        <f>Tasaus[[#This Row],[Kunnallisvero (maksuunpantu), €]]*100/Tasaus[[#This Row],[Tuloveroprosentti 2023]]</f>
        <v>891645885.6278367</v>
      </c>
      <c r="G94" s="269">
        <f>Tasaus[[#This Row],[Verotettava tulo (kunnallisvero), €]]*($D$11/100)</f>
        <v>65803466.35933435</v>
      </c>
      <c r="H94" s="14">
        <v>7164228.9117017649</v>
      </c>
      <c r="I94" s="15">
        <v>6108590.1380999992</v>
      </c>
      <c r="J94" s="15">
        <f>SUM(Tasaus[[#This Row],[Laskennallinen kunnallisvero, €]:[Laskennallinen kiinteistövero, €]])</f>
        <v>79076285.409136117</v>
      </c>
      <c r="K94" s="15">
        <f>Tasaus[[#This Row],[Laskennallinen verotulo yhteensä, €]]/Tasaus[[#This Row],[Asukasluku 31.12.2022]]</f>
        <v>2098.8503399813176</v>
      </c>
      <c r="L94" s="34">
        <f>$K$11-Tasaus[[#This Row],[Laskennallinen verotulo yhteensä, €/asukas (=tasausraja)]]</f>
        <v>34.909660018682644</v>
      </c>
      <c r="M94" s="369">
        <v>31.418694016814381</v>
      </c>
      <c r="N94" s="370">
        <v>1183730.7157774987</v>
      </c>
      <c r="P94" s="116"/>
      <c r="Q94" s="117"/>
      <c r="R94" s="118"/>
    </row>
    <row r="95" spans="1:18">
      <c r="A95" s="266">
        <v>249</v>
      </c>
      <c r="B95" s="13" t="s">
        <v>449</v>
      </c>
      <c r="C95" s="267">
        <v>9250</v>
      </c>
      <c r="D95" s="268">
        <v>9.11</v>
      </c>
      <c r="E95" s="14">
        <v>14832609.07</v>
      </c>
      <c r="F95" s="14">
        <f>Tasaus[[#This Row],[Kunnallisvero (maksuunpantu), €]]*100/Tasaus[[#This Row],[Tuloveroprosentti 2023]]</f>
        <v>162816784.52250275</v>
      </c>
      <c r="G95" s="269">
        <f>Tasaus[[#This Row],[Verotettava tulo (kunnallisvero), €]]*($D$11/100)</f>
        <v>12015878.697760703</v>
      </c>
      <c r="H95" s="14">
        <v>2566380.8784426525</v>
      </c>
      <c r="I95" s="15">
        <v>1588271.7141999998</v>
      </c>
      <c r="J95" s="15">
        <f>SUM(Tasaus[[#This Row],[Laskennallinen kunnallisvero, €]:[Laskennallinen kiinteistövero, €]])</f>
        <v>16170531.290403355</v>
      </c>
      <c r="K95" s="15">
        <f>Tasaus[[#This Row],[Laskennallinen verotulo yhteensä, €]]/Tasaus[[#This Row],[Asukasluku 31.12.2022]]</f>
        <v>1748.1655449084708</v>
      </c>
      <c r="L95" s="34">
        <f>$K$11-Tasaus[[#This Row],[Laskennallinen verotulo yhteensä, €/asukas (=tasausraja)]]</f>
        <v>385.59445509152943</v>
      </c>
      <c r="M95" s="369">
        <v>347.03500958237652</v>
      </c>
      <c r="N95" s="370">
        <v>3210073.8386369827</v>
      </c>
      <c r="P95" s="116"/>
      <c r="Q95" s="117"/>
      <c r="R95" s="118"/>
    </row>
    <row r="96" spans="1:18">
      <c r="A96" s="266">
        <v>250</v>
      </c>
      <c r="B96" s="13" t="s">
        <v>450</v>
      </c>
      <c r="C96" s="267">
        <v>1771</v>
      </c>
      <c r="D96" s="268">
        <v>8.86</v>
      </c>
      <c r="E96" s="14">
        <v>2295210.44</v>
      </c>
      <c r="F96" s="14">
        <f>Tasaus[[#This Row],[Kunnallisvero (maksuunpantu), €]]*100/Tasaus[[#This Row],[Tuloveroprosentti 2023]]</f>
        <v>25905309.706546277</v>
      </c>
      <c r="G96" s="269">
        <f>Tasaus[[#This Row],[Verotettava tulo (kunnallisvero), €]]*($D$11/100)</f>
        <v>1911811.8563431154</v>
      </c>
      <c r="H96" s="14">
        <v>648193.31274314609</v>
      </c>
      <c r="I96" s="15">
        <v>295533.83494999999</v>
      </c>
      <c r="J96" s="15">
        <f>SUM(Tasaus[[#This Row],[Laskennallinen kunnallisvero, €]:[Laskennallinen kiinteistövero, €]])</f>
        <v>2855539.0040362617</v>
      </c>
      <c r="K96" s="15">
        <f>Tasaus[[#This Row],[Laskennallinen verotulo yhteensä, €]]/Tasaus[[#This Row],[Asukasluku 31.12.2022]]</f>
        <v>1612.387918710481</v>
      </c>
      <c r="L96" s="34">
        <f>$K$11-Tasaus[[#This Row],[Laskennallinen verotulo yhteensä, €/asukas (=tasausraja)]]</f>
        <v>521.3720812895192</v>
      </c>
      <c r="M96" s="369">
        <v>469.2348731605673</v>
      </c>
      <c r="N96" s="370">
        <v>831014.96036736469</v>
      </c>
      <c r="P96" s="116"/>
      <c r="Q96" s="117"/>
      <c r="R96" s="118"/>
    </row>
    <row r="97" spans="1:18">
      <c r="A97" s="266">
        <v>256</v>
      </c>
      <c r="B97" s="13" t="s">
        <v>451</v>
      </c>
      <c r="C97" s="267">
        <v>1554</v>
      </c>
      <c r="D97" s="268">
        <v>8.86</v>
      </c>
      <c r="E97" s="14">
        <v>1885477.41</v>
      </c>
      <c r="F97" s="14">
        <f>Tasaus[[#This Row],[Kunnallisvero (maksuunpantu), €]]*100/Tasaus[[#This Row],[Tuloveroprosentti 2023]]</f>
        <v>21280783.408577878</v>
      </c>
      <c r="G97" s="269">
        <f>Tasaus[[#This Row],[Verotettava tulo (kunnallisvero), €]]*($D$11/100)</f>
        <v>1570521.8155530475</v>
      </c>
      <c r="H97" s="14">
        <v>479503.18205643538</v>
      </c>
      <c r="I97" s="15">
        <v>221447.24799999999</v>
      </c>
      <c r="J97" s="15">
        <f>SUM(Tasaus[[#This Row],[Laskennallinen kunnallisvero, €]:[Laskennallinen kiinteistövero, €]])</f>
        <v>2271472.2456094828</v>
      </c>
      <c r="K97" s="15">
        <f>Tasaus[[#This Row],[Laskennallinen verotulo yhteensä, €]]/Tasaus[[#This Row],[Asukasluku 31.12.2022]]</f>
        <v>1461.693851743554</v>
      </c>
      <c r="L97" s="34">
        <f>$K$11-Tasaus[[#This Row],[Laskennallinen verotulo yhteensä, €/asukas (=tasausraja)]]</f>
        <v>672.06614825644624</v>
      </c>
      <c r="M97" s="369">
        <v>604.85953343080166</v>
      </c>
      <c r="N97" s="370">
        <v>939951.71495146584</v>
      </c>
      <c r="P97" s="116"/>
      <c r="Q97" s="117"/>
      <c r="R97" s="118"/>
    </row>
    <row r="98" spans="1:18">
      <c r="A98" s="266">
        <v>257</v>
      </c>
      <c r="B98" s="13" t="s">
        <v>452</v>
      </c>
      <c r="C98" s="267">
        <v>40722</v>
      </c>
      <c r="D98" s="268">
        <v>7.1099999999999994</v>
      </c>
      <c r="E98" s="14">
        <v>79630397.819999993</v>
      </c>
      <c r="F98" s="14">
        <f>Tasaus[[#This Row],[Kunnallisvero (maksuunpantu), €]]*100/Tasaus[[#This Row],[Tuloveroprosentti 2023]]</f>
        <v>1119977465.8227847</v>
      </c>
      <c r="G98" s="269">
        <f>Tasaus[[#This Row],[Verotettava tulo (kunnallisvero), €]]*($D$11/100)</f>
        <v>82654336.977721512</v>
      </c>
      <c r="H98" s="14">
        <v>6617092.0181728229</v>
      </c>
      <c r="I98" s="15">
        <v>8015625.494549999</v>
      </c>
      <c r="J98" s="15">
        <f>SUM(Tasaus[[#This Row],[Laskennallinen kunnallisvero, €]:[Laskennallinen kiinteistövero, €]])</f>
        <v>97287054.490444347</v>
      </c>
      <c r="K98" s="15">
        <f>Tasaus[[#This Row],[Laskennallinen verotulo yhteensä, €]]/Tasaus[[#This Row],[Asukasluku 31.12.2022]]</f>
        <v>2389.0539386681485</v>
      </c>
      <c r="L98" s="34">
        <f>$K$11-Tasaus[[#This Row],[Laskennallinen verotulo yhteensä, €/asukas (=tasausraja)]]</f>
        <v>-255.29393866814826</v>
      </c>
      <c r="M98" s="369">
        <v>-25.529393866814829</v>
      </c>
      <c r="N98" s="370">
        <v>-1039607.9770444335</v>
      </c>
      <c r="P98" s="116"/>
      <c r="Q98" s="117"/>
      <c r="R98" s="118"/>
    </row>
    <row r="99" spans="1:18">
      <c r="A99" s="266">
        <v>260</v>
      </c>
      <c r="B99" s="13" t="s">
        <v>453</v>
      </c>
      <c r="C99" s="267">
        <v>9727</v>
      </c>
      <c r="D99" s="268">
        <v>8.11</v>
      </c>
      <c r="E99" s="14">
        <v>12075871.310000001</v>
      </c>
      <c r="F99" s="14">
        <f>Tasaus[[#This Row],[Kunnallisvero (maksuunpantu), €]]*100/Tasaus[[#This Row],[Tuloveroprosentti 2023]]</f>
        <v>148901002.58939582</v>
      </c>
      <c r="G99" s="269">
        <f>Tasaus[[#This Row],[Verotettava tulo (kunnallisvero), €]]*($D$11/100)</f>
        <v>10988893.991097413</v>
      </c>
      <c r="H99" s="14">
        <v>2044655.4347619552</v>
      </c>
      <c r="I99" s="15">
        <v>1640880.96065</v>
      </c>
      <c r="J99" s="15">
        <f>SUM(Tasaus[[#This Row],[Laskennallinen kunnallisvero, €]:[Laskennallinen kiinteistövero, €]])</f>
        <v>14674430.386509368</v>
      </c>
      <c r="K99" s="15">
        <f>Tasaus[[#This Row],[Laskennallinen verotulo yhteensä, €]]/Tasaus[[#This Row],[Asukasluku 31.12.2022]]</f>
        <v>1508.6285994149653</v>
      </c>
      <c r="L99" s="34">
        <f>$K$11-Tasaus[[#This Row],[Laskennallinen verotulo yhteensä, €/asukas (=tasausraja)]]</f>
        <v>625.13140058503495</v>
      </c>
      <c r="M99" s="369">
        <v>562.61826052653146</v>
      </c>
      <c r="N99" s="370">
        <v>5472587.8201415716</v>
      </c>
      <c r="P99" s="116"/>
      <c r="Q99" s="117"/>
      <c r="R99" s="118"/>
    </row>
    <row r="100" spans="1:18">
      <c r="A100" s="266">
        <v>261</v>
      </c>
      <c r="B100" s="13" t="s">
        <v>454</v>
      </c>
      <c r="C100" s="267">
        <v>6637</v>
      </c>
      <c r="D100" s="268">
        <v>7.6099999999999994</v>
      </c>
      <c r="E100" s="14">
        <v>10396406.07</v>
      </c>
      <c r="F100" s="14">
        <f>Tasaus[[#This Row],[Kunnallisvero (maksuunpantu), €]]*100/Tasaus[[#This Row],[Tuloveroprosentti 2023]]</f>
        <v>136615060.05256242</v>
      </c>
      <c r="G100" s="269">
        <f>Tasaus[[#This Row],[Verotettava tulo (kunnallisvero), €]]*($D$11/100)</f>
        <v>10082191.431879107</v>
      </c>
      <c r="H100" s="14">
        <v>5400449.6090093199</v>
      </c>
      <c r="I100" s="15">
        <v>3978672.6609499999</v>
      </c>
      <c r="J100" s="15">
        <f>SUM(Tasaus[[#This Row],[Laskennallinen kunnallisvero, €]:[Laskennallinen kiinteistövero, €]])</f>
        <v>19461313.701838426</v>
      </c>
      <c r="K100" s="15">
        <f>Tasaus[[#This Row],[Laskennallinen verotulo yhteensä, €]]/Tasaus[[#This Row],[Asukasluku 31.12.2022]]</f>
        <v>2932.2455479642044</v>
      </c>
      <c r="L100" s="34">
        <f>$K$11-Tasaus[[#This Row],[Laskennallinen verotulo yhteensä, €/asukas (=tasausraja)]]</f>
        <v>-798.48554796420422</v>
      </c>
      <c r="M100" s="369">
        <v>-79.84855479642043</v>
      </c>
      <c r="N100" s="370">
        <v>-529954.85818384239</v>
      </c>
      <c r="P100" s="116"/>
      <c r="Q100" s="117"/>
      <c r="R100" s="118"/>
    </row>
    <row r="101" spans="1:18">
      <c r="A101" s="266">
        <v>263</v>
      </c>
      <c r="B101" s="13" t="s">
        <v>455</v>
      </c>
      <c r="C101" s="267">
        <v>7597</v>
      </c>
      <c r="D101" s="268">
        <v>9.11</v>
      </c>
      <c r="E101" s="14">
        <v>10416024.52</v>
      </c>
      <c r="F101" s="14">
        <f>Tasaus[[#This Row],[Kunnallisvero (maksuunpantu), €]]*100/Tasaus[[#This Row],[Tuloveroprosentti 2023]]</f>
        <v>114336163.77607027</v>
      </c>
      <c r="G101" s="269">
        <f>Tasaus[[#This Row],[Verotettava tulo (kunnallisvero), €]]*($D$11/100)</f>
        <v>8438008.8866739869</v>
      </c>
      <c r="H101" s="14">
        <v>1565990.1428804067</v>
      </c>
      <c r="I101" s="15">
        <v>958118.1046000002</v>
      </c>
      <c r="J101" s="15">
        <f>SUM(Tasaus[[#This Row],[Laskennallinen kunnallisvero, €]:[Laskennallinen kiinteistövero, €]])</f>
        <v>10962117.134154394</v>
      </c>
      <c r="K101" s="15">
        <f>Tasaus[[#This Row],[Laskennallinen verotulo yhteensä, €]]/Tasaus[[#This Row],[Asukasluku 31.12.2022]]</f>
        <v>1442.9534203178089</v>
      </c>
      <c r="L101" s="34">
        <f>$K$11-Tasaus[[#This Row],[Laskennallinen verotulo yhteensä, €/asukas (=tasausraja)]]</f>
        <v>690.80657968219134</v>
      </c>
      <c r="M101" s="369">
        <v>621.72592171397218</v>
      </c>
      <c r="N101" s="370">
        <v>4723251.8272610465</v>
      </c>
      <c r="P101" s="116"/>
      <c r="Q101" s="117"/>
      <c r="R101" s="118"/>
    </row>
    <row r="102" spans="1:18">
      <c r="A102" s="266">
        <v>265</v>
      </c>
      <c r="B102" s="13" t="s">
        <v>456</v>
      </c>
      <c r="C102" s="267">
        <v>1064</v>
      </c>
      <c r="D102" s="268">
        <v>9.11</v>
      </c>
      <c r="E102" s="14">
        <v>1308153.33</v>
      </c>
      <c r="F102" s="14">
        <f>Tasaus[[#This Row],[Kunnallisvero (maksuunpantu), €]]*100/Tasaus[[#This Row],[Tuloveroprosentti 2023]]</f>
        <v>14359531.613611417</v>
      </c>
      <c r="G102" s="269">
        <f>Tasaus[[#This Row],[Verotettava tulo (kunnallisvero), €]]*($D$11/100)</f>
        <v>1059733.4330845226</v>
      </c>
      <c r="H102" s="14">
        <v>490114.00185426098</v>
      </c>
      <c r="I102" s="15">
        <v>244522.89655</v>
      </c>
      <c r="J102" s="15">
        <f>SUM(Tasaus[[#This Row],[Laskennallinen kunnallisvero, €]:[Laskennallinen kiinteistövero, €]])</f>
        <v>1794370.3314887835</v>
      </c>
      <c r="K102" s="15">
        <f>Tasaus[[#This Row],[Laskennallinen verotulo yhteensä, €]]/Tasaus[[#This Row],[Asukasluku 31.12.2022]]</f>
        <v>1686.4382814744206</v>
      </c>
      <c r="L102" s="34">
        <f>$K$11-Tasaus[[#This Row],[Laskennallinen verotulo yhteensä, €/asukas (=tasausraja)]]</f>
        <v>447.32171852557963</v>
      </c>
      <c r="M102" s="369">
        <v>402.58954667302169</v>
      </c>
      <c r="N102" s="370">
        <v>428355.27766009507</v>
      </c>
      <c r="P102" s="116"/>
      <c r="Q102" s="117"/>
      <c r="R102" s="118"/>
    </row>
    <row r="103" spans="1:18">
      <c r="A103" s="266">
        <v>271</v>
      </c>
      <c r="B103" s="13" t="s">
        <v>457</v>
      </c>
      <c r="C103" s="267">
        <v>6903</v>
      </c>
      <c r="D103" s="268">
        <v>9.11</v>
      </c>
      <c r="E103" s="14">
        <v>11205447.949999999</v>
      </c>
      <c r="F103" s="14">
        <f>Tasaus[[#This Row],[Kunnallisvero (maksuunpantu), €]]*100/Tasaus[[#This Row],[Tuloveroprosentti 2023]]</f>
        <v>123001624.03951702</v>
      </c>
      <c r="G103" s="269">
        <f>Tasaus[[#This Row],[Verotettava tulo (kunnallisvero), €]]*($D$11/100)</f>
        <v>9077519.854116356</v>
      </c>
      <c r="H103" s="14">
        <v>1068230.7300973237</v>
      </c>
      <c r="I103" s="15">
        <v>1086366.1217499999</v>
      </c>
      <c r="J103" s="15">
        <f>SUM(Tasaus[[#This Row],[Laskennallinen kunnallisvero, €]:[Laskennallinen kiinteistövero, €]])</f>
        <v>11232116.705963679</v>
      </c>
      <c r="K103" s="15">
        <f>Tasaus[[#This Row],[Laskennallinen verotulo yhteensä, €]]/Tasaus[[#This Row],[Asukasluku 31.12.2022]]</f>
        <v>1627.1355506248992</v>
      </c>
      <c r="L103" s="34">
        <f>$K$11-Tasaus[[#This Row],[Laskennallinen verotulo yhteensä, €/asukas (=tasausraja)]]</f>
        <v>506.62444937510099</v>
      </c>
      <c r="M103" s="369">
        <v>455.96200443759091</v>
      </c>
      <c r="N103" s="370">
        <v>3147505.7166326898</v>
      </c>
      <c r="P103" s="116"/>
      <c r="Q103" s="117"/>
      <c r="R103" s="118"/>
    </row>
    <row r="104" spans="1:18">
      <c r="A104" s="266">
        <v>272</v>
      </c>
      <c r="B104" s="13" t="s">
        <v>458</v>
      </c>
      <c r="C104" s="267">
        <v>48006</v>
      </c>
      <c r="D104" s="268">
        <v>8.8599999999999959</v>
      </c>
      <c r="E104" s="14">
        <v>83301545.760000005</v>
      </c>
      <c r="F104" s="14">
        <f>Tasaus[[#This Row],[Kunnallisvero (maksuunpantu), €]]*100/Tasaus[[#This Row],[Tuloveroprosentti 2023]]</f>
        <v>940198033.4085784</v>
      </c>
      <c r="G104" s="269">
        <f>Tasaus[[#This Row],[Verotettava tulo (kunnallisvero), €]]*($D$11/100)</f>
        <v>69386614.865553096</v>
      </c>
      <c r="H104" s="14">
        <v>14817916.678876139</v>
      </c>
      <c r="I104" s="15">
        <v>7349457.2860000003</v>
      </c>
      <c r="J104" s="15">
        <f>SUM(Tasaus[[#This Row],[Laskennallinen kunnallisvero, €]:[Laskennallinen kiinteistövero, €]])</f>
        <v>91553988.830429241</v>
      </c>
      <c r="K104" s="15">
        <f>Tasaus[[#This Row],[Laskennallinen verotulo yhteensä, €]]/Tasaus[[#This Row],[Asukasluku 31.12.2022]]</f>
        <v>1907.1363752537025</v>
      </c>
      <c r="L104" s="34">
        <f>$K$11-Tasaus[[#This Row],[Laskennallinen verotulo yhteensä, €/asukas (=tasausraja)]]</f>
        <v>226.62362474629776</v>
      </c>
      <c r="M104" s="369">
        <v>203.96126227166801</v>
      </c>
      <c r="N104" s="370">
        <v>9791364.3566136938</v>
      </c>
      <c r="P104" s="116"/>
      <c r="Q104" s="117"/>
      <c r="R104" s="118"/>
    </row>
    <row r="105" spans="1:18">
      <c r="A105" s="266">
        <v>273</v>
      </c>
      <c r="B105" s="13" t="s">
        <v>459</v>
      </c>
      <c r="C105" s="267">
        <v>3999</v>
      </c>
      <c r="D105" s="268">
        <v>7.8599999999999994</v>
      </c>
      <c r="E105" s="14">
        <v>5640783.3300000001</v>
      </c>
      <c r="F105" s="14">
        <f>Tasaus[[#This Row],[Kunnallisvero (maksuunpantu), €]]*100/Tasaus[[#This Row],[Tuloveroprosentti 2023]]</f>
        <v>71765691.22137405</v>
      </c>
      <c r="G105" s="269">
        <f>Tasaus[[#This Row],[Verotettava tulo (kunnallisvero), €]]*($D$11/100)</f>
        <v>5296308.0121374056</v>
      </c>
      <c r="H105" s="14">
        <v>737379.11202739214</v>
      </c>
      <c r="I105" s="15">
        <v>2186264.6694999998</v>
      </c>
      <c r="J105" s="15">
        <f>SUM(Tasaus[[#This Row],[Laskennallinen kunnallisvero, €]:[Laskennallinen kiinteistövero, €]])</f>
        <v>8219951.7936647972</v>
      </c>
      <c r="K105" s="15">
        <f>Tasaus[[#This Row],[Laskennallinen verotulo yhteensä, €]]/Tasaus[[#This Row],[Asukasluku 31.12.2022]]</f>
        <v>2055.5018238721673</v>
      </c>
      <c r="L105" s="34">
        <f>$K$11-Tasaus[[#This Row],[Laskennallinen verotulo yhteensä, €/asukas (=tasausraja)]]</f>
        <v>78.25817612783294</v>
      </c>
      <c r="M105" s="369">
        <v>70.432358515049643</v>
      </c>
      <c r="N105" s="370">
        <v>281659.0017016835</v>
      </c>
      <c r="P105" s="116"/>
      <c r="Q105" s="117"/>
      <c r="R105" s="118"/>
    </row>
    <row r="106" spans="1:18">
      <c r="A106" s="266">
        <v>275</v>
      </c>
      <c r="B106" s="13" t="s">
        <v>460</v>
      </c>
      <c r="C106" s="267">
        <v>2521</v>
      </c>
      <c r="D106" s="268">
        <v>9.36</v>
      </c>
      <c r="E106" s="14">
        <v>3683231.86</v>
      </c>
      <c r="F106" s="14">
        <f>Tasaus[[#This Row],[Kunnallisvero (maksuunpantu), €]]*100/Tasaus[[#This Row],[Tuloveroprosentti 2023]]</f>
        <v>39350767.735042736</v>
      </c>
      <c r="G106" s="269">
        <f>Tasaus[[#This Row],[Verotettava tulo (kunnallisvero), €]]*($D$11/100)</f>
        <v>2904086.6588461539</v>
      </c>
      <c r="H106" s="14">
        <v>633877.48382758547</v>
      </c>
      <c r="I106" s="15">
        <v>436575.29439999996</v>
      </c>
      <c r="J106" s="15">
        <f>SUM(Tasaus[[#This Row],[Laskennallinen kunnallisvero, €]:[Laskennallinen kiinteistövero, €]])</f>
        <v>3974539.4370737392</v>
      </c>
      <c r="K106" s="15">
        <f>Tasaus[[#This Row],[Laskennallinen verotulo yhteensä, €]]/Tasaus[[#This Row],[Asukasluku 31.12.2022]]</f>
        <v>1576.5725652811341</v>
      </c>
      <c r="L106" s="34">
        <f>$K$11-Tasaus[[#This Row],[Laskennallinen verotulo yhteensä, €/asukas (=tasausraja)]]</f>
        <v>557.18743471886614</v>
      </c>
      <c r="M106" s="369">
        <v>501.46869124697952</v>
      </c>
      <c r="N106" s="370">
        <v>1264202.5706336354</v>
      </c>
      <c r="P106" s="116"/>
      <c r="Q106" s="117"/>
      <c r="R106" s="118"/>
    </row>
    <row r="107" spans="1:18">
      <c r="A107" s="266">
        <v>276</v>
      </c>
      <c r="B107" s="13" t="s">
        <v>461</v>
      </c>
      <c r="C107" s="267">
        <v>15157</v>
      </c>
      <c r="D107" s="268">
        <v>7.8599999999999994</v>
      </c>
      <c r="E107" s="14">
        <v>23449114.760000002</v>
      </c>
      <c r="F107" s="14">
        <f>Tasaus[[#This Row],[Kunnallisvero (maksuunpantu), €]]*100/Tasaus[[#This Row],[Tuloveroprosentti 2023]]</f>
        <v>298334793.38422394</v>
      </c>
      <c r="G107" s="269">
        <f>Tasaus[[#This Row],[Verotettava tulo (kunnallisvero), €]]*($D$11/100)</f>
        <v>22017107.751755729</v>
      </c>
      <c r="H107" s="14">
        <v>2636855.1148743308</v>
      </c>
      <c r="I107" s="15">
        <v>1723833.73505</v>
      </c>
      <c r="J107" s="15">
        <f>SUM(Tasaus[[#This Row],[Laskennallinen kunnallisvero, €]:[Laskennallinen kiinteistövero, €]])</f>
        <v>26377796.601680059</v>
      </c>
      <c r="K107" s="15">
        <f>Tasaus[[#This Row],[Laskennallinen verotulo yhteensä, €]]/Tasaus[[#This Row],[Asukasluku 31.12.2022]]</f>
        <v>1740.3045854509508</v>
      </c>
      <c r="L107" s="34">
        <f>$K$11-Tasaus[[#This Row],[Laskennallinen verotulo yhteensä, €/asukas (=tasausraja)]]</f>
        <v>393.45541454904946</v>
      </c>
      <c r="M107" s="369">
        <v>354.10987309414452</v>
      </c>
      <c r="N107" s="370">
        <v>5367243.3464879487</v>
      </c>
      <c r="P107" s="116"/>
      <c r="Q107" s="117"/>
      <c r="R107" s="118"/>
    </row>
    <row r="108" spans="1:18">
      <c r="A108" s="266">
        <v>280</v>
      </c>
      <c r="B108" s="13" t="s">
        <v>462</v>
      </c>
      <c r="C108" s="267">
        <v>2024</v>
      </c>
      <c r="D108" s="268">
        <v>9.36</v>
      </c>
      <c r="E108" s="14">
        <v>3038495.82</v>
      </c>
      <c r="F108" s="14">
        <f>Tasaus[[#This Row],[Kunnallisvero (maksuunpantu), €]]*100/Tasaus[[#This Row],[Tuloveroprosentti 2023]]</f>
        <v>32462562.17948718</v>
      </c>
      <c r="G108" s="269">
        <f>Tasaus[[#This Row],[Verotettava tulo (kunnallisvero), €]]*($D$11/100)</f>
        <v>2395737.088846154</v>
      </c>
      <c r="H108" s="14">
        <v>490963.7515083552</v>
      </c>
      <c r="I108" s="15">
        <v>419303.62869999994</v>
      </c>
      <c r="J108" s="15">
        <f>SUM(Tasaus[[#This Row],[Laskennallinen kunnallisvero, €]:[Laskennallinen kiinteistövero, €]])</f>
        <v>3306004.469054509</v>
      </c>
      <c r="K108" s="15">
        <f>Tasaus[[#This Row],[Laskennallinen verotulo yhteensä, €]]/Tasaus[[#This Row],[Asukasluku 31.12.2022]]</f>
        <v>1633.4014175170498</v>
      </c>
      <c r="L108" s="34">
        <f>$K$11-Tasaus[[#This Row],[Laskennallinen verotulo yhteensä, €/asukas (=tasausraja)]]</f>
        <v>500.3585824829504</v>
      </c>
      <c r="M108" s="369">
        <v>450.32272423465537</v>
      </c>
      <c r="N108" s="370">
        <v>911453.19385094242</v>
      </c>
      <c r="P108" s="116"/>
      <c r="Q108" s="117"/>
      <c r="R108" s="118"/>
    </row>
    <row r="109" spans="1:18">
      <c r="A109" s="266">
        <v>284</v>
      </c>
      <c r="B109" s="13" t="s">
        <v>463</v>
      </c>
      <c r="C109" s="267">
        <v>2227</v>
      </c>
      <c r="D109" s="268">
        <v>7.3599999999999994</v>
      </c>
      <c r="E109" s="14">
        <v>2791201.96</v>
      </c>
      <c r="F109" s="14">
        <f>Tasaus[[#This Row],[Kunnallisvero (maksuunpantu), €]]*100/Tasaus[[#This Row],[Tuloveroprosentti 2023]]</f>
        <v>37923939.673913047</v>
      </c>
      <c r="G109" s="269">
        <f>Tasaus[[#This Row],[Verotettava tulo (kunnallisvero), €]]*($D$11/100)</f>
        <v>2798786.7479347829</v>
      </c>
      <c r="H109" s="14">
        <v>1000919.5605214332</v>
      </c>
      <c r="I109" s="15">
        <v>352471.50455000001</v>
      </c>
      <c r="J109" s="15">
        <f>SUM(Tasaus[[#This Row],[Laskennallinen kunnallisvero, €]:[Laskennallinen kiinteistövero, €]])</f>
        <v>4152177.8130062162</v>
      </c>
      <c r="K109" s="15">
        <f>Tasaus[[#This Row],[Laskennallinen verotulo yhteensä, €]]/Tasaus[[#This Row],[Asukasluku 31.12.2022]]</f>
        <v>1864.471402337771</v>
      </c>
      <c r="L109" s="34">
        <f>$K$11-Tasaus[[#This Row],[Laskennallinen verotulo yhteensä, €/asukas (=tasausraja)]]</f>
        <v>269.28859766222922</v>
      </c>
      <c r="M109" s="369">
        <v>242.35973789600629</v>
      </c>
      <c r="N109" s="370">
        <v>539735.13629440602</v>
      </c>
      <c r="P109" s="116"/>
      <c r="Q109" s="117"/>
      <c r="R109" s="118"/>
    </row>
    <row r="110" spans="1:18">
      <c r="A110" s="266">
        <v>285</v>
      </c>
      <c r="B110" s="13" t="s">
        <v>464</v>
      </c>
      <c r="C110" s="267">
        <v>50617</v>
      </c>
      <c r="D110" s="268">
        <v>9.36</v>
      </c>
      <c r="E110" s="14">
        <v>99244597.319999993</v>
      </c>
      <c r="F110" s="14">
        <f>Tasaus[[#This Row],[Kunnallisvero (maksuunpantu), €]]*100/Tasaus[[#This Row],[Tuloveroprosentti 2023]]</f>
        <v>1060305526.923077</v>
      </c>
      <c r="G110" s="269">
        <f>Tasaus[[#This Row],[Verotettava tulo (kunnallisvero), €]]*($D$11/100)</f>
        <v>78250547.88692309</v>
      </c>
      <c r="H110" s="14">
        <v>10361013.704387885</v>
      </c>
      <c r="I110" s="15">
        <v>7757476.402449999</v>
      </c>
      <c r="J110" s="15">
        <f>SUM(Tasaus[[#This Row],[Laskennallinen kunnallisvero, €]:[Laskennallinen kiinteistövero, €]])</f>
        <v>96369037.993760973</v>
      </c>
      <c r="K110" s="15">
        <f>Tasaus[[#This Row],[Laskennallinen verotulo yhteensä, €]]/Tasaus[[#This Row],[Asukasluku 31.12.2022]]</f>
        <v>1903.8867968026746</v>
      </c>
      <c r="L110" s="34">
        <f>$K$11-Tasaus[[#This Row],[Laskennallinen verotulo yhteensä, €/asukas (=tasausraja)]]</f>
        <v>229.87320319732567</v>
      </c>
      <c r="M110" s="369">
        <v>206.8858828775931</v>
      </c>
      <c r="N110" s="370">
        <v>10471942.73361513</v>
      </c>
      <c r="P110" s="116"/>
      <c r="Q110" s="117"/>
      <c r="R110" s="118"/>
    </row>
    <row r="111" spans="1:18">
      <c r="A111" s="266">
        <v>286</v>
      </c>
      <c r="B111" s="13" t="s">
        <v>465</v>
      </c>
      <c r="C111" s="267">
        <v>79429</v>
      </c>
      <c r="D111" s="268">
        <v>8.61</v>
      </c>
      <c r="E111" s="14">
        <v>140583101.47999999</v>
      </c>
      <c r="F111" s="14">
        <f>Tasaus[[#This Row],[Kunnallisvero (maksuunpantu), €]]*100/Tasaus[[#This Row],[Tuloveroprosentti 2023]]</f>
        <v>1632788635.0754936</v>
      </c>
      <c r="G111" s="269">
        <f>Tasaus[[#This Row],[Verotettava tulo (kunnallisvero), €]]*($D$11/100)</f>
        <v>120499801.26857144</v>
      </c>
      <c r="H111" s="14">
        <v>21989778.423271205</v>
      </c>
      <c r="I111" s="15">
        <v>11782126.082300002</v>
      </c>
      <c r="J111" s="15">
        <f>SUM(Tasaus[[#This Row],[Laskennallinen kunnallisvero, €]:[Laskennallinen kiinteistövero, €]])</f>
        <v>154271705.77414265</v>
      </c>
      <c r="K111" s="15">
        <f>Tasaus[[#This Row],[Laskennallinen verotulo yhteensä, €]]/Tasaus[[#This Row],[Asukasluku 31.12.2022]]</f>
        <v>1942.2591971967752</v>
      </c>
      <c r="L111" s="34">
        <f>$K$11-Tasaus[[#This Row],[Laskennallinen verotulo yhteensä, €/asukas (=tasausraja)]]</f>
        <v>191.50080280322504</v>
      </c>
      <c r="M111" s="369">
        <v>172.35072252290254</v>
      </c>
      <c r="N111" s="370">
        <v>13689645.539271627</v>
      </c>
      <c r="P111" s="116"/>
      <c r="Q111" s="117"/>
      <c r="R111" s="118"/>
    </row>
    <row r="112" spans="1:18">
      <c r="A112" s="266">
        <v>287</v>
      </c>
      <c r="B112" s="13" t="s">
        <v>466</v>
      </c>
      <c r="C112" s="267">
        <v>6242</v>
      </c>
      <c r="D112" s="268">
        <v>8.86</v>
      </c>
      <c r="E112" s="14">
        <v>10176733.65</v>
      </c>
      <c r="F112" s="14">
        <f>Tasaus[[#This Row],[Kunnallisvero (maksuunpantu), €]]*100/Tasaus[[#This Row],[Tuloveroprosentti 2023]]</f>
        <v>114861553.61173816</v>
      </c>
      <c r="G112" s="269">
        <f>Tasaus[[#This Row],[Verotettava tulo (kunnallisvero), €]]*($D$11/100)</f>
        <v>8476782.6565462761</v>
      </c>
      <c r="H112" s="14">
        <v>1176211.2882776656</v>
      </c>
      <c r="I112" s="15">
        <v>1231078.7635999997</v>
      </c>
      <c r="J112" s="15">
        <f>SUM(Tasaus[[#This Row],[Laskennallinen kunnallisvero, €]:[Laskennallinen kiinteistövero, €]])</f>
        <v>10884072.70842394</v>
      </c>
      <c r="K112" s="15">
        <f>Tasaus[[#This Row],[Laskennallinen verotulo yhteensä, €]]/Tasaus[[#This Row],[Asukasluku 31.12.2022]]</f>
        <v>1743.6835482896413</v>
      </c>
      <c r="L112" s="34">
        <f>$K$11-Tasaus[[#This Row],[Laskennallinen verotulo yhteensä, €/asukas (=tasausraja)]]</f>
        <v>390.07645171035892</v>
      </c>
      <c r="M112" s="369">
        <v>351.06880653932302</v>
      </c>
      <c r="N112" s="370">
        <v>2191371.4904184542</v>
      </c>
      <c r="P112" s="116"/>
      <c r="Q112" s="117"/>
      <c r="R112" s="118"/>
    </row>
    <row r="113" spans="1:18">
      <c r="A113" s="266">
        <v>288</v>
      </c>
      <c r="B113" s="13" t="s">
        <v>467</v>
      </c>
      <c r="C113" s="267">
        <v>6405</v>
      </c>
      <c r="D113" s="268">
        <v>9.3599999999999959</v>
      </c>
      <c r="E113" s="14">
        <v>10485965.82</v>
      </c>
      <c r="F113" s="14">
        <f>Tasaus[[#This Row],[Kunnallisvero (maksuunpantu), €]]*100/Tasaus[[#This Row],[Tuloveroprosentti 2023]]</f>
        <v>112029549.35897441</v>
      </c>
      <c r="G113" s="269">
        <f>Tasaus[[#This Row],[Verotettava tulo (kunnallisvero), €]]*($D$11/100)</f>
        <v>8267780.7426923122</v>
      </c>
      <c r="H113" s="14">
        <v>1795496.401697271</v>
      </c>
      <c r="I113" s="15">
        <v>1001789.3466</v>
      </c>
      <c r="J113" s="15">
        <f>SUM(Tasaus[[#This Row],[Laskennallinen kunnallisvero, €]:[Laskennallinen kiinteistövero, €]])</f>
        <v>11065066.490989583</v>
      </c>
      <c r="K113" s="15">
        <f>Tasaus[[#This Row],[Laskennallinen verotulo yhteensä, €]]/Tasaus[[#This Row],[Asukasluku 31.12.2022]]</f>
        <v>1727.5669775159379</v>
      </c>
      <c r="L113" s="34">
        <f>$K$11-Tasaus[[#This Row],[Laskennallinen verotulo yhteensä, €/asukas (=tasausraja)]]</f>
        <v>406.19302248406234</v>
      </c>
      <c r="M113" s="369">
        <v>365.57372023565614</v>
      </c>
      <c r="N113" s="370">
        <v>2341499.6781093776</v>
      </c>
      <c r="P113" s="116"/>
      <c r="Q113" s="117"/>
      <c r="R113" s="118"/>
    </row>
    <row r="114" spans="1:18">
      <c r="A114" s="266">
        <v>290</v>
      </c>
      <c r="B114" s="13" t="s">
        <v>468</v>
      </c>
      <c r="C114" s="267">
        <v>7755</v>
      </c>
      <c r="D114" s="268">
        <v>9.36</v>
      </c>
      <c r="E114" s="14">
        <v>11770540.76</v>
      </c>
      <c r="F114" s="14">
        <f>Tasaus[[#This Row],[Kunnallisvero (maksuunpantu), €]]*100/Tasaus[[#This Row],[Tuloveroprosentti 2023]]</f>
        <v>125753640.59829061</v>
      </c>
      <c r="G114" s="269">
        <f>Tasaus[[#This Row],[Verotettava tulo (kunnallisvero), €]]*($D$11/100)</f>
        <v>9280618.6761538479</v>
      </c>
      <c r="H114" s="14">
        <v>3069692.3243854316</v>
      </c>
      <c r="I114" s="15">
        <v>1211175.8341999997</v>
      </c>
      <c r="J114" s="15">
        <f>SUM(Tasaus[[#This Row],[Laskennallinen kunnallisvero, €]:[Laskennallinen kiinteistövero, €]])</f>
        <v>13561486.834739281</v>
      </c>
      <c r="K114" s="15">
        <f>Tasaus[[#This Row],[Laskennallinen verotulo yhteensä, €]]/Tasaus[[#This Row],[Asukasluku 31.12.2022]]</f>
        <v>1748.7410489670253</v>
      </c>
      <c r="L114" s="34">
        <f>$K$11-Tasaus[[#This Row],[Laskennallinen verotulo yhteensä, €/asukas (=tasausraja)]]</f>
        <v>385.01895103297488</v>
      </c>
      <c r="M114" s="369">
        <v>346.51705592967738</v>
      </c>
      <c r="N114" s="370">
        <v>2687239.7687346479</v>
      </c>
      <c r="P114" s="116"/>
      <c r="Q114" s="117"/>
      <c r="R114" s="118"/>
    </row>
    <row r="115" spans="1:18">
      <c r="A115" s="266">
        <v>291</v>
      </c>
      <c r="B115" s="13" t="s">
        <v>469</v>
      </c>
      <c r="C115" s="267">
        <v>2119</v>
      </c>
      <c r="D115" s="268">
        <v>9.11</v>
      </c>
      <c r="E115" s="14">
        <v>3155330.38</v>
      </c>
      <c r="F115" s="14">
        <f>Tasaus[[#This Row],[Kunnallisvero (maksuunpantu), €]]*100/Tasaus[[#This Row],[Tuloveroprosentti 2023]]</f>
        <v>34635898.792535678</v>
      </c>
      <c r="G115" s="269">
        <f>Tasaus[[#This Row],[Verotettava tulo (kunnallisvero), €]]*($D$11/100)</f>
        <v>2556129.3308891333</v>
      </c>
      <c r="H115" s="14">
        <v>772378.23205823475</v>
      </c>
      <c r="I115" s="15">
        <v>812193.62280000001</v>
      </c>
      <c r="J115" s="15">
        <f>SUM(Tasaus[[#This Row],[Laskennallinen kunnallisvero, €]:[Laskennallinen kiinteistövero, €]])</f>
        <v>4140701.1857473683</v>
      </c>
      <c r="K115" s="15">
        <f>Tasaus[[#This Row],[Laskennallinen verotulo yhteensä, €]]/Tasaus[[#This Row],[Asukasluku 31.12.2022]]</f>
        <v>1954.0826737835621</v>
      </c>
      <c r="L115" s="34">
        <f>$K$11-Tasaus[[#This Row],[Laskennallinen verotulo yhteensä, €/asukas (=tasausraja)]]</f>
        <v>179.67732621643813</v>
      </c>
      <c r="M115" s="369">
        <v>161.70959359479431</v>
      </c>
      <c r="N115" s="370">
        <v>342662.62882736913</v>
      </c>
      <c r="P115" s="116"/>
      <c r="Q115" s="117"/>
      <c r="R115" s="118"/>
    </row>
    <row r="116" spans="1:18">
      <c r="A116" s="266">
        <v>297</v>
      </c>
      <c r="B116" s="13" t="s">
        <v>470</v>
      </c>
      <c r="C116" s="267">
        <v>122594</v>
      </c>
      <c r="D116" s="268">
        <v>8.11</v>
      </c>
      <c r="E116" s="14">
        <v>204634884.86000001</v>
      </c>
      <c r="F116" s="14">
        <f>Tasaus[[#This Row],[Kunnallisvero (maksuunpantu), €]]*100/Tasaus[[#This Row],[Tuloveroprosentti 2023]]</f>
        <v>2523241490.2589397</v>
      </c>
      <c r="G116" s="269">
        <f>Tasaus[[#This Row],[Verotettava tulo (kunnallisvero), €]]*($D$11/100)</f>
        <v>186215221.98110977</v>
      </c>
      <c r="H116" s="14">
        <v>26119030.760940962</v>
      </c>
      <c r="I116" s="15">
        <v>21962413.36025</v>
      </c>
      <c r="J116" s="15">
        <f>SUM(Tasaus[[#This Row],[Laskennallinen kunnallisvero, €]:[Laskennallinen kiinteistövero, €]])</f>
        <v>234296666.10230073</v>
      </c>
      <c r="K116" s="15">
        <f>Tasaus[[#This Row],[Laskennallinen verotulo yhteensä, €]]/Tasaus[[#This Row],[Asukasluku 31.12.2022]]</f>
        <v>1911.1593234766851</v>
      </c>
      <c r="L116" s="34">
        <f>$K$11-Tasaus[[#This Row],[Laskennallinen verotulo yhteensä, €/asukas (=tasausraja)]]</f>
        <v>222.60067652331509</v>
      </c>
      <c r="M116" s="369">
        <v>200.34060887098357</v>
      </c>
      <c r="N116" s="370">
        <v>24560556.603929359</v>
      </c>
      <c r="P116" s="116"/>
      <c r="Q116" s="117"/>
      <c r="R116" s="118"/>
    </row>
    <row r="117" spans="1:18">
      <c r="A117" s="242">
        <v>300</v>
      </c>
      <c r="B117" s="36" t="s">
        <v>471</v>
      </c>
      <c r="C117" s="267">
        <v>3437</v>
      </c>
      <c r="D117" s="268">
        <v>8.3599999999999959</v>
      </c>
      <c r="E117" s="14">
        <v>4700314.28</v>
      </c>
      <c r="F117" s="14">
        <f>Tasaus[[#This Row],[Kunnallisvero (maksuunpantu), €]]*100/Tasaus[[#This Row],[Tuloveroprosentti 2023]]</f>
        <v>56223855.023923472</v>
      </c>
      <c r="G117" s="269">
        <f>Tasaus[[#This Row],[Verotettava tulo (kunnallisvero), €]]*($D$11/100)</f>
        <v>4149320.5007655523</v>
      </c>
      <c r="H117" s="14">
        <v>598274.24911349802</v>
      </c>
      <c r="I117" s="271">
        <v>669693.94600000011</v>
      </c>
      <c r="J117" s="15">
        <f>SUM(Tasaus[[#This Row],[Laskennallinen kunnallisvero, €]:[Laskennallinen kiinteistövero, €]])</f>
        <v>5417288.6958790505</v>
      </c>
      <c r="K117" s="15">
        <f>Tasaus[[#This Row],[Laskennallinen verotulo yhteensä, €]]/Tasaus[[#This Row],[Asukasluku 31.12.2022]]</f>
        <v>1576.1677904797937</v>
      </c>
      <c r="L117" s="34">
        <f>$K$11-Tasaus[[#This Row],[Laskennallinen verotulo yhteensä, €/asukas (=tasausraja)]]</f>
        <v>557.59220952020655</v>
      </c>
      <c r="M117" s="369">
        <v>501.8329885681859</v>
      </c>
      <c r="N117" s="370">
        <v>1724799.9817088549</v>
      </c>
      <c r="P117" s="116"/>
      <c r="Q117" s="117"/>
      <c r="R117" s="118"/>
    </row>
    <row r="118" spans="1:18">
      <c r="A118" s="266">
        <v>301</v>
      </c>
      <c r="B118" s="13" t="s">
        <v>472</v>
      </c>
      <c r="C118" s="270">
        <v>19890</v>
      </c>
      <c r="D118" s="268">
        <v>8.36</v>
      </c>
      <c r="E118" s="14">
        <v>28159268.449999999</v>
      </c>
      <c r="F118" s="14">
        <f>Tasaus[[#This Row],[Kunnallisvero (maksuunpantu), €]]*100/Tasaus[[#This Row],[Tuloveroprosentti 2023]]</f>
        <v>336833354.66507179</v>
      </c>
      <c r="G118" s="269">
        <f>Tasaus[[#This Row],[Verotettava tulo (kunnallisvero), €]]*($D$11/100)</f>
        <v>24858301.5742823</v>
      </c>
      <c r="H118" s="14">
        <v>3373134.3500498068</v>
      </c>
      <c r="I118" s="271">
        <v>2714358.5754</v>
      </c>
      <c r="J118" s="15">
        <f>SUM(Tasaus[[#This Row],[Laskennallinen kunnallisvero, €]:[Laskennallinen kiinteistövero, €]])</f>
        <v>30945794.499732103</v>
      </c>
      <c r="K118" s="15">
        <f>Tasaus[[#This Row],[Laskennallinen verotulo yhteensä, €]]/Tasaus[[#This Row],[Asukasluku 31.12.2022]]</f>
        <v>1555.8468828422374</v>
      </c>
      <c r="L118" s="34">
        <f>$K$11-Tasaus[[#This Row],[Laskennallinen verotulo yhteensä, €/asukas (=tasausraja)]]</f>
        <v>577.91311715776283</v>
      </c>
      <c r="M118" s="369">
        <v>520.12180544198657</v>
      </c>
      <c r="N118" s="370">
        <v>10345222.710241113</v>
      </c>
      <c r="P118" s="116"/>
      <c r="Q118" s="117"/>
      <c r="R118" s="118"/>
    </row>
    <row r="119" spans="1:18">
      <c r="A119" s="266">
        <v>304</v>
      </c>
      <c r="B119" s="13" t="s">
        <v>473</v>
      </c>
      <c r="C119" s="270">
        <v>950</v>
      </c>
      <c r="D119" s="268">
        <v>5.3599999999999994</v>
      </c>
      <c r="E119" s="14">
        <v>1161091.6299999999</v>
      </c>
      <c r="F119" s="14">
        <f>Tasaus[[#This Row],[Kunnallisvero (maksuunpantu), €]]*100/Tasaus[[#This Row],[Tuloveroprosentti 2023]]</f>
        <v>21662157.276119404</v>
      </c>
      <c r="G119" s="269">
        <f>Tasaus[[#This Row],[Verotettava tulo (kunnallisvero), €]]*($D$11/100)</f>
        <v>1598667.2069776121</v>
      </c>
      <c r="H119" s="14">
        <v>215682.59828839696</v>
      </c>
      <c r="I119" s="15">
        <v>933066.96004999999</v>
      </c>
      <c r="J119" s="15">
        <f>SUM(Tasaus[[#This Row],[Laskennallinen kunnallisvero, €]:[Laskennallinen kiinteistövero, €]])</f>
        <v>2747416.7653160091</v>
      </c>
      <c r="K119" s="15">
        <f>Tasaus[[#This Row],[Laskennallinen verotulo yhteensä, €]]/Tasaus[[#This Row],[Asukasluku 31.12.2022]]</f>
        <v>2892.0176477010623</v>
      </c>
      <c r="L119" s="34">
        <f>$K$11-Tasaus[[#This Row],[Laskennallinen verotulo yhteensä, €/asukas (=tasausraja)]]</f>
        <v>-758.25764770106207</v>
      </c>
      <c r="M119" s="369">
        <v>-75.825764770106204</v>
      </c>
      <c r="N119" s="370">
        <v>-72034.4765316009</v>
      </c>
      <c r="P119" s="116"/>
      <c r="Q119" s="117"/>
      <c r="R119" s="118"/>
    </row>
    <row r="120" spans="1:18">
      <c r="A120" s="266">
        <v>305</v>
      </c>
      <c r="B120" s="13" t="s">
        <v>474</v>
      </c>
      <c r="C120" s="267">
        <v>15146</v>
      </c>
      <c r="D120" s="268">
        <v>7.3599999999999994</v>
      </c>
      <c r="E120" s="14">
        <v>19211970.84</v>
      </c>
      <c r="F120" s="14">
        <f>Tasaus[[#This Row],[Kunnallisvero (maksuunpantu), €]]*100/Tasaus[[#This Row],[Tuloveroprosentti 2023]]</f>
        <v>261032212.50000003</v>
      </c>
      <c r="G120" s="269">
        <f>Tasaus[[#This Row],[Verotettava tulo (kunnallisvero), €]]*($D$11/100)</f>
        <v>19264177.282500003</v>
      </c>
      <c r="H120" s="14">
        <v>4237632.5243615629</v>
      </c>
      <c r="I120" s="15">
        <v>4289597.2503999993</v>
      </c>
      <c r="J120" s="15">
        <f>SUM(Tasaus[[#This Row],[Laskennallinen kunnallisvero, €]:[Laskennallinen kiinteistövero, €]])</f>
        <v>27791407.057261564</v>
      </c>
      <c r="K120" s="15">
        <f>Tasaus[[#This Row],[Laskennallinen verotulo yhteensä, €]]/Tasaus[[#This Row],[Asukasluku 31.12.2022]]</f>
        <v>1834.9007696594192</v>
      </c>
      <c r="L120" s="34">
        <f>$K$11-Tasaus[[#This Row],[Laskennallinen verotulo yhteensä, €/asukas (=tasausraja)]]</f>
        <v>298.85923034058101</v>
      </c>
      <c r="M120" s="369">
        <v>268.97330730652294</v>
      </c>
      <c r="N120" s="370">
        <v>4073869.7124645966</v>
      </c>
      <c r="P120" s="116"/>
      <c r="Q120" s="117"/>
      <c r="R120" s="118"/>
    </row>
    <row r="121" spans="1:18">
      <c r="A121" s="266">
        <v>309</v>
      </c>
      <c r="B121" s="13" t="s">
        <v>475</v>
      </c>
      <c r="C121" s="267">
        <v>6457</v>
      </c>
      <c r="D121" s="268">
        <v>8.86</v>
      </c>
      <c r="E121" s="14">
        <v>9014430.5899999999</v>
      </c>
      <c r="F121" s="14">
        <f>Tasaus[[#This Row],[Kunnallisvero (maksuunpantu), €]]*100/Tasaus[[#This Row],[Tuloveroprosentti 2023]]</f>
        <v>101743008.91647856</v>
      </c>
      <c r="G121" s="269">
        <f>Tasaus[[#This Row],[Verotettava tulo (kunnallisvero), €]]*($D$11/100)</f>
        <v>7508634.0580361178</v>
      </c>
      <c r="H121" s="14">
        <v>916866.57977582153</v>
      </c>
      <c r="I121" s="15">
        <v>821860.73655000003</v>
      </c>
      <c r="J121" s="15">
        <f>SUM(Tasaus[[#This Row],[Laskennallinen kunnallisvero, €]:[Laskennallinen kiinteistövero, €]])</f>
        <v>9247361.3743619397</v>
      </c>
      <c r="K121" s="15">
        <f>Tasaus[[#This Row],[Laskennallinen verotulo yhteensä, €]]/Tasaus[[#This Row],[Asukasluku 31.12.2022]]</f>
        <v>1432.1451718076412</v>
      </c>
      <c r="L121" s="34">
        <f>$K$11-Tasaus[[#This Row],[Laskennallinen verotulo yhteensä, €/asukas (=tasausraja)]]</f>
        <v>701.61482819235903</v>
      </c>
      <c r="M121" s="369">
        <v>631.45334537312317</v>
      </c>
      <c r="N121" s="370">
        <v>4077294.2510742564</v>
      </c>
      <c r="P121" s="116"/>
      <c r="Q121" s="117"/>
      <c r="R121" s="118"/>
    </row>
    <row r="122" spans="1:18">
      <c r="A122" s="266">
        <v>312</v>
      </c>
      <c r="B122" s="13" t="s">
        <v>476</v>
      </c>
      <c r="C122" s="267">
        <v>1196</v>
      </c>
      <c r="D122" s="268">
        <v>9.86</v>
      </c>
      <c r="E122" s="14">
        <v>1703080.21</v>
      </c>
      <c r="F122" s="14">
        <f>Tasaus[[#This Row],[Kunnallisvero (maksuunpantu), €]]*100/Tasaus[[#This Row],[Tuloveroprosentti 2023]]</f>
        <v>17272618.762677487</v>
      </c>
      <c r="G122" s="269">
        <f>Tasaus[[#This Row],[Verotettava tulo (kunnallisvero), €]]*($D$11/100)</f>
        <v>1274719.2646855987</v>
      </c>
      <c r="H122" s="14">
        <v>656924.40508665179</v>
      </c>
      <c r="I122" s="15">
        <v>215060.35994999998</v>
      </c>
      <c r="J122" s="15">
        <f>SUM(Tasaus[[#This Row],[Laskennallinen kunnallisvero, €]:[Laskennallinen kiinteistövero, €]])</f>
        <v>2146704.0297222505</v>
      </c>
      <c r="K122" s="15">
        <f>Tasaus[[#This Row],[Laskennallinen verotulo yhteensä, €]]/Tasaus[[#This Row],[Asukasluku 31.12.2022]]</f>
        <v>1794.9030348848248</v>
      </c>
      <c r="L122" s="34">
        <f>$K$11-Tasaus[[#This Row],[Laskennallinen verotulo yhteensä, €/asukas (=tasausraja)]]</f>
        <v>338.8569651151754</v>
      </c>
      <c r="M122" s="369">
        <v>304.97126860365785</v>
      </c>
      <c r="N122" s="370">
        <v>364745.63724997477</v>
      </c>
      <c r="P122" s="116"/>
      <c r="Q122" s="117"/>
      <c r="R122" s="118"/>
    </row>
    <row r="123" spans="1:18">
      <c r="A123" s="266">
        <v>316</v>
      </c>
      <c r="B123" s="13" t="s">
        <v>477</v>
      </c>
      <c r="C123" s="267">
        <v>4198</v>
      </c>
      <c r="D123" s="268">
        <v>9.36</v>
      </c>
      <c r="E123" s="14">
        <v>7275239.96</v>
      </c>
      <c r="F123" s="14">
        <f>Tasaus[[#This Row],[Kunnallisvero (maksuunpantu), €]]*100/Tasaus[[#This Row],[Tuloveroprosentti 2023]]</f>
        <v>77726922.649572656</v>
      </c>
      <c r="G123" s="269">
        <f>Tasaus[[#This Row],[Verotettava tulo (kunnallisvero), €]]*($D$11/100)</f>
        <v>5736246.8915384626</v>
      </c>
      <c r="H123" s="14">
        <v>1372156.1193839258</v>
      </c>
      <c r="I123" s="15">
        <v>557101.15220000001</v>
      </c>
      <c r="J123" s="15">
        <f>SUM(Tasaus[[#This Row],[Laskennallinen kunnallisvero, €]:[Laskennallinen kiinteistövero, €]])</f>
        <v>7665504.1631223885</v>
      </c>
      <c r="K123" s="15">
        <f>Tasaus[[#This Row],[Laskennallinen verotulo yhteensä, €]]/Tasaus[[#This Row],[Asukasluku 31.12.2022]]</f>
        <v>1825.9895576756523</v>
      </c>
      <c r="L123" s="34">
        <f>$K$11-Tasaus[[#This Row],[Laskennallinen verotulo yhteensä, €/asukas (=tasausraja)]]</f>
        <v>307.77044232434787</v>
      </c>
      <c r="M123" s="369">
        <v>276.99339809191309</v>
      </c>
      <c r="N123" s="370">
        <v>1162818.2851898512</v>
      </c>
      <c r="P123" s="116"/>
      <c r="Q123" s="117"/>
      <c r="R123" s="118"/>
    </row>
    <row r="124" spans="1:18">
      <c r="A124" s="266">
        <v>317</v>
      </c>
      <c r="B124" s="13" t="s">
        <v>478</v>
      </c>
      <c r="C124" s="267">
        <v>2474</v>
      </c>
      <c r="D124" s="268">
        <v>8.86</v>
      </c>
      <c r="E124" s="14">
        <v>3030138.67</v>
      </c>
      <c r="F124" s="14">
        <f>Tasaus[[#This Row],[Kunnallisvero (maksuunpantu), €]]*100/Tasaus[[#This Row],[Tuloveroprosentti 2023]]</f>
        <v>34200210.722347632</v>
      </c>
      <c r="G124" s="269">
        <f>Tasaus[[#This Row],[Verotettava tulo (kunnallisvero), €]]*($D$11/100)</f>
        <v>2523975.5513092554</v>
      </c>
      <c r="H124" s="14">
        <v>700425.15450725122</v>
      </c>
      <c r="I124" s="15">
        <v>326838.41855</v>
      </c>
      <c r="J124" s="15">
        <f>SUM(Tasaus[[#This Row],[Laskennallinen kunnallisvero, €]:[Laskennallinen kiinteistövero, €]])</f>
        <v>3551239.1243665065</v>
      </c>
      <c r="K124" s="15">
        <f>Tasaus[[#This Row],[Laskennallinen verotulo yhteensä, €]]/Tasaus[[#This Row],[Asukasluku 31.12.2022]]</f>
        <v>1435.4240599702937</v>
      </c>
      <c r="L124" s="34">
        <f>$K$11-Tasaus[[#This Row],[Laskennallinen verotulo yhteensä, €/asukas (=tasausraja)]]</f>
        <v>698.33594002970653</v>
      </c>
      <c r="M124" s="369">
        <v>628.50234602673595</v>
      </c>
      <c r="N124" s="370">
        <v>1554914.8040701447</v>
      </c>
      <c r="P124" s="116"/>
      <c r="Q124" s="117"/>
      <c r="R124" s="118"/>
    </row>
    <row r="125" spans="1:18">
      <c r="A125" s="266">
        <v>320</v>
      </c>
      <c r="B125" s="13" t="s">
        <v>479</v>
      </c>
      <c r="C125" s="267">
        <v>6996</v>
      </c>
      <c r="D125" s="268">
        <v>8.86</v>
      </c>
      <c r="E125" s="14">
        <v>11271126.82</v>
      </c>
      <c r="F125" s="14">
        <f>Tasaus[[#This Row],[Kunnallisvero (maksuunpantu), €]]*100/Tasaus[[#This Row],[Tuloveroprosentti 2023]]</f>
        <v>127213620.993228</v>
      </c>
      <c r="G125" s="269">
        <f>Tasaus[[#This Row],[Verotettava tulo (kunnallisvero), €]]*($D$11/100)</f>
        <v>9388365.229300227</v>
      </c>
      <c r="H125" s="14">
        <v>1241810.5599989239</v>
      </c>
      <c r="I125" s="15">
        <v>1406429.2108499999</v>
      </c>
      <c r="J125" s="15">
        <f>SUM(Tasaus[[#This Row],[Laskennallinen kunnallisvero, €]:[Laskennallinen kiinteistövero, €]])</f>
        <v>12036605.000149151</v>
      </c>
      <c r="K125" s="15">
        <f>Tasaus[[#This Row],[Laskennallinen verotulo yhteensä, €]]/Tasaus[[#This Row],[Asukasluku 31.12.2022]]</f>
        <v>1720.4981418166312</v>
      </c>
      <c r="L125" s="34">
        <f>$K$11-Tasaus[[#This Row],[Laskennallinen verotulo yhteensä, €/asukas (=tasausraja)]]</f>
        <v>413.26185818336899</v>
      </c>
      <c r="M125" s="369">
        <v>371.93567236503208</v>
      </c>
      <c r="N125" s="370">
        <v>2602061.9638657644</v>
      </c>
      <c r="P125" s="116"/>
      <c r="Q125" s="117"/>
      <c r="R125" s="118"/>
    </row>
    <row r="126" spans="1:18">
      <c r="A126" s="266">
        <v>322</v>
      </c>
      <c r="B126" s="13" t="s">
        <v>126</v>
      </c>
      <c r="C126" s="267">
        <v>6549</v>
      </c>
      <c r="D126" s="268">
        <v>7.1099999999999959</v>
      </c>
      <c r="E126" s="14">
        <v>8390670.7599999998</v>
      </c>
      <c r="F126" s="14">
        <f>Tasaus[[#This Row],[Kunnallisvero (maksuunpantu), €]]*100/Tasaus[[#This Row],[Tuloveroprosentti 2023]]</f>
        <v>118012246.97609009</v>
      </c>
      <c r="G126" s="269">
        <f>Tasaus[[#This Row],[Verotettava tulo (kunnallisvero), €]]*($D$11/100)</f>
        <v>8709303.8268354498</v>
      </c>
      <c r="H126" s="14">
        <v>936022.87309865432</v>
      </c>
      <c r="I126" s="15">
        <v>2015977.7826999999</v>
      </c>
      <c r="J126" s="15">
        <f>SUM(Tasaus[[#This Row],[Laskennallinen kunnallisvero, €]:[Laskennallinen kiinteistövero, €]])</f>
        <v>11661304.482634105</v>
      </c>
      <c r="K126" s="15">
        <f>Tasaus[[#This Row],[Laskennallinen verotulo yhteensä, €]]/Tasaus[[#This Row],[Asukasluku 31.12.2022]]</f>
        <v>1780.6236803533525</v>
      </c>
      <c r="L126" s="34">
        <f>$K$11-Tasaus[[#This Row],[Laskennallinen verotulo yhteensä, €/asukas (=tasausraja)]]</f>
        <v>353.13631964664773</v>
      </c>
      <c r="M126" s="369">
        <v>317.82268768198298</v>
      </c>
      <c r="N126" s="370">
        <v>2081420.7816293065</v>
      </c>
      <c r="P126" s="116"/>
      <c r="Q126" s="117"/>
      <c r="R126" s="118"/>
    </row>
    <row r="127" spans="1:18">
      <c r="A127" s="266">
        <v>398</v>
      </c>
      <c r="B127" s="13" t="s">
        <v>480</v>
      </c>
      <c r="C127" s="267">
        <v>120175</v>
      </c>
      <c r="D127" s="268">
        <v>8.11</v>
      </c>
      <c r="E127" s="14">
        <v>197817085.40000001</v>
      </c>
      <c r="F127" s="14">
        <f>Tasaus[[#This Row],[Kunnallisvero (maksuunpantu), €]]*100/Tasaus[[#This Row],[Tuloveroprosentti 2023]]</f>
        <v>2439174912.4537611</v>
      </c>
      <c r="G127" s="269">
        <f>Tasaus[[#This Row],[Verotettava tulo (kunnallisvero), €]]*($D$11/100)</f>
        <v>180011108.53908759</v>
      </c>
      <c r="H127" s="14">
        <v>28528770.91926036</v>
      </c>
      <c r="I127" s="15">
        <v>20066590.189199999</v>
      </c>
      <c r="J127" s="15">
        <f>SUM(Tasaus[[#This Row],[Laskennallinen kunnallisvero, €]:[Laskennallinen kiinteistövero, €]])</f>
        <v>228606469.64754796</v>
      </c>
      <c r="K127" s="15">
        <f>Tasaus[[#This Row],[Laskennallinen verotulo yhteensä, €]]/Tasaus[[#This Row],[Asukasluku 31.12.2022]]</f>
        <v>1902.2797557524275</v>
      </c>
      <c r="L127" s="34">
        <f>$K$11-Tasaus[[#This Row],[Laskennallinen verotulo yhteensä, €/asukas (=tasausraja)]]</f>
        <v>231.48024424757273</v>
      </c>
      <c r="M127" s="369">
        <v>208.33221982281546</v>
      </c>
      <c r="N127" s="370">
        <v>25036324.517206848</v>
      </c>
      <c r="P127" s="116"/>
      <c r="Q127" s="117"/>
      <c r="R127" s="118"/>
    </row>
    <row r="128" spans="1:18">
      <c r="A128" s="266">
        <v>399</v>
      </c>
      <c r="B128" s="13" t="s">
        <v>481</v>
      </c>
      <c r="C128" s="267">
        <v>7817</v>
      </c>
      <c r="D128" s="268">
        <v>9.11</v>
      </c>
      <c r="E128" s="14">
        <v>14606283.630000001</v>
      </c>
      <c r="F128" s="14">
        <f>Tasaus[[#This Row],[Kunnallisvero (maksuunpantu), €]]*100/Tasaus[[#This Row],[Tuloveroprosentti 2023]]</f>
        <v>160332421.84412736</v>
      </c>
      <c r="G128" s="269">
        <f>Tasaus[[#This Row],[Verotettava tulo (kunnallisvero), €]]*($D$11/100)</f>
        <v>11832532.732096599</v>
      </c>
      <c r="H128" s="14">
        <v>974705.43955776468</v>
      </c>
      <c r="I128" s="15">
        <v>781823.67315000016</v>
      </c>
      <c r="J128" s="15">
        <f>SUM(Tasaus[[#This Row],[Laskennallinen kunnallisvero, €]:[Laskennallinen kiinteistövero, €]])</f>
        <v>13589061.844804365</v>
      </c>
      <c r="K128" s="15">
        <f>Tasaus[[#This Row],[Laskennallinen verotulo yhteensä, €]]/Tasaus[[#This Row],[Asukasluku 31.12.2022]]</f>
        <v>1738.3985985421984</v>
      </c>
      <c r="L128" s="34">
        <f>$K$11-Tasaus[[#This Row],[Laskennallinen verotulo yhteensä, €/asukas (=tasausraja)]]</f>
        <v>395.36140145780178</v>
      </c>
      <c r="M128" s="369">
        <v>355.82526131202161</v>
      </c>
      <c r="N128" s="370">
        <v>2781486.0676760729</v>
      </c>
      <c r="P128" s="116"/>
      <c r="Q128" s="117"/>
      <c r="R128" s="118"/>
    </row>
    <row r="129" spans="1:18">
      <c r="A129" s="266">
        <v>400</v>
      </c>
      <c r="B129" s="13" t="s">
        <v>482</v>
      </c>
      <c r="C129" s="267">
        <v>8366</v>
      </c>
      <c r="D129" s="268">
        <v>8.11</v>
      </c>
      <c r="E129" s="14">
        <v>12461665.35</v>
      </c>
      <c r="F129" s="14">
        <f>Tasaus[[#This Row],[Kunnallisvero (maksuunpantu), €]]*100/Tasaus[[#This Row],[Tuloveroprosentti 2023]]</f>
        <v>153658019.11220717</v>
      </c>
      <c r="G129" s="269">
        <f>Tasaus[[#This Row],[Verotettava tulo (kunnallisvero), €]]*($D$11/100)</f>
        <v>11339961.810480891</v>
      </c>
      <c r="H129" s="14">
        <v>2057518.8368528078</v>
      </c>
      <c r="I129" s="15">
        <v>1387518.3284000002</v>
      </c>
      <c r="J129" s="15">
        <f>SUM(Tasaus[[#This Row],[Laskennallinen kunnallisvero, €]:[Laskennallinen kiinteistövero, €]])</f>
        <v>14784998.975733699</v>
      </c>
      <c r="K129" s="15">
        <f>Tasaus[[#This Row],[Laskennallinen verotulo yhteensä, €]]/Tasaus[[#This Row],[Asukasluku 31.12.2022]]</f>
        <v>1767.2721701809346</v>
      </c>
      <c r="L129" s="34">
        <f>$K$11-Tasaus[[#This Row],[Laskennallinen verotulo yhteensä, €/asukas (=tasausraja)]]</f>
        <v>366.48782981906561</v>
      </c>
      <c r="M129" s="369">
        <v>329.83904683715906</v>
      </c>
      <c r="N129" s="370">
        <v>2759433.4658396728</v>
      </c>
      <c r="P129" s="116"/>
      <c r="Q129" s="117"/>
      <c r="R129" s="118"/>
    </row>
    <row r="130" spans="1:18">
      <c r="A130" s="266">
        <v>402</v>
      </c>
      <c r="B130" s="13" t="s">
        <v>483</v>
      </c>
      <c r="C130" s="267">
        <v>9099</v>
      </c>
      <c r="D130" s="268">
        <v>8.61</v>
      </c>
      <c r="E130" s="14">
        <v>12939187.07</v>
      </c>
      <c r="F130" s="14">
        <f>Tasaus[[#This Row],[Kunnallisvero (maksuunpantu), €]]*100/Tasaus[[#This Row],[Tuloveroprosentti 2023]]</f>
        <v>150280918.35075495</v>
      </c>
      <c r="G130" s="269">
        <f>Tasaus[[#This Row],[Verotettava tulo (kunnallisvero), €]]*($D$11/100)</f>
        <v>11090731.774285715</v>
      </c>
      <c r="H130" s="14">
        <v>1485963.4553255944</v>
      </c>
      <c r="I130" s="15">
        <v>1219437.7038499999</v>
      </c>
      <c r="J130" s="15">
        <f>SUM(Tasaus[[#This Row],[Laskennallinen kunnallisvero, €]:[Laskennallinen kiinteistövero, €]])</f>
        <v>13796132.933461308</v>
      </c>
      <c r="K130" s="15">
        <f>Tasaus[[#This Row],[Laskennallinen verotulo yhteensä, €]]/Tasaus[[#This Row],[Asukasluku 31.12.2022]]</f>
        <v>1516.225182268525</v>
      </c>
      <c r="L130" s="34">
        <f>$K$11-Tasaus[[#This Row],[Laskennallinen verotulo yhteensä, €/asukas (=tasausraja)]]</f>
        <v>617.53481773147519</v>
      </c>
      <c r="M130" s="369">
        <v>555.78133595832765</v>
      </c>
      <c r="N130" s="370">
        <v>5057054.3758848235</v>
      </c>
      <c r="P130" s="116"/>
      <c r="Q130" s="117"/>
      <c r="R130" s="118"/>
    </row>
    <row r="131" spans="1:18">
      <c r="A131" s="266">
        <v>403</v>
      </c>
      <c r="B131" s="13" t="s">
        <v>484</v>
      </c>
      <c r="C131" s="267">
        <v>2820</v>
      </c>
      <c r="D131" s="268">
        <v>9.36</v>
      </c>
      <c r="E131" s="14">
        <v>4018725.63</v>
      </c>
      <c r="F131" s="14">
        <f>Tasaus[[#This Row],[Kunnallisvero (maksuunpantu), €]]*100/Tasaus[[#This Row],[Tuloveroprosentti 2023]]</f>
        <v>42935102.884615384</v>
      </c>
      <c r="G131" s="269">
        <f>Tasaus[[#This Row],[Verotettava tulo (kunnallisvero), €]]*($D$11/100)</f>
        <v>3168610.5928846155</v>
      </c>
      <c r="H131" s="14">
        <v>491730.3051189211</v>
      </c>
      <c r="I131" s="15">
        <v>576615.58094999997</v>
      </c>
      <c r="J131" s="15">
        <f>SUM(Tasaus[[#This Row],[Laskennallinen kunnallisvero, €]:[Laskennallinen kiinteistövero, €]])</f>
        <v>4236956.4789535366</v>
      </c>
      <c r="K131" s="15">
        <f>Tasaus[[#This Row],[Laskennallinen verotulo yhteensä, €]]/Tasaus[[#This Row],[Asukasluku 31.12.2022]]</f>
        <v>1502.4668365083462</v>
      </c>
      <c r="L131" s="34">
        <f>$K$11-Tasaus[[#This Row],[Laskennallinen verotulo yhteensä, €/asukas (=tasausraja)]]</f>
        <v>631.29316349165401</v>
      </c>
      <c r="M131" s="369">
        <v>568.16384714248863</v>
      </c>
      <c r="N131" s="370">
        <v>1602222.0489418181</v>
      </c>
      <c r="P131" s="116"/>
      <c r="Q131" s="117"/>
      <c r="R131" s="118"/>
    </row>
    <row r="132" spans="1:18">
      <c r="A132" s="266">
        <v>405</v>
      </c>
      <c r="B132" s="13" t="s">
        <v>485</v>
      </c>
      <c r="C132" s="267">
        <v>72650</v>
      </c>
      <c r="D132" s="268">
        <v>8.36</v>
      </c>
      <c r="E132" s="14">
        <v>121567356.31</v>
      </c>
      <c r="F132" s="14">
        <f>Tasaus[[#This Row],[Kunnallisvero (maksuunpantu), €]]*100/Tasaus[[#This Row],[Tuloveroprosentti 2023]]</f>
        <v>1454154979.7846892</v>
      </c>
      <c r="G132" s="269">
        <f>Tasaus[[#This Row],[Verotettava tulo (kunnallisvero), €]]*($D$11/100)</f>
        <v>107316637.50811006</v>
      </c>
      <c r="H132" s="14">
        <v>22794549.025892753</v>
      </c>
      <c r="I132" s="15">
        <v>12139979.614949998</v>
      </c>
      <c r="J132" s="15">
        <f>SUM(Tasaus[[#This Row],[Laskennallinen kunnallisvero, €]:[Laskennallinen kiinteistövero, €]])</f>
        <v>142251166.14895281</v>
      </c>
      <c r="K132" s="15">
        <f>Tasaus[[#This Row],[Laskennallinen verotulo yhteensä, €]]/Tasaus[[#This Row],[Asukasluku 31.12.2022]]</f>
        <v>1958.0339456153174</v>
      </c>
      <c r="L132" s="34">
        <f>$K$11-Tasaus[[#This Row],[Laskennallinen verotulo yhteensä, €/asukas (=tasausraja)]]</f>
        <v>175.72605438468281</v>
      </c>
      <c r="M132" s="369">
        <v>158.15344894621452</v>
      </c>
      <c r="N132" s="370">
        <v>11489848.065942485</v>
      </c>
      <c r="P132" s="116"/>
      <c r="Q132" s="117"/>
      <c r="R132" s="118"/>
    </row>
    <row r="133" spans="1:18">
      <c r="A133" s="266">
        <v>407</v>
      </c>
      <c r="B133" s="13" t="s">
        <v>486</v>
      </c>
      <c r="C133" s="267">
        <v>2518</v>
      </c>
      <c r="D133" s="268">
        <v>8.86</v>
      </c>
      <c r="E133" s="14">
        <v>3904445.1</v>
      </c>
      <c r="F133" s="14">
        <f>Tasaus[[#This Row],[Kunnallisvero (maksuunpantu), €]]*100/Tasaus[[#This Row],[Tuloveroprosentti 2023]]</f>
        <v>44068229.11963883</v>
      </c>
      <c r="G133" s="269">
        <f>Tasaus[[#This Row],[Verotettava tulo (kunnallisvero), €]]*($D$11/100)</f>
        <v>3252235.3090293459</v>
      </c>
      <c r="H133" s="14">
        <v>434151.09605598118</v>
      </c>
      <c r="I133" s="15">
        <v>371305.30554999999</v>
      </c>
      <c r="J133" s="15">
        <f>SUM(Tasaus[[#This Row],[Laskennallinen kunnallisvero, €]:[Laskennallinen kiinteistövero, €]])</f>
        <v>4057691.7106353273</v>
      </c>
      <c r="K133" s="15">
        <f>Tasaus[[#This Row],[Laskennallinen verotulo yhteensä, €]]/Tasaus[[#This Row],[Asukasluku 31.12.2022]]</f>
        <v>1611.4740709433388</v>
      </c>
      <c r="L133" s="34">
        <f>$K$11-Tasaus[[#This Row],[Laskennallinen verotulo yhteensä, €/asukas (=tasausraja)]]</f>
        <v>522.28592905666142</v>
      </c>
      <c r="M133" s="369">
        <v>470.0573361509953</v>
      </c>
      <c r="N133" s="370">
        <v>1183604.3724282063</v>
      </c>
      <c r="P133" s="116"/>
      <c r="Q133" s="117"/>
      <c r="R133" s="118"/>
    </row>
    <row r="134" spans="1:18">
      <c r="A134" s="266">
        <v>408</v>
      </c>
      <c r="B134" s="13" t="s">
        <v>487</v>
      </c>
      <c r="C134" s="267">
        <v>14099</v>
      </c>
      <c r="D134" s="268">
        <v>8.86</v>
      </c>
      <c r="E134" s="14">
        <v>22984198.489999998</v>
      </c>
      <c r="F134" s="14">
        <f>Tasaus[[#This Row],[Kunnallisvero (maksuunpantu), €]]*100/Tasaus[[#This Row],[Tuloveroprosentti 2023]]</f>
        <v>259415332.84424379</v>
      </c>
      <c r="G134" s="269">
        <f>Tasaus[[#This Row],[Verotettava tulo (kunnallisvero), €]]*($D$11/100)</f>
        <v>19144851.563905194</v>
      </c>
      <c r="H134" s="14">
        <v>2647810.0392582398</v>
      </c>
      <c r="I134" s="15">
        <v>1798104.0891000002</v>
      </c>
      <c r="J134" s="15">
        <f>SUM(Tasaus[[#This Row],[Laskennallinen kunnallisvero, €]:[Laskennallinen kiinteistövero, €]])</f>
        <v>23590765.692263436</v>
      </c>
      <c r="K134" s="15">
        <f>Tasaus[[#This Row],[Laskennallinen verotulo yhteensä, €]]/Tasaus[[#This Row],[Asukasluku 31.12.2022]]</f>
        <v>1673.2226180767029</v>
      </c>
      <c r="L134" s="34">
        <f>$K$11-Tasaus[[#This Row],[Laskennallinen verotulo yhteensä, €/asukas (=tasausraja)]]</f>
        <v>460.53738192329729</v>
      </c>
      <c r="M134" s="369">
        <v>414.48364373096757</v>
      </c>
      <c r="N134" s="370">
        <v>5843804.8929629121</v>
      </c>
      <c r="P134" s="116"/>
      <c r="Q134" s="117"/>
      <c r="R134" s="118"/>
    </row>
    <row r="135" spans="1:18">
      <c r="A135" s="266">
        <v>410</v>
      </c>
      <c r="B135" s="13" t="s">
        <v>488</v>
      </c>
      <c r="C135" s="267">
        <v>18775</v>
      </c>
      <c r="D135" s="268">
        <v>8.86</v>
      </c>
      <c r="E135" s="14">
        <v>31390534.32</v>
      </c>
      <c r="F135" s="14">
        <f>Tasaus[[#This Row],[Kunnallisvero (maksuunpantu), €]]*100/Tasaus[[#This Row],[Tuloveroprosentti 2023]]</f>
        <v>354294969.75169301</v>
      </c>
      <c r="G135" s="269">
        <f>Tasaus[[#This Row],[Verotettava tulo (kunnallisvero), €]]*($D$11/100)</f>
        <v>26146968.767674945</v>
      </c>
      <c r="H135" s="14">
        <v>2390095.4700801307</v>
      </c>
      <c r="I135" s="15">
        <v>2628108.3263999992</v>
      </c>
      <c r="J135" s="15">
        <f>SUM(Tasaus[[#This Row],[Laskennallinen kunnallisvero, €]:[Laskennallinen kiinteistövero, €]])</f>
        <v>31165172.564155076</v>
      </c>
      <c r="K135" s="15">
        <f>Tasaus[[#This Row],[Laskennallinen verotulo yhteensä, €]]/Tasaus[[#This Row],[Asukasluku 31.12.2022]]</f>
        <v>1659.9292976913489</v>
      </c>
      <c r="L135" s="34">
        <f>$K$11-Tasaus[[#This Row],[Laskennallinen verotulo yhteensä, €/asukas (=tasausraja)]]</f>
        <v>473.83070230865133</v>
      </c>
      <c r="M135" s="369">
        <v>426.44763207778618</v>
      </c>
      <c r="N135" s="370">
        <v>8006554.2922604354</v>
      </c>
      <c r="P135" s="116"/>
      <c r="Q135" s="117"/>
      <c r="R135" s="118"/>
    </row>
    <row r="136" spans="1:18">
      <c r="A136" s="266">
        <v>416</v>
      </c>
      <c r="B136" s="13" t="s">
        <v>489</v>
      </c>
      <c r="C136" s="267">
        <v>2886</v>
      </c>
      <c r="D136" s="268">
        <v>9.3599999999999959</v>
      </c>
      <c r="E136" s="14">
        <v>4971482.67</v>
      </c>
      <c r="F136" s="14">
        <f>Tasaus[[#This Row],[Kunnallisvero (maksuunpantu), €]]*100/Tasaus[[#This Row],[Tuloveroprosentti 2023]]</f>
        <v>53114131.089743614</v>
      </c>
      <c r="G136" s="269">
        <f>Tasaus[[#This Row],[Verotettava tulo (kunnallisvero), €]]*($D$11/100)</f>
        <v>3919822.8744230792</v>
      </c>
      <c r="H136" s="14">
        <v>301951.68444402004</v>
      </c>
      <c r="I136" s="15">
        <v>455273.76170000003</v>
      </c>
      <c r="J136" s="15">
        <f>SUM(Tasaus[[#This Row],[Laskennallinen kunnallisvero, €]:[Laskennallinen kiinteistövero, €]])</f>
        <v>4677048.3205670984</v>
      </c>
      <c r="K136" s="15">
        <f>Tasaus[[#This Row],[Laskennallinen verotulo yhteensä, €]]/Tasaus[[#This Row],[Asukasluku 31.12.2022]]</f>
        <v>1620.5988636753632</v>
      </c>
      <c r="L136" s="34">
        <f>$K$11-Tasaus[[#This Row],[Laskennallinen verotulo yhteensä, €/asukas (=tasausraja)]]</f>
        <v>513.16113632463703</v>
      </c>
      <c r="M136" s="369">
        <v>461.84502269217336</v>
      </c>
      <c r="N136" s="370">
        <v>1332884.7354896122</v>
      </c>
      <c r="P136" s="116"/>
      <c r="Q136" s="117"/>
      <c r="R136" s="118"/>
    </row>
    <row r="137" spans="1:18">
      <c r="A137" s="266">
        <v>418</v>
      </c>
      <c r="B137" s="13" t="s">
        <v>490</v>
      </c>
      <c r="C137" s="267">
        <v>24580</v>
      </c>
      <c r="D137" s="268">
        <v>7.8599999999999994</v>
      </c>
      <c r="E137" s="14">
        <v>44693160.310000002</v>
      </c>
      <c r="F137" s="14">
        <f>Tasaus[[#This Row],[Kunnallisvero (maksuunpantu), €]]*100/Tasaus[[#This Row],[Tuloveroprosentti 2023]]</f>
        <v>568615271.11959291</v>
      </c>
      <c r="G137" s="269">
        <f>Tasaus[[#This Row],[Verotettava tulo (kunnallisvero), €]]*($D$11/100)</f>
        <v>41963807.008625962</v>
      </c>
      <c r="H137" s="14">
        <v>4777624.9801136423</v>
      </c>
      <c r="I137" s="15">
        <v>4044209.0244000005</v>
      </c>
      <c r="J137" s="15">
        <f>SUM(Tasaus[[#This Row],[Laskennallinen kunnallisvero, €]:[Laskennallinen kiinteistövero, €]])</f>
        <v>50785641.013139606</v>
      </c>
      <c r="K137" s="15">
        <f>Tasaus[[#This Row],[Laskennallinen verotulo yhteensä, €]]/Tasaus[[#This Row],[Asukasluku 31.12.2022]]</f>
        <v>2066.1367377192678</v>
      </c>
      <c r="L137" s="34">
        <f>$K$11-Tasaus[[#This Row],[Laskennallinen verotulo yhteensä, €/asukas (=tasausraja)]]</f>
        <v>67.623262280732433</v>
      </c>
      <c r="M137" s="369">
        <v>60.860936052659191</v>
      </c>
      <c r="N137" s="370">
        <v>1495961.8081743629</v>
      </c>
      <c r="P137" s="116"/>
      <c r="Q137" s="117"/>
      <c r="R137" s="118"/>
    </row>
    <row r="138" spans="1:18">
      <c r="A138" s="266">
        <v>420</v>
      </c>
      <c r="B138" s="13" t="s">
        <v>491</v>
      </c>
      <c r="C138" s="267">
        <v>9177</v>
      </c>
      <c r="D138" s="268">
        <v>8.36</v>
      </c>
      <c r="E138" s="14">
        <v>14336975.880000001</v>
      </c>
      <c r="F138" s="14">
        <f>Tasaus[[#This Row],[Kunnallisvero (maksuunpantu), €]]*100/Tasaus[[#This Row],[Tuloveroprosentti 2023]]</f>
        <v>171494926.79425839</v>
      </c>
      <c r="G138" s="269">
        <f>Tasaus[[#This Row],[Verotettava tulo (kunnallisvero), €]]*($D$11/100)</f>
        <v>12656325.597416271</v>
      </c>
      <c r="H138" s="14">
        <v>2253930.3204969582</v>
      </c>
      <c r="I138" s="15">
        <v>1684495.8831499999</v>
      </c>
      <c r="J138" s="15">
        <f>SUM(Tasaus[[#This Row],[Laskennallinen kunnallisvero, €]:[Laskennallinen kiinteistövero, €]])</f>
        <v>16594751.801063228</v>
      </c>
      <c r="K138" s="15">
        <f>Tasaus[[#This Row],[Laskennallinen verotulo yhteensä, €]]/Tasaus[[#This Row],[Asukasluku 31.12.2022]]</f>
        <v>1808.2981149682062</v>
      </c>
      <c r="L138" s="34">
        <f>$K$11-Tasaus[[#This Row],[Laskennallinen verotulo yhteensä, €/asukas (=tasausraja)]]</f>
        <v>325.46188503179405</v>
      </c>
      <c r="M138" s="369">
        <v>292.91569652861466</v>
      </c>
      <c r="N138" s="370">
        <v>2688087.3470430966</v>
      </c>
      <c r="P138" s="116"/>
      <c r="Q138" s="117"/>
      <c r="R138" s="118"/>
    </row>
    <row r="139" spans="1:18">
      <c r="A139" s="266">
        <v>421</v>
      </c>
      <c r="B139" s="13" t="s">
        <v>492</v>
      </c>
      <c r="C139" s="267">
        <v>695</v>
      </c>
      <c r="D139" s="268">
        <v>8.36</v>
      </c>
      <c r="E139" s="14">
        <v>859322.79</v>
      </c>
      <c r="F139" s="14">
        <f>Tasaus[[#This Row],[Kunnallisvero (maksuunpantu), €]]*100/Tasaus[[#This Row],[Tuloveroprosentti 2023]]</f>
        <v>10278980.741626795</v>
      </c>
      <c r="G139" s="269">
        <f>Tasaus[[#This Row],[Verotettava tulo (kunnallisvero), €]]*($D$11/100)</f>
        <v>758588.77873205754</v>
      </c>
      <c r="H139" s="14">
        <v>315618.83578476991</v>
      </c>
      <c r="I139" s="15">
        <v>221633.53529999999</v>
      </c>
      <c r="J139" s="15">
        <f>SUM(Tasaus[[#This Row],[Laskennallinen kunnallisvero, €]:[Laskennallinen kiinteistövero, €]])</f>
        <v>1295841.1498168274</v>
      </c>
      <c r="K139" s="15">
        <f>Tasaus[[#This Row],[Laskennallinen verotulo yhteensä, €]]/Tasaus[[#This Row],[Asukasluku 31.12.2022]]</f>
        <v>1864.5196400242121</v>
      </c>
      <c r="L139" s="34">
        <f>$K$11-Tasaus[[#This Row],[Laskennallinen verotulo yhteensä, €/asukas (=tasausraja)]]</f>
        <v>269.24035997578812</v>
      </c>
      <c r="M139" s="369">
        <v>242.31632397820931</v>
      </c>
      <c r="N139" s="370">
        <v>168409.84516485548</v>
      </c>
      <c r="P139" s="116"/>
      <c r="Q139" s="117"/>
      <c r="R139" s="118"/>
    </row>
    <row r="140" spans="1:18">
      <c r="A140" s="266">
        <v>422</v>
      </c>
      <c r="B140" s="13" t="s">
        <v>493</v>
      </c>
      <c r="C140" s="267">
        <v>10372</v>
      </c>
      <c r="D140" s="268">
        <v>8.36</v>
      </c>
      <c r="E140" s="14">
        <v>14273075.41</v>
      </c>
      <c r="F140" s="14">
        <f>Tasaus[[#This Row],[Kunnallisvero (maksuunpantu), €]]*100/Tasaus[[#This Row],[Tuloveroprosentti 2023]]</f>
        <v>170730567.10526317</v>
      </c>
      <c r="G140" s="269">
        <f>Tasaus[[#This Row],[Verotettava tulo (kunnallisvero), €]]*($D$11/100)</f>
        <v>12599915.852368424</v>
      </c>
      <c r="H140" s="14">
        <v>3355328.5998439481</v>
      </c>
      <c r="I140" s="15">
        <v>1853501.2732499999</v>
      </c>
      <c r="J140" s="15">
        <f>SUM(Tasaus[[#This Row],[Laskennallinen kunnallisvero, €]:[Laskennallinen kiinteistövero, €]])</f>
        <v>17808745.72546237</v>
      </c>
      <c r="K140" s="15">
        <f>Tasaus[[#This Row],[Laskennallinen verotulo yhteensä, €]]/Tasaus[[#This Row],[Asukasluku 31.12.2022]]</f>
        <v>1717.0020946261443</v>
      </c>
      <c r="L140" s="34">
        <f>$K$11-Tasaus[[#This Row],[Laskennallinen verotulo yhteensä, €/asukas (=tasausraja)]]</f>
        <v>416.75790537385592</v>
      </c>
      <c r="M140" s="369">
        <v>375.08211483647034</v>
      </c>
      <c r="N140" s="370">
        <v>3890351.6950838706</v>
      </c>
      <c r="P140" s="116"/>
      <c r="Q140" s="117"/>
      <c r="R140" s="118"/>
    </row>
    <row r="141" spans="1:18">
      <c r="A141" s="266">
        <v>423</v>
      </c>
      <c r="B141" s="13" t="s">
        <v>494</v>
      </c>
      <c r="C141" s="267">
        <v>20497</v>
      </c>
      <c r="D141" s="268">
        <v>6.8599999999999994</v>
      </c>
      <c r="E141" s="14">
        <v>32516467.899999999</v>
      </c>
      <c r="F141" s="14">
        <f>Tasaus[[#This Row],[Kunnallisvero (maksuunpantu), €]]*100/Tasaus[[#This Row],[Tuloveroprosentti 2023]]</f>
        <v>474000989.79591841</v>
      </c>
      <c r="G141" s="269">
        <f>Tasaus[[#This Row],[Verotettava tulo (kunnallisvero), €]]*($D$11/100)</f>
        <v>34981273.046938777</v>
      </c>
      <c r="H141" s="14">
        <v>4178290.9248128212</v>
      </c>
      <c r="I141" s="15">
        <v>2875165.8638500003</v>
      </c>
      <c r="J141" s="15">
        <f>SUM(Tasaus[[#This Row],[Laskennallinen kunnallisvero, €]:[Laskennallinen kiinteistövero, €]])</f>
        <v>42034729.835601598</v>
      </c>
      <c r="K141" s="15">
        <f>Tasaus[[#This Row],[Laskennallinen verotulo yhteensä, €]]/Tasaus[[#This Row],[Asukasluku 31.12.2022]]</f>
        <v>2050.7747395034198</v>
      </c>
      <c r="L141" s="34">
        <f>$K$11-Tasaus[[#This Row],[Laskennallinen verotulo yhteensä, €/asukas (=tasausraja)]]</f>
        <v>82.985260496580395</v>
      </c>
      <c r="M141" s="369">
        <v>74.686734446922358</v>
      </c>
      <c r="N141" s="370">
        <v>1530853.9959585676</v>
      </c>
      <c r="P141" s="116"/>
      <c r="Q141" s="117"/>
      <c r="R141" s="118"/>
    </row>
    <row r="142" spans="1:18">
      <c r="A142" s="266">
        <v>425</v>
      </c>
      <c r="B142" s="13" t="s">
        <v>495</v>
      </c>
      <c r="C142" s="267">
        <v>10258</v>
      </c>
      <c r="D142" s="268">
        <v>8.86</v>
      </c>
      <c r="E142" s="14">
        <v>16721840.98</v>
      </c>
      <c r="F142" s="14">
        <f>Tasaus[[#This Row],[Kunnallisvero (maksuunpantu), €]]*100/Tasaus[[#This Row],[Tuloveroprosentti 2023]]</f>
        <v>188734096.83972913</v>
      </c>
      <c r="G142" s="269">
        <f>Tasaus[[#This Row],[Verotettava tulo (kunnallisvero), €]]*($D$11/100)</f>
        <v>13928576.346772011</v>
      </c>
      <c r="H142" s="14">
        <v>917053.2767287934</v>
      </c>
      <c r="I142" s="15">
        <v>1035613.2958500001</v>
      </c>
      <c r="J142" s="15">
        <f>SUM(Tasaus[[#This Row],[Laskennallinen kunnallisvero, €]:[Laskennallinen kiinteistövero, €]])</f>
        <v>15881242.919350805</v>
      </c>
      <c r="K142" s="15">
        <f>Tasaus[[#This Row],[Laskennallinen verotulo yhteensä, €]]/Tasaus[[#This Row],[Asukasluku 31.12.2022]]</f>
        <v>1548.1812165481385</v>
      </c>
      <c r="L142" s="34">
        <f>$K$11-Tasaus[[#This Row],[Laskennallinen verotulo yhteensä, €/asukas (=tasausraja)]]</f>
        <v>585.57878345186168</v>
      </c>
      <c r="M142" s="369">
        <v>527.02090510667551</v>
      </c>
      <c r="N142" s="370">
        <v>5406180.4445842775</v>
      </c>
      <c r="P142" s="116"/>
      <c r="Q142" s="117"/>
      <c r="R142" s="118"/>
    </row>
    <row r="143" spans="1:18">
      <c r="A143" s="266">
        <v>426</v>
      </c>
      <c r="B143" s="13" t="s">
        <v>496</v>
      </c>
      <c r="C143" s="267">
        <v>11962</v>
      </c>
      <c r="D143" s="268">
        <v>8.860000000000003</v>
      </c>
      <c r="E143" s="14">
        <v>19040253.710000001</v>
      </c>
      <c r="F143" s="14">
        <f>Tasaus[[#This Row],[Kunnallisvero (maksuunpantu), €]]*100/Tasaus[[#This Row],[Tuloveroprosentti 2023]]</f>
        <v>214901283.4085778</v>
      </c>
      <c r="G143" s="269">
        <f>Tasaus[[#This Row],[Verotettava tulo (kunnallisvero), €]]*($D$11/100)</f>
        <v>15859714.715553043</v>
      </c>
      <c r="H143" s="14">
        <v>1494682.3288117351</v>
      </c>
      <c r="I143" s="15">
        <v>1672930.86965</v>
      </c>
      <c r="J143" s="15">
        <f>SUM(Tasaus[[#This Row],[Laskennallinen kunnallisvero, €]:[Laskennallinen kiinteistövero, €]])</f>
        <v>19027327.914014779</v>
      </c>
      <c r="K143" s="15">
        <f>Tasaus[[#This Row],[Laskennallinen verotulo yhteensä, €]]/Tasaus[[#This Row],[Asukasluku 31.12.2022]]</f>
        <v>1590.64771058475</v>
      </c>
      <c r="L143" s="34">
        <f>$K$11-Tasaus[[#This Row],[Laskennallinen verotulo yhteensä, €/asukas (=tasausraja)]]</f>
        <v>543.11228941525019</v>
      </c>
      <c r="M143" s="369">
        <v>488.80106047372516</v>
      </c>
      <c r="N143" s="370">
        <v>5847038.2853867002</v>
      </c>
      <c r="P143" s="116"/>
      <c r="Q143" s="117"/>
      <c r="R143" s="118"/>
    </row>
    <row r="144" spans="1:18">
      <c r="A144" s="266">
        <v>430</v>
      </c>
      <c r="B144" s="13" t="s">
        <v>497</v>
      </c>
      <c r="C144" s="267">
        <v>15392</v>
      </c>
      <c r="D144" s="268">
        <v>8.36</v>
      </c>
      <c r="E144" s="14">
        <v>22796080.32</v>
      </c>
      <c r="F144" s="14">
        <f>Tasaus[[#This Row],[Kunnallisvero (maksuunpantu), €]]*100/Tasaus[[#This Row],[Tuloveroprosentti 2023]]</f>
        <v>272680386.60287082</v>
      </c>
      <c r="G144" s="269">
        <f>Tasaus[[#This Row],[Verotettava tulo (kunnallisvero), €]]*($D$11/100)</f>
        <v>20123812.531291869</v>
      </c>
      <c r="H144" s="14">
        <v>3520452.9804490679</v>
      </c>
      <c r="I144" s="15">
        <v>2582095.4849500004</v>
      </c>
      <c r="J144" s="15">
        <f>SUM(Tasaus[[#This Row],[Laskennallinen kunnallisvero, €]:[Laskennallinen kiinteistövero, €]])</f>
        <v>26226360.996690936</v>
      </c>
      <c r="K144" s="15">
        <f>Tasaus[[#This Row],[Laskennallinen verotulo yhteensä, €]]/Tasaus[[#This Row],[Asukasluku 31.12.2022]]</f>
        <v>1703.8955948993591</v>
      </c>
      <c r="L144" s="34">
        <f>$K$11-Tasaus[[#This Row],[Laskennallinen verotulo yhteensä, €/asukas (=tasausraja)]]</f>
        <v>429.86440510064108</v>
      </c>
      <c r="M144" s="369">
        <v>386.87796459057699</v>
      </c>
      <c r="N144" s="370">
        <v>5954825.6309781615</v>
      </c>
      <c r="P144" s="116"/>
      <c r="Q144" s="117"/>
      <c r="R144" s="118"/>
    </row>
    <row r="145" spans="1:18">
      <c r="A145" s="266">
        <v>433</v>
      </c>
      <c r="B145" s="13" t="s">
        <v>498</v>
      </c>
      <c r="C145" s="267">
        <v>7749</v>
      </c>
      <c r="D145" s="268">
        <v>8.86</v>
      </c>
      <c r="E145" s="14">
        <v>13181795.68</v>
      </c>
      <c r="F145" s="14">
        <f>Tasaus[[#This Row],[Kunnallisvero (maksuunpantu), €]]*100/Tasaus[[#This Row],[Tuloveroprosentti 2023]]</f>
        <v>148778732.27990973</v>
      </c>
      <c r="G145" s="269">
        <f>Tasaus[[#This Row],[Verotettava tulo (kunnallisvero), €]]*($D$11/100)</f>
        <v>10979870.442257339</v>
      </c>
      <c r="H145" s="14">
        <v>1576313.8195301583</v>
      </c>
      <c r="I145" s="15">
        <v>1360967.2805999999</v>
      </c>
      <c r="J145" s="15">
        <f>SUM(Tasaus[[#This Row],[Laskennallinen kunnallisvero, €]:[Laskennallinen kiinteistövero, €]])</f>
        <v>13917151.542387497</v>
      </c>
      <c r="K145" s="15">
        <f>Tasaus[[#This Row],[Laskennallinen verotulo yhteensä, €]]/Tasaus[[#This Row],[Asukasluku 31.12.2022]]</f>
        <v>1795.9932304023096</v>
      </c>
      <c r="L145" s="34">
        <f>$K$11-Tasaus[[#This Row],[Laskennallinen verotulo yhteensä, €/asukas (=tasausraja)]]</f>
        <v>337.76676959769065</v>
      </c>
      <c r="M145" s="369">
        <v>303.99009263792158</v>
      </c>
      <c r="N145" s="370">
        <v>2355619.2278512544</v>
      </c>
      <c r="P145" s="116"/>
      <c r="Q145" s="117"/>
      <c r="R145" s="118"/>
    </row>
    <row r="146" spans="1:18">
      <c r="A146" s="266">
        <v>434</v>
      </c>
      <c r="B146" s="13" t="s">
        <v>499</v>
      </c>
      <c r="C146" s="267">
        <v>14568</v>
      </c>
      <c r="D146" s="268">
        <v>7.6099999999999994</v>
      </c>
      <c r="E146" s="14">
        <v>22310682.460000001</v>
      </c>
      <c r="F146" s="14">
        <f>Tasaus[[#This Row],[Kunnallisvero (maksuunpantu), €]]*100/Tasaus[[#This Row],[Tuloveroprosentti 2023]]</f>
        <v>293175853.61366624</v>
      </c>
      <c r="G146" s="269">
        <f>Tasaus[[#This Row],[Verotettava tulo (kunnallisvero), €]]*($D$11/100)</f>
        <v>21636377.996688571</v>
      </c>
      <c r="H146" s="14">
        <v>6462287.7204358773</v>
      </c>
      <c r="I146" s="15">
        <v>3417758.4333000001</v>
      </c>
      <c r="J146" s="15">
        <f>SUM(Tasaus[[#This Row],[Laskennallinen kunnallisvero, €]:[Laskennallinen kiinteistövero, €]])</f>
        <v>31516424.150424447</v>
      </c>
      <c r="K146" s="15">
        <f>Tasaus[[#This Row],[Laskennallinen verotulo yhteensä, €]]/Tasaus[[#This Row],[Asukasluku 31.12.2022]]</f>
        <v>2163.4008889637867</v>
      </c>
      <c r="L146" s="34">
        <f>$K$11-Tasaus[[#This Row],[Laskennallinen verotulo yhteensä, €/asukas (=tasausraja)]]</f>
        <v>-29.640888963786438</v>
      </c>
      <c r="M146" s="369">
        <v>-2.964088896378644</v>
      </c>
      <c r="N146" s="370">
        <v>-43180.847042444089</v>
      </c>
      <c r="P146" s="116"/>
      <c r="Q146" s="117"/>
      <c r="R146" s="118"/>
    </row>
    <row r="147" spans="1:18">
      <c r="A147" s="266">
        <v>435</v>
      </c>
      <c r="B147" s="13" t="s">
        <v>500</v>
      </c>
      <c r="C147" s="267">
        <v>692</v>
      </c>
      <c r="D147" s="268">
        <v>5.8599999999999994</v>
      </c>
      <c r="E147" s="14">
        <v>751319.72</v>
      </c>
      <c r="F147" s="14">
        <f>Tasaus[[#This Row],[Kunnallisvero (maksuunpantu), €]]*100/Tasaus[[#This Row],[Tuloveroprosentti 2023]]</f>
        <v>12821155.631399319</v>
      </c>
      <c r="G147" s="269">
        <f>Tasaus[[#This Row],[Verotettava tulo (kunnallisvero), €]]*($D$11/100)</f>
        <v>946201.28559726977</v>
      </c>
      <c r="H147" s="14">
        <v>214083.72486438969</v>
      </c>
      <c r="I147" s="15">
        <v>238599.61734999996</v>
      </c>
      <c r="J147" s="15">
        <f>SUM(Tasaus[[#This Row],[Laskennallinen kunnallisvero, €]:[Laskennallinen kiinteistövero, €]])</f>
        <v>1398884.6278116594</v>
      </c>
      <c r="K147" s="15">
        <f>Tasaus[[#This Row],[Laskennallinen verotulo yhteensä, €]]/Tasaus[[#This Row],[Asukasluku 31.12.2022]]</f>
        <v>2021.5095777625136</v>
      </c>
      <c r="L147" s="34">
        <f>$K$11-Tasaus[[#This Row],[Laskennallinen verotulo yhteensä, €/asukas (=tasausraja)]]</f>
        <v>112.25042223748665</v>
      </c>
      <c r="M147" s="369">
        <v>101.02538001373799</v>
      </c>
      <c r="N147" s="370">
        <v>69909.562969506689</v>
      </c>
      <c r="P147" s="116"/>
      <c r="Q147" s="117"/>
      <c r="R147" s="118"/>
    </row>
    <row r="148" spans="1:18">
      <c r="A148" s="266">
        <v>436</v>
      </c>
      <c r="B148" s="13" t="s">
        <v>501</v>
      </c>
      <c r="C148" s="267">
        <v>1988</v>
      </c>
      <c r="D148" s="268">
        <v>8.36</v>
      </c>
      <c r="E148" s="14">
        <v>2741385.91</v>
      </c>
      <c r="F148" s="14">
        <f>Tasaus[[#This Row],[Kunnallisvero (maksuunpantu), €]]*100/Tasaus[[#This Row],[Tuloveroprosentti 2023]]</f>
        <v>32791697.488038279</v>
      </c>
      <c r="G148" s="269">
        <f>Tasaus[[#This Row],[Verotettava tulo (kunnallisvero), €]]*($D$11/100)</f>
        <v>2420027.2746172249</v>
      </c>
      <c r="H148" s="14">
        <v>168914.38265717172</v>
      </c>
      <c r="I148" s="15">
        <v>174561.81304999997</v>
      </c>
      <c r="J148" s="15">
        <f>SUM(Tasaus[[#This Row],[Laskennallinen kunnallisvero, €]:[Laskennallinen kiinteistövero, €]])</f>
        <v>2763503.4703243966</v>
      </c>
      <c r="K148" s="15">
        <f>Tasaus[[#This Row],[Laskennallinen verotulo yhteensä, €]]/Tasaus[[#This Row],[Asukasluku 31.12.2022]]</f>
        <v>1390.0922888955718</v>
      </c>
      <c r="L148" s="34">
        <f>$K$11-Tasaus[[#This Row],[Laskennallinen verotulo yhteensä, €/asukas (=tasausraja)]]</f>
        <v>743.66771110442846</v>
      </c>
      <c r="M148" s="369">
        <v>669.30093999398559</v>
      </c>
      <c r="N148" s="370">
        <v>1330570.2687080433</v>
      </c>
      <c r="P148" s="116"/>
      <c r="Q148" s="117"/>
      <c r="R148" s="118"/>
    </row>
    <row r="149" spans="1:18">
      <c r="A149" s="266">
        <v>440</v>
      </c>
      <c r="B149" s="13" t="s">
        <v>502</v>
      </c>
      <c r="C149" s="267">
        <v>5732</v>
      </c>
      <c r="D149" s="268">
        <v>7.3599999999999994</v>
      </c>
      <c r="E149" s="14">
        <v>7399862.1299999999</v>
      </c>
      <c r="F149" s="14">
        <f>Tasaus[[#This Row],[Kunnallisvero (maksuunpantu), €]]*100/Tasaus[[#This Row],[Tuloveroprosentti 2023]]</f>
        <v>100541605.02717392</v>
      </c>
      <c r="G149" s="269">
        <f>Tasaus[[#This Row],[Verotettava tulo (kunnallisvero), €]]*($D$11/100)</f>
        <v>7419970.4510054355</v>
      </c>
      <c r="H149" s="14">
        <v>423981.05356868485</v>
      </c>
      <c r="I149" s="15">
        <v>754618.66759999981</v>
      </c>
      <c r="J149" s="15">
        <f>SUM(Tasaus[[#This Row],[Laskennallinen kunnallisvero, €]:[Laskennallinen kiinteistövero, €]])</f>
        <v>8598570.1721741203</v>
      </c>
      <c r="K149" s="15">
        <f>Tasaus[[#This Row],[Laskennallinen verotulo yhteensä, €]]/Tasaus[[#This Row],[Asukasluku 31.12.2022]]</f>
        <v>1500.0994717679903</v>
      </c>
      <c r="L149" s="34">
        <f>$K$11-Tasaus[[#This Row],[Laskennallinen verotulo yhteensä, €/asukas (=tasausraja)]]</f>
        <v>633.66052823200994</v>
      </c>
      <c r="M149" s="369">
        <v>570.29447540880892</v>
      </c>
      <c r="N149" s="370">
        <v>3268927.9330432927</v>
      </c>
      <c r="P149" s="116"/>
      <c r="Q149" s="117"/>
      <c r="R149" s="118"/>
    </row>
    <row r="150" spans="1:18">
      <c r="A150" s="266">
        <v>441</v>
      </c>
      <c r="B150" s="13" t="s">
        <v>503</v>
      </c>
      <c r="C150" s="267">
        <v>4421</v>
      </c>
      <c r="D150" s="268">
        <v>8.36</v>
      </c>
      <c r="E150" s="14">
        <v>6508798.0800000001</v>
      </c>
      <c r="F150" s="14">
        <f>Tasaus[[#This Row],[Kunnallisvero (maksuunpantu), €]]*100/Tasaus[[#This Row],[Tuloveroprosentti 2023]]</f>
        <v>77856436.363636374</v>
      </c>
      <c r="G150" s="269">
        <f>Tasaus[[#This Row],[Verotettava tulo (kunnallisvero), €]]*($D$11/100)</f>
        <v>5745805.0036363648</v>
      </c>
      <c r="H150" s="14">
        <v>1285281.3013433479</v>
      </c>
      <c r="I150" s="15">
        <v>956172.79134999984</v>
      </c>
      <c r="J150" s="15">
        <f>SUM(Tasaus[[#This Row],[Laskennallinen kunnallisvero, €]:[Laskennallinen kiinteistövero, €]])</f>
        <v>7987259.0963297123</v>
      </c>
      <c r="K150" s="15">
        <f>Tasaus[[#This Row],[Laskennallinen verotulo yhteensä, €]]/Tasaus[[#This Row],[Asukasluku 31.12.2022]]</f>
        <v>1806.6634463537011</v>
      </c>
      <c r="L150" s="34">
        <f>$K$11-Tasaus[[#This Row],[Laskennallinen verotulo yhteensä, €/asukas (=tasausraja)]]</f>
        <v>327.09655364629907</v>
      </c>
      <c r="M150" s="369">
        <v>294.38689828166918</v>
      </c>
      <c r="N150" s="370">
        <v>1301484.4773032595</v>
      </c>
      <c r="P150" s="116"/>
      <c r="Q150" s="117"/>
      <c r="R150" s="118"/>
    </row>
    <row r="151" spans="1:18">
      <c r="A151" s="266">
        <v>444</v>
      </c>
      <c r="B151" s="13" t="s">
        <v>504</v>
      </c>
      <c r="C151" s="267">
        <v>45811</v>
      </c>
      <c r="D151" s="268">
        <v>7.8599999999999994</v>
      </c>
      <c r="E151" s="14">
        <v>79225780.010000005</v>
      </c>
      <c r="F151" s="14">
        <f>Tasaus[[#This Row],[Kunnallisvero (maksuunpantu), €]]*100/Tasaus[[#This Row],[Tuloveroprosentti 2023]]</f>
        <v>1007961577.7353692</v>
      </c>
      <c r="G151" s="269">
        <f>Tasaus[[#This Row],[Verotettava tulo (kunnallisvero), €]]*($D$11/100)</f>
        <v>74387564.436870247</v>
      </c>
      <c r="H151" s="14">
        <v>8826202.8510991726</v>
      </c>
      <c r="I151" s="15">
        <v>8299048.4047999987</v>
      </c>
      <c r="J151" s="15">
        <f>SUM(Tasaus[[#This Row],[Laskennallinen kunnallisvero, €]:[Laskennallinen kiinteistövero, €]])</f>
        <v>91512815.692769423</v>
      </c>
      <c r="K151" s="15">
        <f>Tasaus[[#This Row],[Laskennallinen verotulo yhteensä, €]]/Tasaus[[#This Row],[Asukasluku 31.12.2022]]</f>
        <v>1997.6166355846724</v>
      </c>
      <c r="L151" s="34">
        <f>$K$11-Tasaus[[#This Row],[Laskennallinen verotulo yhteensä, €/asukas (=tasausraja)]]</f>
        <v>136.14336441532782</v>
      </c>
      <c r="M151" s="369">
        <v>122.52902797379504</v>
      </c>
      <c r="N151" s="370">
        <v>5613177.3005075241</v>
      </c>
      <c r="P151" s="116"/>
      <c r="Q151" s="117"/>
      <c r="R151" s="118"/>
    </row>
    <row r="152" spans="1:18">
      <c r="A152" s="266">
        <v>445</v>
      </c>
      <c r="B152" s="13" t="s">
        <v>152</v>
      </c>
      <c r="C152" s="267">
        <v>14991</v>
      </c>
      <c r="D152" s="268">
        <v>7.8599999999999994</v>
      </c>
      <c r="E152" s="14">
        <v>26772830.989999998</v>
      </c>
      <c r="F152" s="14">
        <f>Tasaus[[#This Row],[Kunnallisvero (maksuunpantu), €]]*100/Tasaus[[#This Row],[Tuloveroprosentti 2023]]</f>
        <v>340621259.41475827</v>
      </c>
      <c r="G152" s="269">
        <f>Tasaus[[#This Row],[Verotettava tulo (kunnallisvero), €]]*($D$11/100)</f>
        <v>25137848.944809161</v>
      </c>
      <c r="H152" s="14">
        <v>2254968.3843057342</v>
      </c>
      <c r="I152" s="15">
        <v>4297454.9099000003</v>
      </c>
      <c r="J152" s="15">
        <f>SUM(Tasaus[[#This Row],[Laskennallinen kunnallisvero, €]:[Laskennallinen kiinteistövero, €]])</f>
        <v>31690272.239014894</v>
      </c>
      <c r="K152" s="15">
        <f>Tasaus[[#This Row],[Laskennallinen verotulo yhteensä, €]]/Tasaus[[#This Row],[Asukasluku 31.12.2022]]</f>
        <v>2113.9531878470343</v>
      </c>
      <c r="L152" s="34">
        <f>$K$11-Tasaus[[#This Row],[Laskennallinen verotulo yhteensä, €/asukas (=tasausraja)]]</f>
        <v>19.806812152965904</v>
      </c>
      <c r="M152" s="369">
        <v>17.826130937669316</v>
      </c>
      <c r="N152" s="370">
        <v>267231.52888660069</v>
      </c>
      <c r="P152" s="116"/>
      <c r="Q152" s="117"/>
      <c r="R152" s="118"/>
    </row>
    <row r="153" spans="1:18">
      <c r="A153" s="266">
        <v>475</v>
      </c>
      <c r="B153" s="13" t="s">
        <v>505</v>
      </c>
      <c r="C153" s="267">
        <v>5479</v>
      </c>
      <c r="D153" s="268">
        <v>8.8599999999999959</v>
      </c>
      <c r="E153" s="14">
        <v>9138313.1500000004</v>
      </c>
      <c r="F153" s="14">
        <f>Tasaus[[#This Row],[Kunnallisvero (maksuunpantu), €]]*100/Tasaus[[#This Row],[Tuloveroprosentti 2023]]</f>
        <v>103141231.9413093</v>
      </c>
      <c r="G153" s="269">
        <f>Tasaus[[#This Row],[Verotettava tulo (kunnallisvero), €]]*($D$11/100)</f>
        <v>7611822.9172686273</v>
      </c>
      <c r="H153" s="14">
        <v>1186599.6529958192</v>
      </c>
      <c r="I153" s="15">
        <v>946401.07499999995</v>
      </c>
      <c r="J153" s="15">
        <f>SUM(Tasaus[[#This Row],[Laskennallinen kunnallisvero, €]:[Laskennallinen kiinteistövero, €]])</f>
        <v>9744823.6452644467</v>
      </c>
      <c r="K153" s="15">
        <f>Tasaus[[#This Row],[Laskennallinen verotulo yhteensä, €]]/Tasaus[[#This Row],[Asukasluku 31.12.2022]]</f>
        <v>1778.5770478672105</v>
      </c>
      <c r="L153" s="34">
        <f>$K$11-Tasaus[[#This Row],[Laskennallinen verotulo yhteensä, €/asukas (=tasausraja)]]</f>
        <v>355.18295213278975</v>
      </c>
      <c r="M153" s="369">
        <v>319.66465691951078</v>
      </c>
      <c r="N153" s="370">
        <v>1751442.6552619995</v>
      </c>
      <c r="P153" s="116"/>
      <c r="Q153" s="117"/>
      <c r="R153" s="118"/>
    </row>
    <row r="154" spans="1:18">
      <c r="A154" s="266">
        <v>480</v>
      </c>
      <c r="B154" s="13" t="s">
        <v>506</v>
      </c>
      <c r="C154" s="267">
        <v>1978</v>
      </c>
      <c r="D154" s="268">
        <v>8.11</v>
      </c>
      <c r="E154" s="14">
        <v>2795650.81</v>
      </c>
      <c r="F154" s="14">
        <f>Tasaus[[#This Row],[Kunnallisvero (maksuunpantu), €]]*100/Tasaus[[#This Row],[Tuloveroprosentti 2023]]</f>
        <v>34471649.93834772</v>
      </c>
      <c r="G154" s="269">
        <f>Tasaus[[#This Row],[Verotettava tulo (kunnallisvero), €]]*($D$11/100)</f>
        <v>2544007.7654500618</v>
      </c>
      <c r="H154" s="14">
        <v>263487.97928300384</v>
      </c>
      <c r="I154" s="15">
        <v>238726.86554999999</v>
      </c>
      <c r="J154" s="15">
        <f>SUM(Tasaus[[#This Row],[Laskennallinen kunnallisvero, €]:[Laskennallinen kiinteistövero, €]])</f>
        <v>3046222.6102830656</v>
      </c>
      <c r="K154" s="15">
        <f>Tasaus[[#This Row],[Laskennallinen verotulo yhteensä, €]]/Tasaus[[#This Row],[Asukasluku 31.12.2022]]</f>
        <v>1540.0518757750585</v>
      </c>
      <c r="L154" s="34">
        <f>$K$11-Tasaus[[#This Row],[Laskennallinen verotulo yhteensä, €/asukas (=tasausraja)]]</f>
        <v>593.70812422494168</v>
      </c>
      <c r="M154" s="369">
        <v>534.33731180244752</v>
      </c>
      <c r="N154" s="370">
        <v>1056919.2027452411</v>
      </c>
      <c r="P154" s="116"/>
      <c r="Q154" s="117"/>
      <c r="R154" s="118"/>
    </row>
    <row r="155" spans="1:18">
      <c r="A155" s="266">
        <v>481</v>
      </c>
      <c r="B155" s="13" t="s">
        <v>507</v>
      </c>
      <c r="C155" s="267">
        <v>9642</v>
      </c>
      <c r="D155" s="268">
        <v>8.11</v>
      </c>
      <c r="E155" s="14">
        <v>18446180.859999999</v>
      </c>
      <c r="F155" s="14">
        <f>Tasaus[[#This Row],[Kunnallisvero (maksuunpantu), €]]*100/Tasaus[[#This Row],[Tuloveroprosentti 2023]]</f>
        <v>227449825.64734897</v>
      </c>
      <c r="G155" s="269">
        <f>Tasaus[[#This Row],[Verotettava tulo (kunnallisvero), €]]*($D$11/100)</f>
        <v>16785797.132774357</v>
      </c>
      <c r="H155" s="14">
        <v>1596387.0662225923</v>
      </c>
      <c r="I155" s="15">
        <v>1400079.0436999998</v>
      </c>
      <c r="J155" s="15">
        <f>SUM(Tasaus[[#This Row],[Laskennallinen kunnallisvero, €]:[Laskennallinen kiinteistövero, €]])</f>
        <v>19782263.242696948</v>
      </c>
      <c r="K155" s="15">
        <f>Tasaus[[#This Row],[Laskennallinen verotulo yhteensä, €]]/Tasaus[[#This Row],[Asukasluku 31.12.2022]]</f>
        <v>2051.6763371392813</v>
      </c>
      <c r="L155" s="34">
        <f>$K$11-Tasaus[[#This Row],[Laskennallinen verotulo yhteensä, €/asukas (=tasausraja)]]</f>
        <v>82.08366286071896</v>
      </c>
      <c r="M155" s="369">
        <v>73.875296574647066</v>
      </c>
      <c r="N155" s="370">
        <v>712305.60957274702</v>
      </c>
      <c r="P155" s="116"/>
      <c r="Q155" s="117"/>
      <c r="R155" s="118"/>
    </row>
    <row r="156" spans="1:18">
      <c r="A156" s="266">
        <v>483</v>
      </c>
      <c r="B156" s="13" t="s">
        <v>508</v>
      </c>
      <c r="C156" s="267">
        <v>1067</v>
      </c>
      <c r="D156" s="268">
        <v>9.86</v>
      </c>
      <c r="E156" s="14">
        <v>1321577.31</v>
      </c>
      <c r="F156" s="14">
        <f>Tasaus[[#This Row],[Kunnallisvero (maksuunpantu), €]]*100/Tasaus[[#This Row],[Tuloveroprosentti 2023]]</f>
        <v>13403420.993914807</v>
      </c>
      <c r="G156" s="269">
        <f>Tasaus[[#This Row],[Verotettava tulo (kunnallisvero), €]]*($D$11/100)</f>
        <v>989172.46935091284</v>
      </c>
      <c r="H156" s="14">
        <v>114199.23782273848</v>
      </c>
      <c r="I156" s="15">
        <v>105027.16709999999</v>
      </c>
      <c r="J156" s="15">
        <f>SUM(Tasaus[[#This Row],[Laskennallinen kunnallisvero, €]:[Laskennallinen kiinteistövero, €]])</f>
        <v>1208398.8742736513</v>
      </c>
      <c r="K156" s="15">
        <f>Tasaus[[#This Row],[Laskennallinen verotulo yhteensä, €]]/Tasaus[[#This Row],[Asukasluku 31.12.2022]]</f>
        <v>1132.5200321215102</v>
      </c>
      <c r="L156" s="34">
        <f>$K$11-Tasaus[[#This Row],[Laskennallinen verotulo yhteensä, €/asukas (=tasausraja)]]</f>
        <v>1001.23996787849</v>
      </c>
      <c r="M156" s="369">
        <v>901.11597109064098</v>
      </c>
      <c r="N156" s="370">
        <v>961490.7411537139</v>
      </c>
      <c r="P156" s="116"/>
      <c r="Q156" s="117"/>
      <c r="R156" s="118"/>
    </row>
    <row r="157" spans="1:18">
      <c r="A157" s="266">
        <v>484</v>
      </c>
      <c r="B157" s="13" t="s">
        <v>509</v>
      </c>
      <c r="C157" s="267">
        <v>2967</v>
      </c>
      <c r="D157" s="268">
        <v>7.8599999999999994</v>
      </c>
      <c r="E157" s="14">
        <v>3926057</v>
      </c>
      <c r="F157" s="14">
        <f>Tasaus[[#This Row],[Kunnallisvero (maksuunpantu), €]]*100/Tasaus[[#This Row],[Tuloveroprosentti 2023]]</f>
        <v>49949834.605597965</v>
      </c>
      <c r="G157" s="269">
        <f>Tasaus[[#This Row],[Verotettava tulo (kunnallisvero), €]]*($D$11/100)</f>
        <v>3686297.79389313</v>
      </c>
      <c r="H157" s="14">
        <v>1380245.5420266974</v>
      </c>
      <c r="I157" s="15">
        <v>666625.96195000003</v>
      </c>
      <c r="J157" s="15">
        <f>SUM(Tasaus[[#This Row],[Laskennallinen kunnallisvero, €]:[Laskennallinen kiinteistövero, €]])</f>
        <v>5733169.2978698276</v>
      </c>
      <c r="K157" s="15">
        <f>Tasaus[[#This Row],[Laskennallinen verotulo yhteensä, €]]/Tasaus[[#This Row],[Asukasluku 31.12.2022]]</f>
        <v>1932.3118631175691</v>
      </c>
      <c r="L157" s="34">
        <f>$K$11-Tasaus[[#This Row],[Laskennallinen verotulo yhteensä, €/asukas (=tasausraja)]]</f>
        <v>201.44813688243107</v>
      </c>
      <c r="M157" s="369">
        <v>181.30332319418798</v>
      </c>
      <c r="N157" s="370">
        <v>537926.95991715579</v>
      </c>
      <c r="P157" s="116"/>
      <c r="Q157" s="117"/>
      <c r="R157" s="118"/>
    </row>
    <row r="158" spans="1:18">
      <c r="A158" s="266">
        <v>489</v>
      </c>
      <c r="B158" s="13" t="s">
        <v>510</v>
      </c>
      <c r="C158" s="267">
        <v>1791</v>
      </c>
      <c r="D158" s="268">
        <v>8.86</v>
      </c>
      <c r="E158" s="14">
        <v>2365400.85</v>
      </c>
      <c r="F158" s="14">
        <f>Tasaus[[#This Row],[Kunnallisvero (maksuunpantu), €]]*100/Tasaus[[#This Row],[Tuloveroprosentti 2023]]</f>
        <v>26697526.523702033</v>
      </c>
      <c r="G158" s="269">
        <f>Tasaus[[#This Row],[Verotettava tulo (kunnallisvero), €]]*($D$11/100)</f>
        <v>1970277.4574492101</v>
      </c>
      <c r="H158" s="14">
        <v>448024.35077022359</v>
      </c>
      <c r="I158" s="15">
        <v>283268.11265000002</v>
      </c>
      <c r="J158" s="15">
        <f>SUM(Tasaus[[#This Row],[Laskennallinen kunnallisvero, €]:[Laskennallinen kiinteistövero, €]])</f>
        <v>2701569.9208694338</v>
      </c>
      <c r="K158" s="15">
        <f>Tasaus[[#This Row],[Laskennallinen verotulo yhteensä, €]]/Tasaus[[#This Row],[Asukasluku 31.12.2022]]</f>
        <v>1508.4142495083383</v>
      </c>
      <c r="L158" s="34">
        <f>$K$11-Tasaus[[#This Row],[Laskennallinen verotulo yhteensä, €/asukas (=tasausraja)]]</f>
        <v>625.34575049166187</v>
      </c>
      <c r="M158" s="369">
        <v>562.81117544249571</v>
      </c>
      <c r="N158" s="370">
        <v>1007994.8152175099</v>
      </c>
      <c r="P158" s="116"/>
      <c r="Q158" s="117"/>
      <c r="R158" s="118"/>
    </row>
    <row r="159" spans="1:18">
      <c r="A159" s="266">
        <v>491</v>
      </c>
      <c r="B159" s="13" t="s">
        <v>511</v>
      </c>
      <c r="C159" s="267">
        <v>51980</v>
      </c>
      <c r="D159" s="268">
        <v>9.36</v>
      </c>
      <c r="E159" s="14">
        <v>95436343.609999999</v>
      </c>
      <c r="F159" s="14">
        <f>Tasaus[[#This Row],[Kunnallisvero (maksuunpantu), €]]*100/Tasaus[[#This Row],[Tuloveroprosentti 2023]]</f>
        <v>1019619055.6623932</v>
      </c>
      <c r="G159" s="269">
        <f>Tasaus[[#This Row],[Verotettava tulo (kunnallisvero), €]]*($D$11/100)</f>
        <v>75247886.307884619</v>
      </c>
      <c r="H159" s="14">
        <v>12576308.177586246</v>
      </c>
      <c r="I159" s="15">
        <v>9885194.875599999</v>
      </c>
      <c r="J159" s="15">
        <f>SUM(Tasaus[[#This Row],[Laskennallinen kunnallisvero, €]:[Laskennallinen kiinteistövero, €]])</f>
        <v>97709389.361070856</v>
      </c>
      <c r="K159" s="15">
        <f>Tasaus[[#This Row],[Laskennallinen verotulo yhteensä, €]]/Tasaus[[#This Row],[Asukasluku 31.12.2022]]</f>
        <v>1879.7496991356456</v>
      </c>
      <c r="L159" s="34">
        <f>$K$11-Tasaus[[#This Row],[Laskennallinen verotulo yhteensä, €/asukas (=tasausraja)]]</f>
        <v>254.01030086435458</v>
      </c>
      <c r="M159" s="369">
        <v>228.60927077791914</v>
      </c>
      <c r="N159" s="370">
        <v>11883109.895036237</v>
      </c>
      <c r="P159" s="116"/>
      <c r="Q159" s="117"/>
      <c r="R159" s="118"/>
    </row>
    <row r="160" spans="1:18">
      <c r="A160" s="266">
        <v>494</v>
      </c>
      <c r="B160" s="13" t="s">
        <v>512</v>
      </c>
      <c r="C160" s="267">
        <v>8882</v>
      </c>
      <c r="D160" s="268">
        <v>9.36</v>
      </c>
      <c r="E160" s="14">
        <v>14359696.27</v>
      </c>
      <c r="F160" s="14">
        <f>Tasaus[[#This Row],[Kunnallisvero (maksuunpantu), €]]*100/Tasaus[[#This Row],[Tuloveroprosentti 2023]]</f>
        <v>153415558.44017094</v>
      </c>
      <c r="G160" s="269">
        <f>Tasaus[[#This Row],[Verotettava tulo (kunnallisvero), €]]*($D$11/100)</f>
        <v>11322068.212884616</v>
      </c>
      <c r="H160" s="14">
        <v>835515.04464231664</v>
      </c>
      <c r="I160" s="15">
        <v>1069705.8606499999</v>
      </c>
      <c r="J160" s="15">
        <f>SUM(Tasaus[[#This Row],[Laskennallinen kunnallisvero, €]:[Laskennallinen kiinteistövero, €]])</f>
        <v>13227289.118176932</v>
      </c>
      <c r="K160" s="15">
        <f>Tasaus[[#This Row],[Laskennallinen verotulo yhteensä, €]]/Tasaus[[#This Row],[Asukasluku 31.12.2022]]</f>
        <v>1489.2241745301658</v>
      </c>
      <c r="L160" s="34">
        <f>$K$11-Tasaus[[#This Row],[Laskennallinen verotulo yhteensä, €/asukas (=tasausraja)]]</f>
        <v>644.53582546983444</v>
      </c>
      <c r="M160" s="369">
        <v>580.08224292285104</v>
      </c>
      <c r="N160" s="370">
        <v>5152290.4816407626</v>
      </c>
      <c r="P160" s="116"/>
      <c r="Q160" s="117"/>
      <c r="R160" s="118"/>
    </row>
    <row r="161" spans="1:18">
      <c r="A161" s="266">
        <v>495</v>
      </c>
      <c r="B161" s="13" t="s">
        <v>513</v>
      </c>
      <c r="C161" s="267">
        <v>1477</v>
      </c>
      <c r="D161" s="268">
        <v>9.36</v>
      </c>
      <c r="E161" s="14">
        <v>2000249.42</v>
      </c>
      <c r="F161" s="14">
        <f>Tasaus[[#This Row],[Kunnallisvero (maksuunpantu), €]]*100/Tasaus[[#This Row],[Tuloveroprosentti 2023]]</f>
        <v>21370186.111111112</v>
      </c>
      <c r="G161" s="269">
        <f>Tasaus[[#This Row],[Verotettava tulo (kunnallisvero), €]]*($D$11/100)</f>
        <v>1577119.7350000001</v>
      </c>
      <c r="H161" s="14">
        <v>812765.14943066367</v>
      </c>
      <c r="I161" s="15">
        <v>263070.68530000001</v>
      </c>
      <c r="J161" s="15">
        <f>SUM(Tasaus[[#This Row],[Laskennallinen kunnallisvero, €]:[Laskennallinen kiinteistövero, €]])</f>
        <v>2652955.5697306637</v>
      </c>
      <c r="K161" s="15">
        <f>Tasaus[[#This Row],[Laskennallinen verotulo yhteensä, €]]/Tasaus[[#This Row],[Asukasluku 31.12.2022]]</f>
        <v>1796.1784493775651</v>
      </c>
      <c r="L161" s="34">
        <f>$K$11-Tasaus[[#This Row],[Laskennallinen verotulo yhteensä, €/asukas (=tasausraja)]]</f>
        <v>337.58155062243509</v>
      </c>
      <c r="M161" s="369">
        <v>303.82339556019161</v>
      </c>
      <c r="N161" s="370">
        <v>448747.15524240304</v>
      </c>
      <c r="P161" s="116"/>
      <c r="Q161" s="117"/>
      <c r="R161" s="118"/>
    </row>
    <row r="162" spans="1:18">
      <c r="A162" s="266">
        <v>498</v>
      </c>
      <c r="B162" s="13" t="s">
        <v>514</v>
      </c>
      <c r="C162" s="267">
        <v>2281</v>
      </c>
      <c r="D162" s="268">
        <v>8.86</v>
      </c>
      <c r="E162" s="14">
        <v>3827962.47</v>
      </c>
      <c r="F162" s="14">
        <f>Tasaus[[#This Row],[Kunnallisvero (maksuunpantu), €]]*100/Tasaus[[#This Row],[Tuloveroprosentti 2023]]</f>
        <v>43204994.018058695</v>
      </c>
      <c r="G162" s="269">
        <f>Tasaus[[#This Row],[Verotettava tulo (kunnallisvero), €]]*($D$11/100)</f>
        <v>3188528.5585327321</v>
      </c>
      <c r="H162" s="14">
        <v>806451.7736436897</v>
      </c>
      <c r="I162" s="15">
        <v>648770.84750000003</v>
      </c>
      <c r="J162" s="15">
        <f>SUM(Tasaus[[#This Row],[Laskennallinen kunnallisvero, €]:[Laskennallinen kiinteistövero, €]])</f>
        <v>4643751.1796764219</v>
      </c>
      <c r="K162" s="15">
        <f>Tasaus[[#This Row],[Laskennallinen verotulo yhteensä, €]]/Tasaus[[#This Row],[Asukasluku 31.12.2022]]</f>
        <v>2035.8400612347311</v>
      </c>
      <c r="L162" s="34">
        <f>$K$11-Tasaus[[#This Row],[Laskennallinen verotulo yhteensä, €/asukas (=tasausraja)]]</f>
        <v>97.91993876526908</v>
      </c>
      <c r="M162" s="369">
        <v>88.127944888742178</v>
      </c>
      <c r="N162" s="370">
        <v>201019.84229122091</v>
      </c>
      <c r="P162" s="116"/>
      <c r="Q162" s="117"/>
      <c r="R162" s="118"/>
    </row>
    <row r="163" spans="1:18">
      <c r="A163" s="242">
        <v>499</v>
      </c>
      <c r="B163" s="36" t="s">
        <v>515</v>
      </c>
      <c r="C163" s="267">
        <v>19662</v>
      </c>
      <c r="D163" s="268">
        <v>8.11</v>
      </c>
      <c r="E163" s="14">
        <v>34610811.450000003</v>
      </c>
      <c r="F163" s="14">
        <f>Tasaus[[#This Row],[Kunnallisvero (maksuunpantu), €]]*100/Tasaus[[#This Row],[Tuloveroprosentti 2023]]</f>
        <v>426767095.56103587</v>
      </c>
      <c r="G163" s="269">
        <f>Tasaus[[#This Row],[Verotettava tulo (kunnallisvero), €]]*($D$11/100)</f>
        <v>31495411.65240445</v>
      </c>
      <c r="H163" s="14">
        <v>2669346.1347419573</v>
      </c>
      <c r="I163" s="15">
        <v>2912438.5358499996</v>
      </c>
      <c r="J163" s="15">
        <f>SUM(Tasaus[[#This Row],[Laskennallinen kunnallisvero, €]:[Laskennallinen kiinteistövero, €]])</f>
        <v>37077196.322996408</v>
      </c>
      <c r="K163" s="15">
        <f>Tasaus[[#This Row],[Laskennallinen verotulo yhteensä, €]]/Tasaus[[#This Row],[Asukasluku 31.12.2022]]</f>
        <v>1885.7286299967657</v>
      </c>
      <c r="L163" s="34">
        <f>$K$11-Tasaus[[#This Row],[Laskennallinen verotulo yhteensä, €/asukas (=tasausraja)]]</f>
        <v>248.03137000323454</v>
      </c>
      <c r="M163" s="369">
        <v>223.22823300291108</v>
      </c>
      <c r="N163" s="370">
        <v>4389113.5173032377</v>
      </c>
      <c r="P163" s="116"/>
      <c r="Q163" s="117"/>
      <c r="R163" s="118"/>
    </row>
    <row r="164" spans="1:18">
      <c r="A164" s="266">
        <v>500</v>
      </c>
      <c r="B164" s="13" t="s">
        <v>516</v>
      </c>
      <c r="C164" s="267">
        <v>10486</v>
      </c>
      <c r="D164" s="268">
        <v>6.8599999999999994</v>
      </c>
      <c r="E164" s="14">
        <v>16099842.17</v>
      </c>
      <c r="F164" s="14">
        <f>Tasaus[[#This Row],[Kunnallisvero (maksuunpantu), €]]*100/Tasaus[[#This Row],[Tuloveroprosentti 2023]]</f>
        <v>234691576.82215744</v>
      </c>
      <c r="G164" s="269">
        <f>Tasaus[[#This Row],[Verotettava tulo (kunnallisvero), €]]*($D$11/100)</f>
        <v>17320238.369475219</v>
      </c>
      <c r="H164" s="14">
        <v>2484010.1468536551</v>
      </c>
      <c r="I164" s="15">
        <v>1413963.2747500001</v>
      </c>
      <c r="J164" s="15">
        <f>SUM(Tasaus[[#This Row],[Laskennallinen kunnallisvero, €]:[Laskennallinen kiinteistövero, €]])</f>
        <v>21218211.791078877</v>
      </c>
      <c r="K164" s="15">
        <f>Tasaus[[#This Row],[Laskennallinen verotulo yhteensä, €]]/Tasaus[[#This Row],[Asukasluku 31.12.2022]]</f>
        <v>2023.4800487391642</v>
      </c>
      <c r="L164" s="34">
        <f>$K$11-Tasaus[[#This Row],[Laskennallinen verotulo yhteensä, €/asukas (=tasausraja)]]</f>
        <v>110.27995126083601</v>
      </c>
      <c r="M164" s="369">
        <v>99.251956134752419</v>
      </c>
      <c r="N164" s="370">
        <v>1040756.0120290138</v>
      </c>
      <c r="P164" s="116"/>
      <c r="Q164" s="117"/>
      <c r="R164" s="118"/>
    </row>
    <row r="165" spans="1:18">
      <c r="A165" s="266">
        <v>503</v>
      </c>
      <c r="B165" s="13" t="s">
        <v>517</v>
      </c>
      <c r="C165" s="267">
        <v>7539</v>
      </c>
      <c r="D165" s="268">
        <v>8.61</v>
      </c>
      <c r="E165" s="14">
        <v>12518065.25</v>
      </c>
      <c r="F165" s="14">
        <f>Tasaus[[#This Row],[Kunnallisvero (maksuunpantu), €]]*100/Tasaus[[#This Row],[Tuloveroprosentti 2023]]</f>
        <v>145389840.30197445</v>
      </c>
      <c r="G165" s="269">
        <f>Tasaus[[#This Row],[Verotettava tulo (kunnallisvero), €]]*($D$11/100)</f>
        <v>10729770.214285715</v>
      </c>
      <c r="H165" s="14">
        <v>1009464.8543573616</v>
      </c>
      <c r="I165" s="15">
        <v>1036557.8597499999</v>
      </c>
      <c r="J165" s="15">
        <f>SUM(Tasaus[[#This Row],[Laskennallinen kunnallisvero, €]:[Laskennallinen kiinteistövero, €]])</f>
        <v>12775792.928393077</v>
      </c>
      <c r="K165" s="15">
        <f>Tasaus[[#This Row],[Laskennallinen verotulo yhteensä, €]]/Tasaus[[#This Row],[Asukasluku 31.12.2022]]</f>
        <v>1694.6269967360495</v>
      </c>
      <c r="L165" s="34">
        <f>$K$11-Tasaus[[#This Row],[Laskennallinen verotulo yhteensä, €/asukas (=tasausraja)]]</f>
        <v>439.13300326395074</v>
      </c>
      <c r="M165" s="369">
        <v>395.21970293755567</v>
      </c>
      <c r="N165" s="370">
        <v>2979561.3404462324</v>
      </c>
      <c r="P165" s="116"/>
      <c r="Q165" s="117"/>
      <c r="R165" s="118"/>
    </row>
    <row r="166" spans="1:18">
      <c r="A166" s="266">
        <v>504</v>
      </c>
      <c r="B166" s="13" t="s">
        <v>518</v>
      </c>
      <c r="C166" s="267">
        <v>1764</v>
      </c>
      <c r="D166" s="268">
        <v>8.86</v>
      </c>
      <c r="E166" s="14">
        <v>2764776.65</v>
      </c>
      <c r="F166" s="14">
        <f>Tasaus[[#This Row],[Kunnallisvero (maksuunpantu), €]]*100/Tasaus[[#This Row],[Tuloveroprosentti 2023]]</f>
        <v>31205154.063205421</v>
      </c>
      <c r="G166" s="269">
        <f>Tasaus[[#This Row],[Verotettava tulo (kunnallisvero), €]]*($D$11/100)</f>
        <v>2302940.3698645602</v>
      </c>
      <c r="H166" s="14">
        <v>343713.58264815307</v>
      </c>
      <c r="I166" s="15">
        <v>221700.57405000002</v>
      </c>
      <c r="J166" s="15">
        <f>SUM(Tasaus[[#This Row],[Laskennallinen kunnallisvero, €]:[Laskennallinen kiinteistövero, €]])</f>
        <v>2868354.5265627131</v>
      </c>
      <c r="K166" s="15">
        <f>Tasaus[[#This Row],[Laskennallinen verotulo yhteensä, €]]/Tasaus[[#This Row],[Asukasluku 31.12.2022]]</f>
        <v>1626.0513189131027</v>
      </c>
      <c r="L166" s="34">
        <f>$K$11-Tasaus[[#This Row],[Laskennallinen verotulo yhteensä, €/asukas (=tasausraja)]]</f>
        <v>507.70868108689751</v>
      </c>
      <c r="M166" s="369">
        <v>456.93781297820777</v>
      </c>
      <c r="N166" s="370">
        <v>806038.30209355848</v>
      </c>
      <c r="P166" s="116"/>
      <c r="Q166" s="117"/>
      <c r="R166" s="118"/>
    </row>
    <row r="167" spans="1:18">
      <c r="A167" s="266">
        <v>505</v>
      </c>
      <c r="B167" s="13" t="s">
        <v>519</v>
      </c>
      <c r="C167" s="267">
        <v>20912</v>
      </c>
      <c r="D167" s="268">
        <v>8.36</v>
      </c>
      <c r="E167" s="14">
        <v>37735808.590000004</v>
      </c>
      <c r="F167" s="14">
        <f>Tasaus[[#This Row],[Kunnallisvero (maksuunpantu), €]]*100/Tasaus[[#This Row],[Tuloveroprosentti 2023]]</f>
        <v>451385270.21531111</v>
      </c>
      <c r="G167" s="269">
        <f>Tasaus[[#This Row],[Verotettava tulo (kunnallisvero), €]]*($D$11/100)</f>
        <v>33312232.94188996</v>
      </c>
      <c r="H167" s="14">
        <v>3442581.1243283632</v>
      </c>
      <c r="I167" s="15">
        <v>3704828.9364999998</v>
      </c>
      <c r="J167" s="15">
        <f>SUM(Tasaus[[#This Row],[Laskennallinen kunnallisvero, €]:[Laskennallinen kiinteistövero, €]])</f>
        <v>40459643.002718322</v>
      </c>
      <c r="K167" s="15">
        <f>Tasaus[[#This Row],[Laskennallinen verotulo yhteensä, €]]/Tasaus[[#This Row],[Asukasluku 31.12.2022]]</f>
        <v>1934.7572208644951</v>
      </c>
      <c r="L167" s="34">
        <f>$K$11-Tasaus[[#This Row],[Laskennallinen verotulo yhteensä, €/asukas (=tasausraja)]]</f>
        <v>199.00277913550508</v>
      </c>
      <c r="M167" s="369">
        <v>179.10250122195458</v>
      </c>
      <c r="N167" s="370">
        <v>3745391.5055535142</v>
      </c>
      <c r="P167" s="116"/>
      <c r="Q167" s="117"/>
      <c r="R167" s="118"/>
    </row>
    <row r="168" spans="1:18">
      <c r="A168" s="266">
        <v>507</v>
      </c>
      <c r="B168" s="13" t="s">
        <v>520</v>
      </c>
      <c r="C168" s="267">
        <v>7164</v>
      </c>
      <c r="D168" s="268">
        <v>8.11</v>
      </c>
      <c r="E168" s="14">
        <v>9990706.0099999998</v>
      </c>
      <c r="F168" s="14">
        <v>123189963.13193589</v>
      </c>
      <c r="G168" s="269">
        <f>Tasaus[[#This Row],[Verotettava tulo (kunnallisvero), €]]*($D$11/100)</f>
        <v>9091419.2791368701</v>
      </c>
      <c r="H168" s="14">
        <v>2402176.3262323961</v>
      </c>
      <c r="I168" s="15">
        <v>2020483.0193500002</v>
      </c>
      <c r="J168" s="15">
        <f>SUM(Tasaus[[#This Row],[Laskennallinen kunnallisvero, €]:[Laskennallinen kiinteistövero, €]])</f>
        <v>13514078.624719266</v>
      </c>
      <c r="K168" s="15">
        <f>Tasaus[[#This Row],[Laskennallinen verotulo yhteensä, €]]/Tasaus[[#This Row],[Asukasluku 31.12.2022]]</f>
        <v>1886.3873010495904</v>
      </c>
      <c r="L168" s="34">
        <f>$K$11-Tasaus[[#This Row],[Laskennallinen verotulo yhteensä, €/asukas (=tasausraja)]]</f>
        <v>247.37269895040981</v>
      </c>
      <c r="M168" s="369">
        <v>222.63542905536883</v>
      </c>
      <c r="N168" s="370">
        <v>1594960.2137526623</v>
      </c>
      <c r="P168" s="116"/>
      <c r="Q168" s="117"/>
      <c r="R168" s="118"/>
    </row>
    <row r="169" spans="1:18">
      <c r="A169" s="266">
        <v>508</v>
      </c>
      <c r="B169" s="13" t="s">
        <v>521</v>
      </c>
      <c r="C169" s="267">
        <v>9360</v>
      </c>
      <c r="D169" s="268">
        <v>9.8599999999999959</v>
      </c>
      <c r="E169" s="14">
        <v>17422641.210000001</v>
      </c>
      <c r="F169" s="14">
        <f>Tasaus[[#This Row],[Kunnallisvero (maksuunpantu), €]]*100/Tasaus[[#This Row],[Tuloveroprosentti 2023]]</f>
        <v>176700215.11156195</v>
      </c>
      <c r="G169" s="269">
        <f>Tasaus[[#This Row],[Verotettava tulo (kunnallisvero), €]]*($D$11/100)</f>
        <v>13040475.875233272</v>
      </c>
      <c r="H169" s="14">
        <v>3201171.1827910244</v>
      </c>
      <c r="I169" s="15">
        <v>1584095.00055</v>
      </c>
      <c r="J169" s="15">
        <f>SUM(Tasaus[[#This Row],[Laskennallinen kunnallisvero, €]:[Laskennallinen kiinteistövero, €]])</f>
        <v>17825742.058574297</v>
      </c>
      <c r="K169" s="15">
        <f>Tasaus[[#This Row],[Laskennallinen verotulo yhteensä, €]]/Tasaus[[#This Row],[Asukasluku 31.12.2022]]</f>
        <v>1904.459621642553</v>
      </c>
      <c r="L169" s="34">
        <f>$K$11-Tasaus[[#This Row],[Laskennallinen verotulo yhteensä, €/asukas (=tasausraja)]]</f>
        <v>229.30037835744724</v>
      </c>
      <c r="M169" s="369">
        <v>206.37034052170253</v>
      </c>
      <c r="N169" s="370">
        <v>1931626.3872831357</v>
      </c>
      <c r="P169" s="116"/>
      <c r="Q169" s="117"/>
      <c r="R169" s="118"/>
    </row>
    <row r="170" spans="1:18">
      <c r="A170" s="266">
        <v>529</v>
      </c>
      <c r="B170" s="13" t="s">
        <v>522</v>
      </c>
      <c r="C170" s="267">
        <v>19850</v>
      </c>
      <c r="D170" s="268">
        <v>6.3599999999999959</v>
      </c>
      <c r="E170" s="14">
        <v>31718588.809999999</v>
      </c>
      <c r="F170" s="14">
        <f>Tasaus[[#This Row],[Kunnallisvero (maksuunpantu), €]]*100/Tasaus[[#This Row],[Tuloveroprosentti 2023]]</f>
        <v>498719949.8427676</v>
      </c>
      <c r="G170" s="269">
        <f>Tasaus[[#This Row],[Verotettava tulo (kunnallisvero), €]]*($D$11/100)</f>
        <v>36805532.298396252</v>
      </c>
      <c r="H170" s="14">
        <v>7027856.7602997059</v>
      </c>
      <c r="I170" s="15">
        <v>4138911.9</v>
      </c>
      <c r="J170" s="15">
        <f>SUM(Tasaus[[#This Row],[Laskennallinen kunnallisvero, €]:[Laskennallinen kiinteistövero, €]])</f>
        <v>47972300.958695956</v>
      </c>
      <c r="K170" s="15">
        <f>Tasaus[[#This Row],[Laskennallinen verotulo yhteensä, €]]/Tasaus[[#This Row],[Asukasluku 31.12.2022]]</f>
        <v>2416.740602453197</v>
      </c>
      <c r="L170" s="34">
        <f>$K$11-Tasaus[[#This Row],[Laskennallinen verotulo yhteensä, €/asukas (=tasausraja)]]</f>
        <v>-282.98060245319675</v>
      </c>
      <c r="M170" s="369">
        <v>-28.298060245319675</v>
      </c>
      <c r="N170" s="370">
        <v>-561716.49586959556</v>
      </c>
      <c r="P170" s="116"/>
      <c r="Q170" s="117"/>
      <c r="R170" s="118"/>
    </row>
    <row r="171" spans="1:18">
      <c r="A171" s="266">
        <v>531</v>
      </c>
      <c r="B171" s="13" t="s">
        <v>523</v>
      </c>
      <c r="C171" s="267">
        <v>5072</v>
      </c>
      <c r="D171" s="268">
        <v>9.11</v>
      </c>
      <c r="E171" s="14">
        <v>8922941.5800000001</v>
      </c>
      <c r="F171" s="14">
        <f>Tasaus[[#This Row],[Kunnallisvero (maksuunpantu), €]]*100/Tasaus[[#This Row],[Tuloveroprosentti 2023]]</f>
        <v>97946669.374313951</v>
      </c>
      <c r="G171" s="269">
        <f>Tasaus[[#This Row],[Verotettava tulo (kunnallisvero), €]]*($D$11/100)</f>
        <v>7228464.1998243704</v>
      </c>
      <c r="H171" s="14">
        <v>622538.56388207758</v>
      </c>
      <c r="I171" s="15">
        <v>622629.45525</v>
      </c>
      <c r="J171" s="15">
        <f>SUM(Tasaus[[#This Row],[Laskennallinen kunnallisvero, €]:[Laskennallinen kiinteistövero, €]])</f>
        <v>8473632.2189564481</v>
      </c>
      <c r="K171" s="15">
        <f>Tasaus[[#This Row],[Laskennallinen verotulo yhteensä, €]]/Tasaus[[#This Row],[Asukasluku 31.12.2022]]</f>
        <v>1670.668812885735</v>
      </c>
      <c r="L171" s="34">
        <f>$K$11-Tasaus[[#This Row],[Laskennallinen verotulo yhteensä, €/asukas (=tasausraja)]]</f>
        <v>463.09118711426527</v>
      </c>
      <c r="M171" s="369">
        <v>416.78206840283877</v>
      </c>
      <c r="N171" s="370">
        <v>2113918.6509391982</v>
      </c>
      <c r="P171" s="116"/>
      <c r="Q171" s="117"/>
      <c r="R171" s="118"/>
    </row>
    <row r="172" spans="1:18">
      <c r="A172" s="266">
        <v>535</v>
      </c>
      <c r="B172" s="13" t="s">
        <v>524</v>
      </c>
      <c r="C172" s="267">
        <v>10419</v>
      </c>
      <c r="D172" s="268">
        <v>9.36</v>
      </c>
      <c r="E172" s="14">
        <v>15406363.35</v>
      </c>
      <c r="F172" s="14">
        <f>Tasaus[[#This Row],[Kunnallisvero (maksuunpantu), €]]*100/Tasaus[[#This Row],[Tuloveroprosentti 2023]]</f>
        <v>164597899.03846154</v>
      </c>
      <c r="G172" s="269">
        <f>Tasaus[[#This Row],[Verotettava tulo (kunnallisvero), €]]*($D$11/100)</f>
        <v>12147324.949038463</v>
      </c>
      <c r="H172" s="14">
        <v>1417601.6437054053</v>
      </c>
      <c r="I172" s="15">
        <v>1334941.054</v>
      </c>
      <c r="J172" s="15">
        <f>SUM(Tasaus[[#This Row],[Laskennallinen kunnallisvero, €]:[Laskennallinen kiinteistövero, €]])</f>
        <v>14899867.646743868</v>
      </c>
      <c r="K172" s="15">
        <f>Tasaus[[#This Row],[Laskennallinen verotulo yhteensä, €]]/Tasaus[[#This Row],[Asukasluku 31.12.2022]]</f>
        <v>1430.0669590885755</v>
      </c>
      <c r="L172" s="34">
        <f>$K$11-Tasaus[[#This Row],[Laskennallinen verotulo yhteensä, €/asukas (=tasausraja)]]</f>
        <v>703.69304091142476</v>
      </c>
      <c r="M172" s="369">
        <v>633.32373682028231</v>
      </c>
      <c r="N172" s="370">
        <v>6598600.013930521</v>
      </c>
      <c r="P172" s="116"/>
      <c r="Q172" s="117"/>
      <c r="R172" s="118"/>
    </row>
    <row r="173" spans="1:18">
      <c r="A173" s="266">
        <v>536</v>
      </c>
      <c r="B173" s="13" t="s">
        <v>525</v>
      </c>
      <c r="C173" s="267">
        <v>35346</v>
      </c>
      <c r="D173" s="268">
        <v>8.36</v>
      </c>
      <c r="E173" s="14">
        <v>64970828.159999996</v>
      </c>
      <c r="F173" s="14">
        <f>Tasaus[[#This Row],[Kunnallisvero (maksuunpantu), €]]*100/Tasaus[[#This Row],[Tuloveroprosentti 2023]]</f>
        <v>777163016.26794267</v>
      </c>
      <c r="G173" s="269">
        <f>Tasaus[[#This Row],[Verotettava tulo (kunnallisvero), €]]*($D$11/100)</f>
        <v>57354630.600574173</v>
      </c>
      <c r="H173" s="14">
        <v>5816645.0941676442</v>
      </c>
      <c r="I173" s="15">
        <v>5241011.57565</v>
      </c>
      <c r="J173" s="15">
        <f>SUM(Tasaus[[#This Row],[Laskennallinen kunnallisvero, €]:[Laskennallinen kiinteistövero, €]])</f>
        <v>68412287.270391822</v>
      </c>
      <c r="K173" s="15">
        <f>Tasaus[[#This Row],[Laskennallinen verotulo yhteensä, €]]/Tasaus[[#This Row],[Asukasluku 31.12.2022]]</f>
        <v>1935.5029499912812</v>
      </c>
      <c r="L173" s="34">
        <f>$K$11-Tasaus[[#This Row],[Laskennallinen verotulo yhteensä, €/asukas (=tasausraja)]]</f>
        <v>198.25705000871903</v>
      </c>
      <c r="M173" s="369">
        <v>178.43134500784714</v>
      </c>
      <c r="N173" s="370">
        <v>6306834.3206473654</v>
      </c>
      <c r="P173" s="116"/>
      <c r="Q173" s="117"/>
      <c r="R173" s="118"/>
    </row>
    <row r="174" spans="1:18">
      <c r="A174" s="266">
        <v>538</v>
      </c>
      <c r="B174" s="13" t="s">
        <v>526</v>
      </c>
      <c r="C174" s="267">
        <v>4644</v>
      </c>
      <c r="D174" s="268">
        <v>8.8599999999999959</v>
      </c>
      <c r="E174" s="14">
        <v>8538004.9000000004</v>
      </c>
      <c r="F174" s="14">
        <f>Tasaus[[#This Row],[Kunnallisvero (maksuunpantu), €]]*100/Tasaus[[#This Row],[Tuloveroprosentti 2023]]</f>
        <v>96365743.792325094</v>
      </c>
      <c r="G174" s="269">
        <f>Tasaus[[#This Row],[Verotettava tulo (kunnallisvero), €]]*($D$11/100)</f>
        <v>7111791.8918735925</v>
      </c>
      <c r="H174" s="14">
        <v>305126.97015717271</v>
      </c>
      <c r="I174" s="15">
        <v>511737.91745000001</v>
      </c>
      <c r="J174" s="15">
        <f>SUM(Tasaus[[#This Row],[Laskennallinen kunnallisvero, €]:[Laskennallinen kiinteistövero, €]])</f>
        <v>7928656.7794807646</v>
      </c>
      <c r="K174" s="15">
        <f>Tasaus[[#This Row],[Laskennallinen verotulo yhteensä, €]]/Tasaus[[#This Row],[Asukasluku 31.12.2022]]</f>
        <v>1707.2904348580457</v>
      </c>
      <c r="L174" s="34">
        <f>$K$11-Tasaus[[#This Row],[Laskennallinen verotulo yhteensä, €/asukas (=tasausraja)]]</f>
        <v>426.46956514195449</v>
      </c>
      <c r="M174" s="369">
        <v>383.82260862775905</v>
      </c>
      <c r="N174" s="370">
        <v>1782472.1944673131</v>
      </c>
      <c r="P174" s="116"/>
      <c r="Q174" s="117"/>
      <c r="R174" s="118"/>
    </row>
    <row r="175" spans="1:18">
      <c r="A175" s="266">
        <v>541</v>
      </c>
      <c r="B175" s="13" t="s">
        <v>527</v>
      </c>
      <c r="C175" s="267">
        <v>9243</v>
      </c>
      <c r="D175" s="268">
        <v>8.36</v>
      </c>
      <c r="E175" s="14">
        <v>12145784.470000001</v>
      </c>
      <c r="F175" s="14">
        <f>Tasaus[[#This Row],[Kunnallisvero (maksuunpantu), €]]*100/Tasaus[[#This Row],[Tuloveroprosentti 2023]]</f>
        <v>145284503.22966507</v>
      </c>
      <c r="G175" s="269">
        <f>Tasaus[[#This Row],[Verotettava tulo (kunnallisvero), €]]*($D$11/100)</f>
        <v>10721996.338349283</v>
      </c>
      <c r="H175" s="14">
        <v>2586246.94362712</v>
      </c>
      <c r="I175" s="15">
        <v>1270389.7452499999</v>
      </c>
      <c r="J175" s="15">
        <f>SUM(Tasaus[[#This Row],[Laskennallinen kunnallisvero, €]:[Laskennallinen kiinteistövero, €]])</f>
        <v>14578633.027226401</v>
      </c>
      <c r="K175" s="15">
        <f>Tasaus[[#This Row],[Laskennallinen verotulo yhteensä, €]]/Tasaus[[#This Row],[Asukasluku 31.12.2022]]</f>
        <v>1577.2620390810778</v>
      </c>
      <c r="L175" s="34">
        <f>$K$11-Tasaus[[#This Row],[Laskennallinen verotulo yhteensä, €/asukas (=tasausraja)]]</f>
        <v>556.49796091892244</v>
      </c>
      <c r="M175" s="369">
        <v>500.84816482703019</v>
      </c>
      <c r="N175" s="370">
        <v>4629339.5874962397</v>
      </c>
      <c r="P175" s="116"/>
      <c r="Q175" s="117"/>
      <c r="R175" s="118"/>
    </row>
    <row r="176" spans="1:18">
      <c r="A176" s="266">
        <v>543</v>
      </c>
      <c r="B176" s="13" t="s">
        <v>528</v>
      </c>
      <c r="C176" s="267">
        <v>44458</v>
      </c>
      <c r="D176" s="268">
        <v>7.1099999999999994</v>
      </c>
      <c r="E176" s="14">
        <v>78648072.310000002</v>
      </c>
      <c r="F176" s="14">
        <f>Tasaus[[#This Row],[Kunnallisvero (maksuunpantu), €]]*100/Tasaus[[#This Row],[Tuloveroprosentti 2023]]</f>
        <v>1106161354.5710268</v>
      </c>
      <c r="G176" s="269">
        <f>Tasaus[[#This Row],[Verotettava tulo (kunnallisvero), €]]*($D$11/100)</f>
        <v>81634707.967341781</v>
      </c>
      <c r="H176" s="14">
        <v>8254672.4463539245</v>
      </c>
      <c r="I176" s="15">
        <v>6865028.6999500003</v>
      </c>
      <c r="J176" s="15">
        <f>SUM(Tasaus[[#This Row],[Laskennallinen kunnallisvero, €]:[Laskennallinen kiinteistövero, €]])</f>
        <v>96754409.113645703</v>
      </c>
      <c r="K176" s="15">
        <f>Tasaus[[#This Row],[Laskennallinen verotulo yhteensä, €]]/Tasaus[[#This Row],[Asukasluku 31.12.2022]]</f>
        <v>2176.3104303757636</v>
      </c>
      <c r="L176" s="34">
        <f>$K$11-Tasaus[[#This Row],[Laskennallinen verotulo yhteensä, €/asukas (=tasausraja)]]</f>
        <v>-42.550430375763426</v>
      </c>
      <c r="M176" s="369">
        <v>-4.2550430375763426</v>
      </c>
      <c r="N176" s="370">
        <v>-189170.70336456905</v>
      </c>
      <c r="P176" s="116"/>
      <c r="Q176" s="117"/>
      <c r="R176" s="118"/>
    </row>
    <row r="177" spans="1:18">
      <c r="A177" s="266">
        <v>545</v>
      </c>
      <c r="B177" s="13" t="s">
        <v>529</v>
      </c>
      <c r="C177" s="267">
        <v>9584</v>
      </c>
      <c r="D177" s="268">
        <v>8.36</v>
      </c>
      <c r="E177" s="14">
        <v>13567931.539999999</v>
      </c>
      <c r="F177" s="14">
        <f>Tasaus[[#This Row],[Kunnallisvero (maksuunpantu), €]]*100/Tasaus[[#This Row],[Tuloveroprosentti 2023]]</f>
        <v>162295831.81818184</v>
      </c>
      <c r="G177" s="269">
        <f>Tasaus[[#This Row],[Verotettava tulo (kunnallisvero), €]]*($D$11/100)</f>
        <v>11977432.388181821</v>
      </c>
      <c r="H177" s="14">
        <v>2672231.94134901</v>
      </c>
      <c r="I177" s="15">
        <v>2150204.68805</v>
      </c>
      <c r="J177" s="15">
        <f>SUM(Tasaus[[#This Row],[Laskennallinen kunnallisvero, €]:[Laskennallinen kiinteistövero, €]])</f>
        <v>16799869.01758083</v>
      </c>
      <c r="K177" s="15">
        <f>Tasaus[[#This Row],[Laskennallinen verotulo yhteensä, €]]/Tasaus[[#This Row],[Asukasluku 31.12.2022]]</f>
        <v>1752.9078691131917</v>
      </c>
      <c r="L177" s="34">
        <f>$K$11-Tasaus[[#This Row],[Laskennallinen verotulo yhteensä, €/asukas (=tasausraja)]]</f>
        <v>380.85213088680848</v>
      </c>
      <c r="M177" s="369">
        <v>342.76691779812762</v>
      </c>
      <c r="N177" s="370">
        <v>3285078.140177255</v>
      </c>
      <c r="P177" s="116"/>
      <c r="Q177" s="117"/>
      <c r="R177" s="118"/>
    </row>
    <row r="178" spans="1:18">
      <c r="A178" s="266">
        <v>560</v>
      </c>
      <c r="B178" s="13" t="s">
        <v>530</v>
      </c>
      <c r="C178" s="267">
        <v>15735</v>
      </c>
      <c r="D178" s="268">
        <v>8.6099999999999959</v>
      </c>
      <c r="E178" s="14">
        <v>25073350.579999998</v>
      </c>
      <c r="F178" s="14">
        <f>Tasaus[[#This Row],[Kunnallisvero (maksuunpantu), €]]*100/Tasaus[[#This Row],[Tuloveroprosentti 2023]]</f>
        <v>291211969.57026726</v>
      </c>
      <c r="G178" s="269">
        <f>Tasaus[[#This Row],[Verotettava tulo (kunnallisvero), €]]*($D$11/100)</f>
        <v>21491443.354285724</v>
      </c>
      <c r="H178" s="14">
        <v>2430480.0514945341</v>
      </c>
      <c r="I178" s="15">
        <v>2294923.0858000005</v>
      </c>
      <c r="J178" s="15">
        <f>SUM(Tasaus[[#This Row],[Laskennallinen kunnallisvero, €]:[Laskennallinen kiinteistövero, €]])</f>
        <v>26216846.491580259</v>
      </c>
      <c r="K178" s="15">
        <f>Tasaus[[#This Row],[Laskennallinen verotulo yhteensä, €]]/Tasaus[[#This Row],[Asukasluku 31.12.2022]]</f>
        <v>1666.1484900908968</v>
      </c>
      <c r="L178" s="34">
        <f>$K$11-Tasaus[[#This Row],[Laskennallinen verotulo yhteensä, €/asukas (=tasausraja)]]</f>
        <v>467.61150990910346</v>
      </c>
      <c r="M178" s="369">
        <v>420.85035891819314</v>
      </c>
      <c r="N178" s="370">
        <v>6622080.3975777691</v>
      </c>
      <c r="P178" s="116"/>
      <c r="Q178" s="117"/>
      <c r="R178" s="118"/>
    </row>
    <row r="179" spans="1:18">
      <c r="A179" s="266">
        <v>561</v>
      </c>
      <c r="B179" s="13" t="s">
        <v>531</v>
      </c>
      <c r="C179" s="267">
        <v>1317</v>
      </c>
      <c r="D179" s="268">
        <v>8.36</v>
      </c>
      <c r="E179" s="14">
        <v>1837306.55</v>
      </c>
      <c r="F179" s="14">
        <f>Tasaus[[#This Row],[Kunnallisvero (maksuunpantu), €]]*100/Tasaus[[#This Row],[Tuloveroprosentti 2023]]</f>
        <v>21977351.076555025</v>
      </c>
      <c r="G179" s="269">
        <f>Tasaus[[#This Row],[Verotettava tulo (kunnallisvero), €]]*($D$11/100)</f>
        <v>1621928.5094497609</v>
      </c>
      <c r="H179" s="14">
        <v>460634.0318816767</v>
      </c>
      <c r="I179" s="15">
        <v>235327.24394999997</v>
      </c>
      <c r="J179" s="15">
        <f>SUM(Tasaus[[#This Row],[Laskennallinen kunnallisvero, €]:[Laskennallinen kiinteistövero, €]])</f>
        <v>2317889.7852814374</v>
      </c>
      <c r="K179" s="15">
        <f>Tasaus[[#This Row],[Laskennallinen verotulo yhteensä, €]]/Tasaus[[#This Row],[Asukasluku 31.12.2022]]</f>
        <v>1759.9770579206056</v>
      </c>
      <c r="L179" s="34">
        <f>$K$11-Tasaus[[#This Row],[Laskennallinen verotulo yhteensä, €/asukas (=tasausraja)]]</f>
        <v>373.78294207939462</v>
      </c>
      <c r="M179" s="369">
        <v>336.40464787145515</v>
      </c>
      <c r="N179" s="370">
        <v>443044.92124670645</v>
      </c>
      <c r="P179" s="116"/>
      <c r="Q179" s="117"/>
      <c r="R179" s="118"/>
    </row>
    <row r="180" spans="1:18">
      <c r="A180" s="266">
        <v>562</v>
      </c>
      <c r="B180" s="13" t="s">
        <v>180</v>
      </c>
      <c r="C180" s="267">
        <v>8935</v>
      </c>
      <c r="D180" s="268">
        <v>9.36</v>
      </c>
      <c r="E180" s="14">
        <v>15434163.970000001</v>
      </c>
      <c r="F180" s="14">
        <f>Tasaus[[#This Row],[Kunnallisvero (maksuunpantu), €]]*100/Tasaus[[#This Row],[Tuloveroprosentti 2023]]</f>
        <v>164894914.20940173</v>
      </c>
      <c r="G180" s="269">
        <f>Tasaus[[#This Row],[Verotettava tulo (kunnallisvero), €]]*($D$11/100)</f>
        <v>12169244.668653848</v>
      </c>
      <c r="H180" s="14">
        <v>1625228.7805869416</v>
      </c>
      <c r="I180" s="15">
        <v>1512182.1554</v>
      </c>
      <c r="J180" s="15">
        <f>SUM(Tasaus[[#This Row],[Laskennallinen kunnallisvero, €]:[Laskennallinen kiinteistövero, €]])</f>
        <v>15306655.604640789</v>
      </c>
      <c r="K180" s="15">
        <f>Tasaus[[#This Row],[Laskennallinen verotulo yhteensä, €]]/Tasaus[[#This Row],[Asukasluku 31.12.2022]]</f>
        <v>1713.1119870890643</v>
      </c>
      <c r="L180" s="34">
        <f>$K$11-Tasaus[[#This Row],[Laskennallinen verotulo yhteensä, €/asukas (=tasausraja)]]</f>
        <v>420.6480129109359</v>
      </c>
      <c r="M180" s="369">
        <v>378.5832116198423</v>
      </c>
      <c r="N180" s="370">
        <v>3382640.9958232911</v>
      </c>
      <c r="P180" s="116"/>
      <c r="Q180" s="117"/>
      <c r="R180" s="118"/>
    </row>
    <row r="181" spans="1:18">
      <c r="A181" s="266">
        <v>563</v>
      </c>
      <c r="B181" s="13" t="s">
        <v>532</v>
      </c>
      <c r="C181" s="267">
        <v>7025</v>
      </c>
      <c r="D181" s="268">
        <v>9.36</v>
      </c>
      <c r="E181" s="14">
        <v>11169931.720000001</v>
      </c>
      <c r="F181" s="14">
        <f>Tasaus[[#This Row],[Kunnallisvero (maksuunpantu), €]]*100/Tasaus[[#This Row],[Tuloveroprosentti 2023]]</f>
        <v>119336877.35042736</v>
      </c>
      <c r="G181" s="269">
        <f>Tasaus[[#This Row],[Verotettava tulo (kunnallisvero), €]]*($D$11/100)</f>
        <v>8807061.5484615397</v>
      </c>
      <c r="H181" s="14">
        <v>1570676.2543689082</v>
      </c>
      <c r="I181" s="15">
        <v>944438.83149999985</v>
      </c>
      <c r="J181" s="15">
        <f>SUM(Tasaus[[#This Row],[Laskennallinen kunnallisvero, €]:[Laskennallinen kiinteistövero, €]])</f>
        <v>11322176.634330448</v>
      </c>
      <c r="K181" s="15">
        <f>Tasaus[[#This Row],[Laskennallinen verotulo yhteensä, €]]/Tasaus[[#This Row],[Asukasluku 31.12.2022]]</f>
        <v>1611.6977415417007</v>
      </c>
      <c r="L181" s="34">
        <f>$K$11-Tasaus[[#This Row],[Laskennallinen verotulo yhteensä, €/asukas (=tasausraja)]]</f>
        <v>522.06225845829954</v>
      </c>
      <c r="M181" s="369">
        <v>469.85603261246962</v>
      </c>
      <c r="N181" s="370">
        <v>3300738.6291025989</v>
      </c>
      <c r="P181" s="116"/>
      <c r="Q181" s="117"/>
      <c r="R181" s="118"/>
    </row>
    <row r="182" spans="1:18">
      <c r="A182" s="266">
        <v>564</v>
      </c>
      <c r="B182" s="13" t="s">
        <v>533</v>
      </c>
      <c r="C182" s="267">
        <v>211848</v>
      </c>
      <c r="D182" s="268">
        <v>7.8599999999999994</v>
      </c>
      <c r="E182" s="14">
        <v>354543242.77999997</v>
      </c>
      <c r="F182" s="14">
        <f>Tasaus[[#This Row],[Kunnallisvero (maksuunpantu), €]]*100/Tasaus[[#This Row],[Tuloveroprosentti 2023]]</f>
        <v>4510728279.6437664</v>
      </c>
      <c r="G182" s="269">
        <f>Tasaus[[#This Row],[Verotettava tulo (kunnallisvero), €]]*($D$11/100)</f>
        <v>332891747.03770995</v>
      </c>
      <c r="H182" s="14">
        <v>45693869.003638625</v>
      </c>
      <c r="I182" s="15">
        <v>34278123.550849997</v>
      </c>
      <c r="J182" s="15">
        <f>SUM(Tasaus[[#This Row],[Laskennallinen kunnallisvero, €]:[Laskennallinen kiinteistövero, €]])</f>
        <v>412863739.59219855</v>
      </c>
      <c r="K182" s="15">
        <f>Tasaus[[#This Row],[Laskennallinen verotulo yhteensä, €]]/Tasaus[[#This Row],[Asukasluku 31.12.2022]]</f>
        <v>1948.8677711953785</v>
      </c>
      <c r="L182" s="34">
        <f>$K$11-Tasaus[[#This Row],[Laskennallinen verotulo yhteensä, €/asukas (=tasausraja)]]</f>
        <v>184.89222880462171</v>
      </c>
      <c r="M182" s="369">
        <v>166.40300592415954</v>
      </c>
      <c r="N182" s="370">
        <v>35252143.999021351</v>
      </c>
      <c r="P182" s="116"/>
      <c r="Q182" s="117"/>
      <c r="R182" s="118"/>
    </row>
    <row r="183" spans="1:18">
      <c r="A183" s="266">
        <v>576</v>
      </c>
      <c r="B183" s="13" t="s">
        <v>534</v>
      </c>
      <c r="C183" s="267">
        <v>2750</v>
      </c>
      <c r="D183" s="268">
        <v>8.36</v>
      </c>
      <c r="E183" s="14">
        <v>3689573.29</v>
      </c>
      <c r="F183" s="14">
        <f>Tasaus[[#This Row],[Kunnallisvero (maksuunpantu), €]]*100/Tasaus[[#This Row],[Tuloveroprosentti 2023]]</f>
        <v>44133651.794258378</v>
      </c>
      <c r="G183" s="269">
        <f>Tasaus[[#This Row],[Verotettava tulo (kunnallisvero), €]]*($D$11/100)</f>
        <v>3257063.5024162685</v>
      </c>
      <c r="H183" s="14">
        <v>826489.44189850218</v>
      </c>
      <c r="I183" s="15">
        <v>836843.55154999997</v>
      </c>
      <c r="J183" s="15">
        <f>SUM(Tasaus[[#This Row],[Laskennallinen kunnallisvero, €]:[Laskennallinen kiinteistövero, €]])</f>
        <v>4920396.4958647704</v>
      </c>
      <c r="K183" s="15">
        <f>Tasaus[[#This Row],[Laskennallinen verotulo yhteensä, €]]/Tasaus[[#This Row],[Asukasluku 31.12.2022]]</f>
        <v>1789.2350894053711</v>
      </c>
      <c r="L183" s="34">
        <f>$K$11-Tasaus[[#This Row],[Laskennallinen verotulo yhteensä, €/asukas (=tasausraja)]]</f>
        <v>344.52491059462909</v>
      </c>
      <c r="M183" s="369">
        <v>310.0724195351662</v>
      </c>
      <c r="N183" s="370">
        <v>852699.15372170706</v>
      </c>
      <c r="P183" s="116"/>
      <c r="Q183" s="117"/>
      <c r="R183" s="118"/>
    </row>
    <row r="184" spans="1:18">
      <c r="A184" s="266">
        <v>577</v>
      </c>
      <c r="B184" s="13" t="s">
        <v>535</v>
      </c>
      <c r="C184" s="267">
        <v>11138</v>
      </c>
      <c r="D184" s="268">
        <v>8.11</v>
      </c>
      <c r="E184" s="14">
        <v>19397240</v>
      </c>
      <c r="F184" s="14">
        <f>Tasaus[[#This Row],[Kunnallisvero (maksuunpantu), €]]*100/Tasaus[[#This Row],[Tuloveroprosentti 2023]]</f>
        <v>239176818.74229348</v>
      </c>
      <c r="G184" s="269">
        <f>Tasaus[[#This Row],[Verotettava tulo (kunnallisvero), €]]*($D$11/100)</f>
        <v>17651249.223181259</v>
      </c>
      <c r="H184" s="14">
        <v>1998134.4713032891</v>
      </c>
      <c r="I184" s="15">
        <v>1442418.0667000003</v>
      </c>
      <c r="J184" s="15">
        <f>SUM(Tasaus[[#This Row],[Laskennallinen kunnallisvero, €]:[Laskennallinen kiinteistövero, €]])</f>
        <v>21091801.761184547</v>
      </c>
      <c r="K184" s="15">
        <f>Tasaus[[#This Row],[Laskennallinen verotulo yhteensä, €]]/Tasaus[[#This Row],[Asukasluku 31.12.2022]]</f>
        <v>1893.679454227379</v>
      </c>
      <c r="L184" s="34">
        <f>$K$11-Tasaus[[#This Row],[Laskennallinen verotulo yhteensä, €/asukas (=tasausraja)]]</f>
        <v>240.08054577262124</v>
      </c>
      <c r="M184" s="369">
        <v>216.07249119535911</v>
      </c>
      <c r="N184" s="370">
        <v>2406615.4069339097</v>
      </c>
      <c r="P184" s="116"/>
      <c r="Q184" s="117"/>
      <c r="R184" s="118"/>
    </row>
    <row r="185" spans="1:18">
      <c r="A185" s="266">
        <v>578</v>
      </c>
      <c r="B185" s="13" t="s">
        <v>536</v>
      </c>
      <c r="C185" s="267">
        <v>3100</v>
      </c>
      <c r="D185" s="268">
        <v>9.36</v>
      </c>
      <c r="E185" s="14">
        <v>4692228.5</v>
      </c>
      <c r="F185" s="14">
        <f>Tasaus[[#This Row],[Kunnallisvero (maksuunpantu), €]]*100/Tasaus[[#This Row],[Tuloveroprosentti 2023]]</f>
        <v>50130646.367521368</v>
      </c>
      <c r="G185" s="269">
        <f>Tasaus[[#This Row],[Verotettava tulo (kunnallisvero), €]]*($D$11/100)</f>
        <v>3699641.701923077</v>
      </c>
      <c r="H185" s="14">
        <v>461479.28930879856</v>
      </c>
      <c r="I185" s="15">
        <v>510429.37544999999</v>
      </c>
      <c r="J185" s="15">
        <f>SUM(Tasaus[[#This Row],[Laskennallinen kunnallisvero, €]:[Laskennallinen kiinteistövero, €]])</f>
        <v>4671550.3666818757</v>
      </c>
      <c r="K185" s="15">
        <f>Tasaus[[#This Row],[Laskennallinen verotulo yhteensä, €]]/Tasaus[[#This Row],[Asukasluku 31.12.2022]]</f>
        <v>1506.9517311877019</v>
      </c>
      <c r="L185" s="34">
        <f>$K$11-Tasaus[[#This Row],[Laskennallinen verotulo yhteensä, €/asukas (=tasausraja)]]</f>
        <v>626.80826881229837</v>
      </c>
      <c r="M185" s="369">
        <v>564.12744193106857</v>
      </c>
      <c r="N185" s="370">
        <v>1748795.0699863127</v>
      </c>
      <c r="P185" s="116"/>
      <c r="Q185" s="117"/>
      <c r="R185" s="118"/>
    </row>
    <row r="186" spans="1:18">
      <c r="A186" s="266">
        <v>580</v>
      </c>
      <c r="B186" s="13" t="s">
        <v>537</v>
      </c>
      <c r="C186" s="267">
        <v>4438</v>
      </c>
      <c r="D186" s="268">
        <v>8.86</v>
      </c>
      <c r="E186" s="14">
        <v>6386723.3700000001</v>
      </c>
      <c r="F186" s="14">
        <f>Tasaus[[#This Row],[Kunnallisvero (maksuunpantu), €]]*100/Tasaus[[#This Row],[Tuloveroprosentti 2023]]</f>
        <v>72084913.882618517</v>
      </c>
      <c r="G186" s="269">
        <f>Tasaus[[#This Row],[Verotettava tulo (kunnallisvero), €]]*($D$11/100)</f>
        <v>5319866.6445372468</v>
      </c>
      <c r="H186" s="14">
        <v>908623.16359243682</v>
      </c>
      <c r="I186" s="15">
        <v>774089.99065000005</v>
      </c>
      <c r="J186" s="15">
        <f>SUM(Tasaus[[#This Row],[Laskennallinen kunnallisvero, €]:[Laskennallinen kiinteistövero, €]])</f>
        <v>7002579.7987796832</v>
      </c>
      <c r="K186" s="15">
        <f>Tasaus[[#This Row],[Laskennallinen verotulo yhteensä, €]]/Tasaus[[#This Row],[Asukasluku 31.12.2022]]</f>
        <v>1577.8683638530156</v>
      </c>
      <c r="L186" s="34">
        <f>$K$11-Tasaus[[#This Row],[Laskennallinen verotulo yhteensä, €/asukas (=tasausraja)]]</f>
        <v>555.89163614698464</v>
      </c>
      <c r="M186" s="369">
        <v>500.30247253228617</v>
      </c>
      <c r="N186" s="370">
        <v>2220342.3730982859</v>
      </c>
      <c r="P186" s="116"/>
      <c r="Q186" s="117"/>
      <c r="R186" s="118"/>
    </row>
    <row r="187" spans="1:18">
      <c r="A187" s="266">
        <v>581</v>
      </c>
      <c r="B187" s="13" t="s">
        <v>538</v>
      </c>
      <c r="C187" s="267">
        <v>6240</v>
      </c>
      <c r="D187" s="268">
        <v>9.3599999999999959</v>
      </c>
      <c r="E187" s="14">
        <v>9700423.1400000006</v>
      </c>
      <c r="F187" s="14">
        <f>Tasaus[[#This Row],[Kunnallisvero (maksuunpantu), €]]*100/Tasaus[[#This Row],[Tuloveroprosentti 2023]]</f>
        <v>103636999.3589744</v>
      </c>
      <c r="G187" s="269">
        <f>Tasaus[[#This Row],[Verotettava tulo (kunnallisvero), €]]*($D$11/100)</f>
        <v>7648410.5526923109</v>
      </c>
      <c r="H187" s="14">
        <v>2047280.871893689</v>
      </c>
      <c r="I187" s="15">
        <v>1102479.6946</v>
      </c>
      <c r="J187" s="15">
        <f>SUM(Tasaus[[#This Row],[Laskennallinen kunnallisvero, €]:[Laskennallinen kiinteistövero, €]])</f>
        <v>10798171.119185999</v>
      </c>
      <c r="K187" s="15">
        <f>Tasaus[[#This Row],[Laskennallinen verotulo yhteensä, €]]/Tasaus[[#This Row],[Asukasluku 31.12.2022]]</f>
        <v>1730.4761408951922</v>
      </c>
      <c r="L187" s="34">
        <f>$K$11-Tasaus[[#This Row],[Laskennallinen verotulo yhteensä, €/asukas (=tasausraja)]]</f>
        <v>403.28385910480802</v>
      </c>
      <c r="M187" s="369">
        <v>362.95547319432723</v>
      </c>
      <c r="N187" s="370">
        <v>2264842.1527326019</v>
      </c>
      <c r="P187" s="116"/>
      <c r="Q187" s="117"/>
      <c r="R187" s="118"/>
    </row>
    <row r="188" spans="1:18">
      <c r="A188" s="266">
        <v>583</v>
      </c>
      <c r="B188" s="13" t="s">
        <v>539</v>
      </c>
      <c r="C188" s="267">
        <v>947</v>
      </c>
      <c r="D188" s="268">
        <v>9.36</v>
      </c>
      <c r="E188" s="14">
        <v>1554470.28</v>
      </c>
      <c r="F188" s="14">
        <f>Tasaus[[#This Row],[Kunnallisvero (maksuunpantu), €]]*100/Tasaus[[#This Row],[Tuloveroprosentti 2023]]</f>
        <v>16607588.461538462</v>
      </c>
      <c r="G188" s="269">
        <f>Tasaus[[#This Row],[Verotettava tulo (kunnallisvero), €]]*($D$11/100)</f>
        <v>1225640.0284615385</v>
      </c>
      <c r="H188" s="14">
        <v>225629.4669397058</v>
      </c>
      <c r="I188" s="15">
        <v>460793.14254999993</v>
      </c>
      <c r="J188" s="15">
        <f>SUM(Tasaus[[#This Row],[Laskennallinen kunnallisvero, €]:[Laskennallinen kiinteistövero, €]])</f>
        <v>1912062.6379512444</v>
      </c>
      <c r="K188" s="15">
        <f>Tasaus[[#This Row],[Laskennallinen verotulo yhteensä, €]]/Tasaus[[#This Row],[Asukasluku 31.12.2022]]</f>
        <v>2019.0735353233838</v>
      </c>
      <c r="L188" s="34">
        <f>$K$11-Tasaus[[#This Row],[Laskennallinen verotulo yhteensä, €/asukas (=tasausraja)]]</f>
        <v>114.68646467661642</v>
      </c>
      <c r="M188" s="369">
        <v>103.21781820895478</v>
      </c>
      <c r="N188" s="370">
        <v>97747.273843880175</v>
      </c>
      <c r="P188" s="116"/>
      <c r="Q188" s="117"/>
      <c r="R188" s="118"/>
    </row>
    <row r="189" spans="1:18">
      <c r="A189" s="266">
        <v>584</v>
      </c>
      <c r="B189" s="13" t="s">
        <v>540</v>
      </c>
      <c r="C189" s="267">
        <v>2653</v>
      </c>
      <c r="D189" s="268">
        <v>8.86</v>
      </c>
      <c r="E189" s="14">
        <v>3207793.95</v>
      </c>
      <c r="F189" s="14">
        <f>Tasaus[[#This Row],[Kunnallisvero (maksuunpantu), €]]*100/Tasaus[[#This Row],[Tuloveroprosentti 2023]]</f>
        <v>36205349.322799101</v>
      </c>
      <c r="G189" s="269">
        <f>Tasaus[[#This Row],[Verotettava tulo (kunnallisvero), €]]*($D$11/100)</f>
        <v>2671954.7800225737</v>
      </c>
      <c r="H189" s="14">
        <v>566648.61184982909</v>
      </c>
      <c r="I189" s="15">
        <v>320852.92029999994</v>
      </c>
      <c r="J189" s="15">
        <f>SUM(Tasaus[[#This Row],[Laskennallinen kunnallisvero, €]:[Laskennallinen kiinteistövero, €]])</f>
        <v>3559456.3121724026</v>
      </c>
      <c r="K189" s="15">
        <f>Tasaus[[#This Row],[Laskennallinen verotulo yhteensä, €]]/Tasaus[[#This Row],[Asukasluku 31.12.2022]]</f>
        <v>1341.6721870231445</v>
      </c>
      <c r="L189" s="34">
        <f>$K$11-Tasaus[[#This Row],[Laskennallinen verotulo yhteensä, €/asukas (=tasausraja)]]</f>
        <v>792.08781297685573</v>
      </c>
      <c r="M189" s="369">
        <v>712.87903167917023</v>
      </c>
      <c r="N189" s="370">
        <v>1891268.0710448385</v>
      </c>
      <c r="P189" s="116"/>
      <c r="Q189" s="117"/>
      <c r="R189" s="118"/>
    </row>
    <row r="190" spans="1:18">
      <c r="A190" s="266">
        <v>588</v>
      </c>
      <c r="B190" s="13" t="s">
        <v>541</v>
      </c>
      <c r="C190" s="267">
        <v>0</v>
      </c>
      <c r="D190" s="268">
        <v>8.86</v>
      </c>
      <c r="E190" s="14">
        <v>0</v>
      </c>
      <c r="F190" s="14">
        <f>Tasaus[[#This Row],[Kunnallisvero (maksuunpantu), €]]*100/Tasaus[[#This Row],[Tuloveroprosentti 2023]]</f>
        <v>0</v>
      </c>
      <c r="G190" s="269">
        <v>0</v>
      </c>
      <c r="H190" s="14">
        <v>0</v>
      </c>
      <c r="I190" s="15">
        <v>0</v>
      </c>
      <c r="J190" s="15">
        <v>0</v>
      </c>
      <c r="K190" s="15">
        <v>0</v>
      </c>
      <c r="L190" s="34">
        <v>0</v>
      </c>
      <c r="M190" s="369">
        <v>0</v>
      </c>
      <c r="N190" s="370">
        <v>0</v>
      </c>
      <c r="P190" s="116"/>
      <c r="Q190" s="117"/>
      <c r="R190" s="118"/>
    </row>
    <row r="191" spans="1:18">
      <c r="A191" s="266">
        <v>592</v>
      </c>
      <c r="B191" s="13" t="s">
        <v>542</v>
      </c>
      <c r="C191" s="267">
        <v>3651</v>
      </c>
      <c r="D191" s="268">
        <v>9.11</v>
      </c>
      <c r="E191" s="14">
        <v>5759540.1500000004</v>
      </c>
      <c r="F191" s="14">
        <f>Tasaus[[#This Row],[Kunnallisvero (maksuunpantu), €]]*100/Tasaus[[#This Row],[Tuloveroprosentti 2023]]</f>
        <v>63222175.08232712</v>
      </c>
      <c r="G191" s="269">
        <f>Tasaus[[#This Row],[Verotettava tulo (kunnallisvero), €]]*($D$11/100)</f>
        <v>4665796.5210757414</v>
      </c>
      <c r="H191" s="14">
        <v>710366.27310803544</v>
      </c>
      <c r="I191" s="15">
        <v>501846.17680000002</v>
      </c>
      <c r="J191" s="15">
        <f>SUM(Tasaus[[#This Row],[Laskennallinen kunnallisvero, €]:[Laskennallinen kiinteistövero, €]])</f>
        <v>5878008.9709837772</v>
      </c>
      <c r="K191" s="15">
        <f>Tasaus[[#This Row],[Laskennallinen verotulo yhteensä, €]]/Tasaus[[#This Row],[Asukasluku 31.12.2022]]</f>
        <v>1609.9723283987339</v>
      </c>
      <c r="L191" s="34">
        <f>$K$11-Tasaus[[#This Row],[Laskennallinen verotulo yhteensä, €/asukas (=tasausraja)]]</f>
        <v>523.78767160126631</v>
      </c>
      <c r="M191" s="369">
        <v>471.40890444113967</v>
      </c>
      <c r="N191" s="370">
        <v>1721113.910114601</v>
      </c>
      <c r="P191" s="116"/>
      <c r="Q191" s="117"/>
      <c r="R191" s="118"/>
    </row>
    <row r="192" spans="1:18">
      <c r="A192" s="266">
        <v>593</v>
      </c>
      <c r="B192" s="13" t="s">
        <v>543</v>
      </c>
      <c r="C192" s="267">
        <v>17077</v>
      </c>
      <c r="D192" s="268">
        <v>9.36</v>
      </c>
      <c r="E192" s="14">
        <v>29039105.809999999</v>
      </c>
      <c r="F192" s="14">
        <f>Tasaus[[#This Row],[Kunnallisvero (maksuunpantu), €]]*100/Tasaus[[#This Row],[Tuloveroprosentti 2023]]</f>
        <v>310246856.94444448</v>
      </c>
      <c r="G192" s="269">
        <f>Tasaus[[#This Row],[Verotettava tulo (kunnallisvero), €]]*($D$11/100)</f>
        <v>22896218.042500004</v>
      </c>
      <c r="H192" s="14">
        <v>3463950.4683468663</v>
      </c>
      <c r="I192" s="15">
        <v>2499326.8537000003</v>
      </c>
      <c r="J192" s="15">
        <f>SUM(Tasaus[[#This Row],[Laskennallinen kunnallisvero, €]:[Laskennallinen kiinteistövero, €]])</f>
        <v>28859495.364546873</v>
      </c>
      <c r="K192" s="15">
        <f>Tasaus[[#This Row],[Laskennallinen verotulo yhteensä, €]]/Tasaus[[#This Row],[Asukasluku 31.12.2022]]</f>
        <v>1689.9628368300564</v>
      </c>
      <c r="L192" s="34">
        <f>$K$11-Tasaus[[#This Row],[Laskennallinen verotulo yhteensä, €/asukas (=tasausraja)]]</f>
        <v>443.79716316994381</v>
      </c>
      <c r="M192" s="369">
        <v>399.41744685294947</v>
      </c>
      <c r="N192" s="370">
        <v>6820851.7399078179</v>
      </c>
      <c r="P192" s="116"/>
      <c r="Q192" s="117"/>
      <c r="R192" s="118"/>
    </row>
    <row r="193" spans="1:18">
      <c r="A193" s="266">
        <v>595</v>
      </c>
      <c r="B193" s="13" t="s">
        <v>544</v>
      </c>
      <c r="C193" s="267">
        <v>4140</v>
      </c>
      <c r="D193" s="268">
        <v>9.1099999999999959</v>
      </c>
      <c r="E193" s="14">
        <v>5254794.5199999996</v>
      </c>
      <c r="F193" s="14">
        <f>Tasaus[[#This Row],[Kunnallisvero (maksuunpantu), €]]*100/Tasaus[[#This Row],[Tuloveroprosentti 2023]]</f>
        <v>57681608.342480808</v>
      </c>
      <c r="G193" s="269">
        <f>Tasaus[[#This Row],[Verotettava tulo (kunnallisvero), €]]*($D$11/100)</f>
        <v>4256902.6956750844</v>
      </c>
      <c r="H193" s="14">
        <v>1196322.9884329829</v>
      </c>
      <c r="I193" s="15">
        <v>663754.37435000006</v>
      </c>
      <c r="J193" s="15">
        <f>SUM(Tasaus[[#This Row],[Laskennallinen kunnallisvero, €]:[Laskennallinen kiinteistövero, €]])</f>
        <v>6116980.0584580675</v>
      </c>
      <c r="K193" s="15">
        <f>Tasaus[[#This Row],[Laskennallinen verotulo yhteensä, €]]/Tasaus[[#This Row],[Asukasluku 31.12.2022]]</f>
        <v>1477.5314150864897</v>
      </c>
      <c r="L193" s="34">
        <f>$K$11-Tasaus[[#This Row],[Laskennallinen verotulo yhteensä, €/asukas (=tasausraja)]]</f>
        <v>656.22858491351053</v>
      </c>
      <c r="M193" s="369">
        <v>590.60572642215948</v>
      </c>
      <c r="N193" s="370">
        <v>2445107.7073877403</v>
      </c>
      <c r="P193" s="116"/>
      <c r="Q193" s="117"/>
      <c r="R193" s="118"/>
    </row>
    <row r="194" spans="1:18">
      <c r="A194" s="266">
        <v>598</v>
      </c>
      <c r="B194" s="13" t="s">
        <v>545</v>
      </c>
      <c r="C194" s="267">
        <v>19207</v>
      </c>
      <c r="D194" s="268">
        <v>8.61</v>
      </c>
      <c r="E194" s="14">
        <v>33501090.390000001</v>
      </c>
      <c r="F194" s="14">
        <f>Tasaus[[#This Row],[Kunnallisvero (maksuunpantu), €]]*100/Tasaus[[#This Row],[Tuloveroprosentti 2023]]</f>
        <v>389095126.48083627</v>
      </c>
      <c r="G194" s="269">
        <f>Tasaus[[#This Row],[Verotettava tulo (kunnallisvero), €]]*($D$11/100)</f>
        <v>28715220.334285717</v>
      </c>
      <c r="H194" s="14">
        <v>7282132.9789531594</v>
      </c>
      <c r="I194" s="15">
        <v>3316262.2188500003</v>
      </c>
      <c r="J194" s="15">
        <f>SUM(Tasaus[[#This Row],[Laskennallinen kunnallisvero, €]:[Laskennallinen kiinteistövero, €]])</f>
        <v>39313615.532088876</v>
      </c>
      <c r="K194" s="15">
        <f>Tasaus[[#This Row],[Laskennallinen verotulo yhteensä, €]]/Tasaus[[#This Row],[Asukasluku 31.12.2022]]</f>
        <v>2046.8378993121714</v>
      </c>
      <c r="L194" s="34">
        <f>$K$11-Tasaus[[#This Row],[Laskennallinen verotulo yhteensä, €/asukas (=tasausraja)]]</f>
        <v>86.922100687828788</v>
      </c>
      <c r="M194" s="369">
        <v>78.229890619045918</v>
      </c>
      <c r="N194" s="370">
        <v>1502561.509120015</v>
      </c>
      <c r="P194" s="116"/>
      <c r="Q194" s="117"/>
      <c r="R194" s="118"/>
    </row>
    <row r="195" spans="1:18">
      <c r="A195" s="266">
        <v>599</v>
      </c>
      <c r="B195" s="13" t="s">
        <v>546</v>
      </c>
      <c r="C195" s="267">
        <v>11206</v>
      </c>
      <c r="D195" s="268">
        <v>8.36</v>
      </c>
      <c r="E195" s="14">
        <v>16282015.09</v>
      </c>
      <c r="F195" s="14">
        <f>Tasaus[[#This Row],[Kunnallisvero (maksuunpantu), €]]*100/Tasaus[[#This Row],[Tuloveroprosentti 2023]]</f>
        <v>194760946.05263159</v>
      </c>
      <c r="G195" s="269">
        <f>Tasaus[[#This Row],[Verotettava tulo (kunnallisvero), €]]*($D$11/100)</f>
        <v>14373357.818684213</v>
      </c>
      <c r="H195" s="14">
        <v>2646076.5787141402</v>
      </c>
      <c r="I195" s="15">
        <v>1428636.7967000003</v>
      </c>
      <c r="J195" s="15">
        <f>SUM(Tasaus[[#This Row],[Laskennallinen kunnallisvero, €]:[Laskennallinen kiinteistövero, €]])</f>
        <v>18448071.194098353</v>
      </c>
      <c r="K195" s="15">
        <f>Tasaus[[#This Row],[Laskennallinen verotulo yhteensä, €]]/Tasaus[[#This Row],[Asukasluku 31.12.2022]]</f>
        <v>1646.2672848561801</v>
      </c>
      <c r="L195" s="34">
        <f>$K$11-Tasaus[[#This Row],[Laskennallinen verotulo yhteensä, €/asukas (=tasausraja)]]</f>
        <v>487.49271514382008</v>
      </c>
      <c r="M195" s="369">
        <v>438.7434436294381</v>
      </c>
      <c r="N195" s="370">
        <v>4916559.0293114837</v>
      </c>
      <c r="P195" s="116"/>
      <c r="Q195" s="117"/>
      <c r="R195" s="118"/>
    </row>
    <row r="196" spans="1:18">
      <c r="A196" s="266">
        <v>601</v>
      </c>
      <c r="B196" s="13" t="s">
        <v>547</v>
      </c>
      <c r="C196" s="267">
        <v>3786</v>
      </c>
      <c r="D196" s="268">
        <v>8.36</v>
      </c>
      <c r="E196" s="14">
        <v>4792701.76</v>
      </c>
      <c r="F196" s="14">
        <f>Tasaus[[#This Row],[Kunnallisvero (maksuunpantu), €]]*100/Tasaus[[#This Row],[Tuloveroprosentti 2023]]</f>
        <v>57328968.421052635</v>
      </c>
      <c r="G196" s="269">
        <f>Tasaus[[#This Row],[Verotettava tulo (kunnallisvero), €]]*($D$11/100)</f>
        <v>4230877.8694736846</v>
      </c>
      <c r="H196" s="14">
        <v>1768059.4965517225</v>
      </c>
      <c r="I196" s="15">
        <v>529564.2723999999</v>
      </c>
      <c r="J196" s="15">
        <f>SUM(Tasaus[[#This Row],[Laskennallinen kunnallisvero, €]:[Laskennallinen kiinteistövero, €]])</f>
        <v>6528501.638425407</v>
      </c>
      <c r="K196" s="15">
        <f>Tasaus[[#This Row],[Laskennallinen verotulo yhteensä, €]]/Tasaus[[#This Row],[Asukasluku 31.12.2022]]</f>
        <v>1724.3797248878518</v>
      </c>
      <c r="L196" s="34">
        <f>$K$11-Tasaus[[#This Row],[Laskennallinen verotulo yhteensä, €/asukas (=tasausraja)]]</f>
        <v>409.38027511214841</v>
      </c>
      <c r="M196" s="369">
        <v>368.44224760093357</v>
      </c>
      <c r="N196" s="370">
        <v>1394922.3494171344</v>
      </c>
      <c r="P196" s="116"/>
      <c r="Q196" s="117"/>
      <c r="R196" s="118"/>
    </row>
    <row r="197" spans="1:18">
      <c r="A197" s="266">
        <v>604</v>
      </c>
      <c r="B197" s="13" t="s">
        <v>548</v>
      </c>
      <c r="C197" s="267">
        <v>20405</v>
      </c>
      <c r="D197" s="268">
        <v>7.8599999999999994</v>
      </c>
      <c r="E197" s="14">
        <v>41483667.799999997</v>
      </c>
      <c r="F197" s="14">
        <f>Tasaus[[#This Row],[Kunnallisvero (maksuunpantu), €]]*100/Tasaus[[#This Row],[Tuloveroprosentti 2023]]</f>
        <v>527782033.07888037</v>
      </c>
      <c r="G197" s="269">
        <f>Tasaus[[#This Row],[Verotettava tulo (kunnallisvero), €]]*($D$11/100)</f>
        <v>38950314.041221373</v>
      </c>
      <c r="H197" s="14">
        <v>5914755.3312442871</v>
      </c>
      <c r="I197" s="15">
        <v>3560396.1309000002</v>
      </c>
      <c r="J197" s="15">
        <f>SUM(Tasaus[[#This Row],[Laskennallinen kunnallisvero, €]:[Laskennallinen kiinteistövero, €]])</f>
        <v>48425465.503365666</v>
      </c>
      <c r="K197" s="15">
        <f>Tasaus[[#This Row],[Laskennallinen verotulo yhteensä, €]]/Tasaus[[#This Row],[Asukasluku 31.12.2022]]</f>
        <v>2373.2156580919218</v>
      </c>
      <c r="L197" s="34">
        <f>$K$11-Tasaus[[#This Row],[Laskennallinen verotulo yhteensä, €/asukas (=tasausraja)]]</f>
        <v>-239.45565809192158</v>
      </c>
      <c r="M197" s="369">
        <v>-23.945565809192161</v>
      </c>
      <c r="N197" s="370">
        <v>-488609.27033656603</v>
      </c>
      <c r="P197" s="116"/>
      <c r="Q197" s="117"/>
      <c r="R197" s="118"/>
    </row>
    <row r="198" spans="1:18">
      <c r="A198" s="266">
        <v>607</v>
      </c>
      <c r="B198" s="13" t="s">
        <v>549</v>
      </c>
      <c r="C198" s="267">
        <v>4084</v>
      </c>
      <c r="D198" s="268">
        <v>7.6099999999999994</v>
      </c>
      <c r="E198" s="14">
        <v>4412486.51</v>
      </c>
      <c r="F198" s="14">
        <f>Tasaus[[#This Row],[Kunnallisvero (maksuunpantu), €]]*100/Tasaus[[#This Row],[Tuloveroprosentti 2023]]</f>
        <v>57982739.947437584</v>
      </c>
      <c r="G198" s="269">
        <f>Tasaus[[#This Row],[Verotettava tulo (kunnallisvero), €]]*($D$11/100)</f>
        <v>4279126.2081208937</v>
      </c>
      <c r="H198" s="14">
        <v>1154145.2897002869</v>
      </c>
      <c r="I198" s="15">
        <v>545686.3679999999</v>
      </c>
      <c r="J198" s="15">
        <f>SUM(Tasaus[[#This Row],[Laskennallinen kunnallisvero, €]:[Laskennallinen kiinteistövero, €]])</f>
        <v>5978957.8658211799</v>
      </c>
      <c r="K198" s="15">
        <f>Tasaus[[#This Row],[Laskennallinen verotulo yhteensä, €]]/Tasaus[[#This Row],[Asukasluku 31.12.2022]]</f>
        <v>1463.9955597015621</v>
      </c>
      <c r="L198" s="34">
        <f>$K$11-Tasaus[[#This Row],[Laskennallinen verotulo yhteensä, €/asukas (=tasausraja)]]</f>
        <v>669.7644402984381</v>
      </c>
      <c r="M198" s="369">
        <v>602.78799626859427</v>
      </c>
      <c r="N198" s="370">
        <v>2461786.1767609389</v>
      </c>
      <c r="P198" s="116"/>
      <c r="Q198" s="117"/>
      <c r="R198" s="118"/>
    </row>
    <row r="199" spans="1:18">
      <c r="A199" s="266">
        <v>608</v>
      </c>
      <c r="B199" s="13" t="s">
        <v>550</v>
      </c>
      <c r="C199" s="267">
        <v>1980</v>
      </c>
      <c r="D199" s="268">
        <v>8.86</v>
      </c>
      <c r="E199" s="14">
        <v>2821165.97</v>
      </c>
      <c r="F199" s="14">
        <f>Tasaus[[#This Row],[Kunnallisvero (maksuunpantu), €]]*100/Tasaus[[#This Row],[Tuloveroprosentti 2023]]</f>
        <v>31841602.370203163</v>
      </c>
      <c r="G199" s="269">
        <f>Tasaus[[#This Row],[Verotettava tulo (kunnallisvero), €]]*($D$11/100)</f>
        <v>2349910.2549209935</v>
      </c>
      <c r="H199" s="14">
        <v>446453.32915344508</v>
      </c>
      <c r="I199" s="15">
        <v>309715.29245000001</v>
      </c>
      <c r="J199" s="15">
        <f>SUM(Tasaus[[#This Row],[Laskennallinen kunnallisvero, €]:[Laskennallinen kiinteistövero, €]])</f>
        <v>3106078.8765244386</v>
      </c>
      <c r="K199" s="15">
        <f>Tasaus[[#This Row],[Laskennallinen verotulo yhteensä, €]]/Tasaus[[#This Row],[Asukasluku 31.12.2022]]</f>
        <v>1568.726705315373</v>
      </c>
      <c r="L199" s="34">
        <f>$K$11-Tasaus[[#This Row],[Laskennallinen verotulo yhteensä, €/asukas (=tasausraja)]]</f>
        <v>565.03329468462721</v>
      </c>
      <c r="M199" s="369">
        <v>508.5299652161645</v>
      </c>
      <c r="N199" s="370">
        <v>1006889.3311280058</v>
      </c>
      <c r="P199" s="116"/>
      <c r="Q199" s="117"/>
      <c r="R199" s="118"/>
    </row>
    <row r="200" spans="1:18">
      <c r="A200" s="266">
        <v>609</v>
      </c>
      <c r="B200" s="13" t="s">
        <v>551</v>
      </c>
      <c r="C200" s="267">
        <v>83205</v>
      </c>
      <c r="D200" s="268">
        <v>8.360000000000003</v>
      </c>
      <c r="E200" s="14">
        <v>138074087.97999999</v>
      </c>
      <c r="F200" s="14">
        <f>Tasaus[[#This Row],[Kunnallisvero (maksuunpantu), €]]*100/Tasaus[[#This Row],[Tuloveroprosentti 2023]]</f>
        <v>1651603923.2057407</v>
      </c>
      <c r="G200" s="269">
        <f>Tasaus[[#This Row],[Verotettava tulo (kunnallisvero), €]]*($D$11/100)</f>
        <v>121888369.53258367</v>
      </c>
      <c r="H200" s="14">
        <v>16828766.847847432</v>
      </c>
      <c r="I200" s="15">
        <v>14866332.891900001</v>
      </c>
      <c r="J200" s="15">
        <f>SUM(Tasaus[[#This Row],[Laskennallinen kunnallisvero, €]:[Laskennallinen kiinteistövero, €]])</f>
        <v>153583469.27233112</v>
      </c>
      <c r="K200" s="15">
        <f>Tasaus[[#This Row],[Laskennallinen verotulo yhteensä, €]]/Tasaus[[#This Row],[Asukasluku 31.12.2022]]</f>
        <v>1845.8442313843052</v>
      </c>
      <c r="L200" s="34">
        <f>$K$11-Tasaus[[#This Row],[Laskennallinen verotulo yhteensä, €/asukas (=tasausraja)]]</f>
        <v>287.91576861569501</v>
      </c>
      <c r="M200" s="369">
        <v>259.12419175412555</v>
      </c>
      <c r="N200" s="370">
        <v>21560428.374902017</v>
      </c>
      <c r="P200" s="116"/>
      <c r="Q200" s="117"/>
      <c r="R200" s="118"/>
    </row>
    <row r="201" spans="1:18">
      <c r="A201" s="266">
        <v>611</v>
      </c>
      <c r="B201" s="13" t="s">
        <v>552</v>
      </c>
      <c r="C201" s="267">
        <v>5011</v>
      </c>
      <c r="D201" s="268">
        <v>7.8599999999999994</v>
      </c>
      <c r="E201" s="14">
        <v>8823696.2300000004</v>
      </c>
      <c r="F201" s="14">
        <f>Tasaus[[#This Row],[Kunnallisvero (maksuunpantu), €]]*100/Tasaus[[#This Row],[Tuloveroprosentti 2023]]</f>
        <v>112260766.28498729</v>
      </c>
      <c r="G201" s="269">
        <f>Tasaus[[#This Row],[Verotettava tulo (kunnallisvero), €]]*($D$11/100)</f>
        <v>8284844.5518320622</v>
      </c>
      <c r="H201" s="14">
        <v>449677.84967421496</v>
      </c>
      <c r="I201" s="15">
        <v>700955.98040000012</v>
      </c>
      <c r="J201" s="15">
        <f>SUM(Tasaus[[#This Row],[Laskennallinen kunnallisvero, €]:[Laskennallinen kiinteistövero, €]])</f>
        <v>9435478.3819062766</v>
      </c>
      <c r="K201" s="15">
        <f>Tasaus[[#This Row],[Laskennallinen verotulo yhteensä, €]]/Tasaus[[#This Row],[Asukasluku 31.12.2022]]</f>
        <v>1882.9531793866047</v>
      </c>
      <c r="L201" s="34">
        <f>$K$11-Tasaus[[#This Row],[Laskennallinen verotulo yhteensä, €/asukas (=tasausraja)]]</f>
        <v>250.80682061339553</v>
      </c>
      <c r="M201" s="369">
        <v>225.72613855205597</v>
      </c>
      <c r="N201" s="370">
        <v>1131113.6802843525</v>
      </c>
      <c r="P201" s="116"/>
      <c r="Q201" s="117"/>
      <c r="R201" s="118"/>
    </row>
    <row r="202" spans="1:18">
      <c r="A202" s="266">
        <v>614</v>
      </c>
      <c r="B202" s="13" t="s">
        <v>553</v>
      </c>
      <c r="C202" s="267">
        <v>2999</v>
      </c>
      <c r="D202" s="268">
        <v>9.11</v>
      </c>
      <c r="E202" s="14">
        <v>4137733.77</v>
      </c>
      <c r="F202" s="14">
        <f>Tasaus[[#This Row],[Kunnallisvero (maksuunpantu), €]]*100/Tasaus[[#This Row],[Tuloveroprosentti 2023]]</f>
        <v>45419690.120746434</v>
      </c>
      <c r="G202" s="269">
        <f>Tasaus[[#This Row],[Verotettava tulo (kunnallisvero), €]]*($D$11/100)</f>
        <v>3351973.1309110872</v>
      </c>
      <c r="H202" s="14">
        <v>629225.51326407422</v>
      </c>
      <c r="I202" s="15">
        <v>784676.40269999998</v>
      </c>
      <c r="J202" s="15">
        <f>SUM(Tasaus[[#This Row],[Laskennallinen kunnallisvero, €]:[Laskennallinen kiinteistövero, €]])</f>
        <v>4765875.0468751621</v>
      </c>
      <c r="K202" s="15">
        <f>Tasaus[[#This Row],[Laskennallinen verotulo yhteensä, €]]/Tasaus[[#This Row],[Asukasluku 31.12.2022]]</f>
        <v>1589.1547338696773</v>
      </c>
      <c r="L202" s="34">
        <f>$K$11-Tasaus[[#This Row],[Laskennallinen verotulo yhteensä, €/asukas (=tasausraja)]]</f>
        <v>544.60526613032289</v>
      </c>
      <c r="M202" s="369">
        <v>490.14473951729059</v>
      </c>
      <c r="N202" s="370">
        <v>1469944.0738123546</v>
      </c>
      <c r="P202" s="116"/>
      <c r="Q202" s="117"/>
      <c r="R202" s="118"/>
    </row>
    <row r="203" spans="1:18">
      <c r="A203" s="266">
        <v>615</v>
      </c>
      <c r="B203" s="13" t="s">
        <v>554</v>
      </c>
      <c r="C203" s="267">
        <v>7603</v>
      </c>
      <c r="D203" s="268">
        <v>8.36</v>
      </c>
      <c r="E203" s="14">
        <v>9012596.3900000006</v>
      </c>
      <c r="F203" s="14">
        <f>Tasaus[[#This Row],[Kunnallisvero (maksuunpantu), €]]*100/Tasaus[[#This Row],[Tuloveroprosentti 2023]]</f>
        <v>107806176.91387561</v>
      </c>
      <c r="G203" s="269">
        <f>Tasaus[[#This Row],[Verotettava tulo (kunnallisvero), €]]*($D$11/100)</f>
        <v>7956095.8562440202</v>
      </c>
      <c r="H203" s="14">
        <v>2239431.2087209248</v>
      </c>
      <c r="I203" s="15">
        <v>1607672.7065499998</v>
      </c>
      <c r="J203" s="15">
        <f>SUM(Tasaus[[#This Row],[Laskennallinen kunnallisvero, €]:[Laskennallinen kiinteistövero, €]])</f>
        <v>11803199.771514945</v>
      </c>
      <c r="K203" s="15">
        <f>Tasaus[[#This Row],[Laskennallinen verotulo yhteensä, €]]/Tasaus[[#This Row],[Asukasluku 31.12.2022]]</f>
        <v>1552.4397963323615</v>
      </c>
      <c r="L203" s="34">
        <f>$K$11-Tasaus[[#This Row],[Laskennallinen verotulo yhteensä, €/asukas (=tasausraja)]]</f>
        <v>581.32020366763868</v>
      </c>
      <c r="M203" s="369">
        <v>523.18818330087481</v>
      </c>
      <c r="N203" s="370">
        <v>3977799.7576365513</v>
      </c>
      <c r="P203" s="116"/>
      <c r="Q203" s="117"/>
      <c r="R203" s="118"/>
    </row>
    <row r="204" spans="1:18">
      <c r="A204" s="266">
        <v>616</v>
      </c>
      <c r="B204" s="13" t="s">
        <v>555</v>
      </c>
      <c r="C204" s="267">
        <v>1807</v>
      </c>
      <c r="D204" s="268">
        <v>8.86</v>
      </c>
      <c r="E204" s="14">
        <v>3017434.62</v>
      </c>
      <c r="F204" s="14">
        <f>Tasaus[[#This Row],[Kunnallisvero (maksuunpantu), €]]*100/Tasaus[[#This Row],[Tuloveroprosentti 2023]]</f>
        <v>34056824.153498873</v>
      </c>
      <c r="G204" s="269">
        <f>Tasaus[[#This Row],[Verotettava tulo (kunnallisvero), €]]*($D$11/100)</f>
        <v>2513393.6225282168</v>
      </c>
      <c r="H204" s="14">
        <v>212936.58978472435</v>
      </c>
      <c r="I204" s="15">
        <v>214545.2825</v>
      </c>
      <c r="J204" s="15">
        <f>SUM(Tasaus[[#This Row],[Laskennallinen kunnallisvero, €]:[Laskennallinen kiinteistövero, €]])</f>
        <v>2940875.4948129412</v>
      </c>
      <c r="K204" s="15">
        <f>Tasaus[[#This Row],[Laskennallinen verotulo yhteensä, €]]/Tasaus[[#This Row],[Asukasluku 31.12.2022]]</f>
        <v>1627.4905892711351</v>
      </c>
      <c r="L204" s="34">
        <f>$K$11-Tasaus[[#This Row],[Laskennallinen verotulo yhteensä, €/asukas (=tasausraja)]]</f>
        <v>506.26941072886507</v>
      </c>
      <c r="M204" s="369">
        <v>455.64246965597857</v>
      </c>
      <c r="N204" s="370">
        <v>823345.94266835332</v>
      </c>
      <c r="P204" s="116"/>
      <c r="Q204" s="117"/>
      <c r="R204" s="118"/>
    </row>
    <row r="205" spans="1:18">
      <c r="A205" s="266">
        <v>619</v>
      </c>
      <c r="B205" s="13" t="s">
        <v>556</v>
      </c>
      <c r="C205" s="267">
        <v>2675</v>
      </c>
      <c r="D205" s="268">
        <v>9.36</v>
      </c>
      <c r="E205" s="14">
        <v>3806395.92</v>
      </c>
      <c r="F205" s="14">
        <f>Tasaus[[#This Row],[Kunnallisvero (maksuunpantu), €]]*100/Tasaus[[#This Row],[Tuloveroprosentti 2023]]</f>
        <v>40666623.07692308</v>
      </c>
      <c r="G205" s="269">
        <f>Tasaus[[#This Row],[Verotettava tulo (kunnallisvero), €]]*($D$11/100)</f>
        <v>3001196.7830769233</v>
      </c>
      <c r="H205" s="14">
        <v>497856.80426384445</v>
      </c>
      <c r="I205" s="15">
        <v>356807.09334999998</v>
      </c>
      <c r="J205" s="15">
        <f>SUM(Tasaus[[#This Row],[Laskennallinen kunnallisvero, €]:[Laskennallinen kiinteistövero, €]])</f>
        <v>3855860.6806907682</v>
      </c>
      <c r="K205" s="15">
        <f>Tasaus[[#This Row],[Laskennallinen verotulo yhteensä, €]]/Tasaus[[#This Row],[Asukasluku 31.12.2022]]</f>
        <v>1441.4432451180442</v>
      </c>
      <c r="L205" s="34">
        <f>$K$11-Tasaus[[#This Row],[Laskennallinen verotulo yhteensä, €/asukas (=tasausraja)]]</f>
        <v>692.31675488195606</v>
      </c>
      <c r="M205" s="369">
        <v>623.08507939376045</v>
      </c>
      <c r="N205" s="370">
        <v>1666752.5873783091</v>
      </c>
      <c r="P205" s="116"/>
      <c r="Q205" s="117"/>
      <c r="R205" s="118"/>
    </row>
    <row r="206" spans="1:18">
      <c r="A206" s="266">
        <v>620</v>
      </c>
      <c r="B206" s="13" t="s">
        <v>557</v>
      </c>
      <c r="C206" s="267">
        <v>2380</v>
      </c>
      <c r="D206" s="268">
        <v>8.86</v>
      </c>
      <c r="E206" s="14">
        <v>3100022.48</v>
      </c>
      <c r="F206" s="14">
        <f>Tasaus[[#This Row],[Kunnallisvero (maksuunpantu), €]]*100/Tasaus[[#This Row],[Tuloveroprosentti 2023]]</f>
        <v>34988967.042889394</v>
      </c>
      <c r="G206" s="269">
        <f>Tasaus[[#This Row],[Verotettava tulo (kunnallisvero), €]]*($D$11/100)</f>
        <v>2582185.7677652375</v>
      </c>
      <c r="H206" s="14">
        <v>950428.90593182039</v>
      </c>
      <c r="I206" s="15">
        <v>482111.49900000001</v>
      </c>
      <c r="J206" s="15">
        <f>SUM(Tasaus[[#This Row],[Laskennallinen kunnallisvero, €]:[Laskennallinen kiinteistövero, €]])</f>
        <v>4014726.1726970579</v>
      </c>
      <c r="K206" s="15">
        <f>Tasaus[[#This Row],[Laskennallinen verotulo yhteensä, €]]/Tasaus[[#This Row],[Asukasluku 31.12.2022]]</f>
        <v>1686.8597364273353</v>
      </c>
      <c r="L206" s="34">
        <f>$K$11-Tasaus[[#This Row],[Laskennallinen verotulo yhteensä, €/asukas (=tasausraja)]]</f>
        <v>446.90026357266493</v>
      </c>
      <c r="M206" s="369">
        <v>402.21023721539842</v>
      </c>
      <c r="N206" s="370">
        <v>957260.36457264819</v>
      </c>
      <c r="P206" s="116"/>
      <c r="Q206" s="117"/>
      <c r="R206" s="118"/>
    </row>
    <row r="207" spans="1:18">
      <c r="A207" s="266">
        <v>623</v>
      </c>
      <c r="B207" s="13" t="s">
        <v>558</v>
      </c>
      <c r="C207" s="267">
        <v>2107</v>
      </c>
      <c r="D207" s="268">
        <v>6.8599999999999994</v>
      </c>
      <c r="E207" s="14">
        <v>2674157.4</v>
      </c>
      <c r="F207" s="14">
        <f>Tasaus[[#This Row],[Kunnallisvero (maksuunpantu), €]]*100/Tasaus[[#This Row],[Tuloveroprosentti 2023]]</f>
        <v>38981886.297376096</v>
      </c>
      <c r="G207" s="269">
        <f>Tasaus[[#This Row],[Verotettava tulo (kunnallisvero), €]]*($D$11/100)</f>
        <v>2876863.208746356</v>
      </c>
      <c r="H207" s="14">
        <v>1005140.9960519123</v>
      </c>
      <c r="I207" s="15">
        <v>1100855.08595</v>
      </c>
      <c r="J207" s="15">
        <f>SUM(Tasaus[[#This Row],[Laskennallinen kunnallisvero, €]:[Laskennallinen kiinteistövero, €]])</f>
        <v>4982859.2907482684</v>
      </c>
      <c r="K207" s="15">
        <f>Tasaus[[#This Row],[Laskennallinen verotulo yhteensä, €]]/Tasaus[[#This Row],[Asukasluku 31.12.2022]]</f>
        <v>2364.9071147357704</v>
      </c>
      <c r="L207" s="34">
        <f>$K$11-Tasaus[[#This Row],[Laskennallinen verotulo yhteensä, €/asukas (=tasausraja)]]</f>
        <v>-231.14711473577017</v>
      </c>
      <c r="M207" s="369">
        <v>-23.114711473577017</v>
      </c>
      <c r="N207" s="370">
        <v>-48702.697074826778</v>
      </c>
      <c r="P207" s="116"/>
      <c r="Q207" s="117"/>
      <c r="R207" s="118"/>
    </row>
    <row r="208" spans="1:18">
      <c r="A208" s="266">
        <v>624</v>
      </c>
      <c r="B208" s="13" t="s">
        <v>208</v>
      </c>
      <c r="C208" s="267">
        <v>5117</v>
      </c>
      <c r="D208" s="268">
        <v>8.11</v>
      </c>
      <c r="E208" s="14">
        <v>8907796.9199999999</v>
      </c>
      <c r="F208" s="14">
        <f>Tasaus[[#This Row],[Kunnallisvero (maksuunpantu), €]]*100/Tasaus[[#This Row],[Tuloveroprosentti 2023]]</f>
        <v>109837200.00000001</v>
      </c>
      <c r="G208" s="269">
        <f>Tasaus[[#This Row],[Verotettava tulo (kunnallisvero), €]]*($D$11/100)</f>
        <v>8105985.3600000013</v>
      </c>
      <c r="H208" s="14">
        <v>914765.65506538178</v>
      </c>
      <c r="I208" s="15">
        <v>855239.0070000001</v>
      </c>
      <c r="J208" s="15">
        <f>SUM(Tasaus[[#This Row],[Laskennallinen kunnallisvero, €]:[Laskennallinen kiinteistövero, €]])</f>
        <v>9875990.0220653825</v>
      </c>
      <c r="K208" s="15">
        <f>Tasaus[[#This Row],[Laskennallinen verotulo yhteensä, €]]/Tasaus[[#This Row],[Asukasluku 31.12.2022]]</f>
        <v>1930.0351811736139</v>
      </c>
      <c r="L208" s="34">
        <f>$K$11-Tasaus[[#This Row],[Laskennallinen verotulo yhteensä, €/asukas (=tasausraja)]]</f>
        <v>203.72481882638635</v>
      </c>
      <c r="M208" s="369">
        <v>183.35233694374773</v>
      </c>
      <c r="N208" s="370">
        <v>938213.90814115712</v>
      </c>
      <c r="P208" s="116"/>
      <c r="Q208" s="117"/>
      <c r="R208" s="118"/>
    </row>
    <row r="209" spans="1:18">
      <c r="A209" s="266">
        <v>625</v>
      </c>
      <c r="B209" s="13" t="s">
        <v>559</v>
      </c>
      <c r="C209" s="267">
        <v>2991</v>
      </c>
      <c r="D209" s="268">
        <v>8.11</v>
      </c>
      <c r="E209" s="14">
        <v>4553394.17</v>
      </c>
      <c r="F209" s="14">
        <f>Tasaus[[#This Row],[Kunnallisvero (maksuunpantu), €]]*100/Tasaus[[#This Row],[Tuloveroprosentti 2023]]</f>
        <v>56145427.496917389</v>
      </c>
      <c r="G209" s="269">
        <f>Tasaus[[#This Row],[Verotettava tulo (kunnallisvero), €]]*($D$11/100)</f>
        <v>4143532.5492725037</v>
      </c>
      <c r="H209" s="14">
        <v>513271.97096408432</v>
      </c>
      <c r="I209" s="15">
        <v>1014886.5412499998</v>
      </c>
      <c r="J209" s="15">
        <f>SUM(Tasaus[[#This Row],[Laskennallinen kunnallisvero, €]:[Laskennallinen kiinteistövero, €]])</f>
        <v>5671691.0614865879</v>
      </c>
      <c r="K209" s="15">
        <f>Tasaus[[#This Row],[Laskennallinen verotulo yhteensä, €]]/Tasaus[[#This Row],[Asukasluku 31.12.2022]]</f>
        <v>1896.252444495683</v>
      </c>
      <c r="L209" s="34">
        <f>$K$11-Tasaus[[#This Row],[Laskennallinen verotulo yhteensä, €/asukas (=tasausraja)]]</f>
        <v>237.50755550431722</v>
      </c>
      <c r="M209" s="369">
        <v>213.75679995388552</v>
      </c>
      <c r="N209" s="370">
        <v>639346.58866207162</v>
      </c>
      <c r="P209" s="116"/>
      <c r="Q209" s="117"/>
      <c r="R209" s="118"/>
    </row>
    <row r="210" spans="1:18">
      <c r="A210" s="266">
        <v>626</v>
      </c>
      <c r="B210" s="13" t="s">
        <v>210</v>
      </c>
      <c r="C210" s="267">
        <v>4835</v>
      </c>
      <c r="D210" s="268">
        <v>9.11</v>
      </c>
      <c r="E210" s="14">
        <v>7132717.5</v>
      </c>
      <c r="F210" s="14">
        <f>Tasaus[[#This Row],[Kunnallisvero (maksuunpantu), €]]*100/Tasaus[[#This Row],[Tuloveroprosentti 2023]]</f>
        <v>78295472.008781567</v>
      </c>
      <c r="G210" s="269">
        <f>Tasaus[[#This Row],[Verotettava tulo (kunnallisvero), €]]*($D$11/100)</f>
        <v>5778205.8342480799</v>
      </c>
      <c r="H210" s="14">
        <v>1347164.0638458217</v>
      </c>
      <c r="I210" s="15">
        <v>655053.22230000002</v>
      </c>
      <c r="J210" s="15">
        <f>SUM(Tasaus[[#This Row],[Laskennallinen kunnallisvero, €]:[Laskennallinen kiinteistövero, €]])</f>
        <v>7780423.1203939021</v>
      </c>
      <c r="K210" s="15">
        <f>Tasaus[[#This Row],[Laskennallinen verotulo yhteensä, €]]/Tasaus[[#This Row],[Asukasluku 31.12.2022]]</f>
        <v>1609.1878222117689</v>
      </c>
      <c r="L210" s="34">
        <f>$K$11-Tasaus[[#This Row],[Laskennallinen verotulo yhteensä, €/asukas (=tasausraja)]]</f>
        <v>524.57217778823133</v>
      </c>
      <c r="M210" s="369">
        <v>472.11496000940821</v>
      </c>
      <c r="N210" s="370">
        <v>2282675.8316454887</v>
      </c>
      <c r="P210" s="116"/>
      <c r="Q210" s="117"/>
      <c r="R210" s="118"/>
    </row>
    <row r="211" spans="1:18">
      <c r="A211" s="266">
        <v>630</v>
      </c>
      <c r="B211" s="13" t="s">
        <v>560</v>
      </c>
      <c r="C211" s="267">
        <v>1635</v>
      </c>
      <c r="D211" s="268">
        <v>7.1099999999999994</v>
      </c>
      <c r="E211" s="14">
        <v>1712587.77</v>
      </c>
      <c r="F211" s="14">
        <f>Tasaus[[#This Row],[Kunnallisvero (maksuunpantu), €]]*100/Tasaus[[#This Row],[Tuloveroprosentti 2023]]</f>
        <v>24087029.113924053</v>
      </c>
      <c r="G211" s="269">
        <f>Tasaus[[#This Row],[Verotettava tulo (kunnallisvero), €]]*($D$11/100)</f>
        <v>1777622.7486075952</v>
      </c>
      <c r="H211" s="14">
        <v>549474.2890672076</v>
      </c>
      <c r="I211" s="15">
        <v>288538.83929999999</v>
      </c>
      <c r="J211" s="15">
        <f>SUM(Tasaus[[#This Row],[Laskennallinen kunnallisvero, €]:[Laskennallinen kiinteistövero, €]])</f>
        <v>2615635.8769748029</v>
      </c>
      <c r="K211" s="15">
        <f>Tasaus[[#This Row],[Laskennallinen verotulo yhteensä, €]]/Tasaus[[#This Row],[Asukasluku 31.12.2022]]</f>
        <v>1599.7772947858123</v>
      </c>
      <c r="L211" s="34">
        <f>$K$11-Tasaus[[#This Row],[Laskennallinen verotulo yhteensä, €/asukas (=tasausraja)]]</f>
        <v>533.98270521418794</v>
      </c>
      <c r="M211" s="369">
        <v>480.58443469276915</v>
      </c>
      <c r="N211" s="370">
        <v>785755.55072267761</v>
      </c>
      <c r="P211" s="116"/>
      <c r="Q211" s="117"/>
      <c r="R211" s="118"/>
    </row>
    <row r="212" spans="1:18">
      <c r="A212" s="266">
        <v>631</v>
      </c>
      <c r="B212" s="13" t="s">
        <v>561</v>
      </c>
      <c r="C212" s="267">
        <v>1963</v>
      </c>
      <c r="D212" s="268">
        <v>9.11</v>
      </c>
      <c r="E212" s="14">
        <v>3534541.68</v>
      </c>
      <c r="F212" s="14">
        <f>Tasaus[[#This Row],[Kunnallisvero (maksuunpantu), €]]*100/Tasaus[[#This Row],[Tuloveroprosentti 2023]]</f>
        <v>38798481.668496162</v>
      </c>
      <c r="G212" s="269">
        <f>Tasaus[[#This Row],[Verotettava tulo (kunnallisvero), €]]*($D$11/100)</f>
        <v>2863327.9471350168</v>
      </c>
      <c r="H212" s="14">
        <v>255229.82859514971</v>
      </c>
      <c r="I212" s="15">
        <v>314956.76759999996</v>
      </c>
      <c r="J212" s="15">
        <f>SUM(Tasaus[[#This Row],[Laskennallinen kunnallisvero, €]:[Laskennallinen kiinteistövero, €]])</f>
        <v>3433514.5433301665</v>
      </c>
      <c r="K212" s="15">
        <f>Tasaus[[#This Row],[Laskennallinen verotulo yhteensä, €]]/Tasaus[[#This Row],[Asukasluku 31.12.2022]]</f>
        <v>1749.115916113177</v>
      </c>
      <c r="L212" s="34">
        <f>$K$11-Tasaus[[#This Row],[Laskennallinen verotulo yhteensä, €/asukas (=tasausraja)]]</f>
        <v>384.64408388682318</v>
      </c>
      <c r="M212" s="369">
        <v>346.17967549814085</v>
      </c>
      <c r="N212" s="370">
        <v>679550.70300285053</v>
      </c>
      <c r="P212" s="116"/>
      <c r="Q212" s="117"/>
      <c r="R212" s="118"/>
    </row>
    <row r="213" spans="1:18">
      <c r="A213" s="266">
        <v>635</v>
      </c>
      <c r="B213" s="13" t="s">
        <v>562</v>
      </c>
      <c r="C213" s="267">
        <v>6347</v>
      </c>
      <c r="D213" s="268">
        <v>8.86</v>
      </c>
      <c r="E213" s="14">
        <v>10307047.09</v>
      </c>
      <c r="F213" s="14">
        <f>Tasaus[[#This Row],[Kunnallisvero (maksuunpantu), €]]*100/Tasaus[[#This Row],[Tuloveroprosentti 2023]]</f>
        <v>116332359.93227991</v>
      </c>
      <c r="G213" s="269">
        <f>Tasaus[[#This Row],[Verotettava tulo (kunnallisvero), €]]*($D$11/100)</f>
        <v>8585328.1630022582</v>
      </c>
      <c r="H213" s="14">
        <v>1119032.0671043461</v>
      </c>
      <c r="I213" s="15">
        <v>1385580.7675999997</v>
      </c>
      <c r="J213" s="15">
        <f>SUM(Tasaus[[#This Row],[Laskennallinen kunnallisvero, €]:[Laskennallinen kiinteistövero, €]])</f>
        <v>11089940.997706603</v>
      </c>
      <c r="K213" s="15">
        <f>Tasaus[[#This Row],[Laskennallinen verotulo yhteensä, €]]/Tasaus[[#This Row],[Asukasluku 31.12.2022]]</f>
        <v>1747.2728844661419</v>
      </c>
      <c r="L213" s="34">
        <f>$K$11-Tasaus[[#This Row],[Laskennallinen verotulo yhteensä, €/asukas (=tasausraja)]]</f>
        <v>386.48711553385829</v>
      </c>
      <c r="M213" s="369">
        <v>347.83840398047249</v>
      </c>
      <c r="N213" s="370">
        <v>2207730.3500640588</v>
      </c>
      <c r="P213" s="116"/>
      <c r="Q213" s="117"/>
      <c r="R213" s="118"/>
    </row>
    <row r="214" spans="1:18">
      <c r="A214" s="266">
        <v>636</v>
      </c>
      <c r="B214" s="13" t="s">
        <v>563</v>
      </c>
      <c r="C214" s="267">
        <v>8154</v>
      </c>
      <c r="D214" s="268">
        <v>8.61</v>
      </c>
      <c r="E214" s="14">
        <v>11811464.880000001</v>
      </c>
      <c r="F214" s="14">
        <f>Tasaus[[#This Row],[Kunnallisvero (maksuunpantu), €]]*100/Tasaus[[#This Row],[Tuloveroprosentti 2023]]</f>
        <v>137183099.65156797</v>
      </c>
      <c r="G214" s="269">
        <f>Tasaus[[#This Row],[Verotettava tulo (kunnallisvero), €]]*($D$11/100)</f>
        <v>10124112.754285717</v>
      </c>
      <c r="H214" s="14">
        <v>2132234.2746136435</v>
      </c>
      <c r="I214" s="15">
        <v>1169112.37045</v>
      </c>
      <c r="J214" s="15">
        <f>SUM(Tasaus[[#This Row],[Laskennallinen kunnallisvero, €]:[Laskennallinen kiinteistövero, €]])</f>
        <v>13425459.39934936</v>
      </c>
      <c r="K214" s="15">
        <f>Tasaus[[#This Row],[Laskennallinen verotulo yhteensä, €]]/Tasaus[[#This Row],[Asukasluku 31.12.2022]]</f>
        <v>1646.4875397779444</v>
      </c>
      <c r="L214" s="34">
        <f>$K$11-Tasaus[[#This Row],[Laskennallinen verotulo yhteensä, €/asukas (=tasausraja)]]</f>
        <v>487.27246022205577</v>
      </c>
      <c r="M214" s="369">
        <v>438.54521419985019</v>
      </c>
      <c r="N214" s="370">
        <v>3575897.6765855784</v>
      </c>
      <c r="P214" s="116"/>
      <c r="Q214" s="117"/>
      <c r="R214" s="118"/>
    </row>
    <row r="215" spans="1:18">
      <c r="A215" s="266">
        <v>638</v>
      </c>
      <c r="B215" s="13" t="s">
        <v>564</v>
      </c>
      <c r="C215" s="267">
        <v>51232</v>
      </c>
      <c r="D215" s="268">
        <v>7.1099999999999994</v>
      </c>
      <c r="E215" s="14">
        <v>88571530.75</v>
      </c>
      <c r="F215" s="14">
        <f>Tasaus[[#This Row],[Kunnallisvero (maksuunpantu), €]]*100/Tasaus[[#This Row],[Tuloveroprosentti 2023]]</f>
        <v>1245731796.7651196</v>
      </c>
      <c r="G215" s="269">
        <f>Tasaus[[#This Row],[Verotettava tulo (kunnallisvero), €]]*($D$11/100)</f>
        <v>91935006.601265833</v>
      </c>
      <c r="H215" s="14">
        <v>22082281.46264093</v>
      </c>
      <c r="I215" s="15">
        <v>8781893.8860999979</v>
      </c>
      <c r="J215" s="15">
        <f>SUM(Tasaus[[#This Row],[Laskennallinen kunnallisvero, €]:[Laskennallinen kiinteistövero, €]])</f>
        <v>122799181.95000675</v>
      </c>
      <c r="K215" s="15">
        <f>Tasaus[[#This Row],[Laskennallinen verotulo yhteensä, €]]/Tasaus[[#This Row],[Asukasluku 31.12.2022]]</f>
        <v>2396.923445307752</v>
      </c>
      <c r="L215" s="34">
        <f>$K$11-Tasaus[[#This Row],[Laskennallinen verotulo yhteensä, €/asukas (=tasausraja)]]</f>
        <v>-263.16344530775177</v>
      </c>
      <c r="M215" s="369">
        <v>-26.316344530775179</v>
      </c>
      <c r="N215" s="370">
        <v>-1348238.963000674</v>
      </c>
      <c r="P215" s="116"/>
      <c r="Q215" s="117"/>
      <c r="R215" s="118"/>
    </row>
    <row r="216" spans="1:18">
      <c r="A216" s="266">
        <v>678</v>
      </c>
      <c r="B216" s="13" t="s">
        <v>565</v>
      </c>
      <c r="C216" s="267">
        <v>24073</v>
      </c>
      <c r="D216" s="268">
        <v>8.61</v>
      </c>
      <c r="E216" s="14">
        <v>40568654.890000001</v>
      </c>
      <c r="F216" s="14">
        <f>Tasaus[[#This Row],[Kunnallisvero (maksuunpantu), €]]*100/Tasaus[[#This Row],[Tuloveroprosentti 2023]]</f>
        <v>471180660.74332178</v>
      </c>
      <c r="G216" s="269">
        <f>Tasaus[[#This Row],[Verotettava tulo (kunnallisvero), €]]*($D$11/100)</f>
        <v>34773132.762857147</v>
      </c>
      <c r="H216" s="14">
        <v>10664788.334537294</v>
      </c>
      <c r="I216" s="15">
        <v>3474686.7846499998</v>
      </c>
      <c r="J216" s="15">
        <f>SUM(Tasaus[[#This Row],[Laskennallinen kunnallisvero, €]:[Laskennallinen kiinteistövero, €]])</f>
        <v>48912607.882044435</v>
      </c>
      <c r="K216" s="15">
        <f>Tasaus[[#This Row],[Laskennallinen verotulo yhteensä, €]]/Tasaus[[#This Row],[Asukasluku 31.12.2022]]</f>
        <v>2031.8451328062324</v>
      </c>
      <c r="L216" s="34">
        <f>$K$11-Tasaus[[#This Row],[Laskennallinen verotulo yhteensä, €/asukas (=tasausraja)]]</f>
        <v>101.9148671937678</v>
      </c>
      <c r="M216" s="369">
        <v>91.723380474391021</v>
      </c>
      <c r="N216" s="370">
        <v>2208056.9381600153</v>
      </c>
      <c r="P216" s="116"/>
      <c r="Q216" s="117"/>
      <c r="R216" s="118"/>
    </row>
    <row r="217" spans="1:18">
      <c r="A217" s="266">
        <v>680</v>
      </c>
      <c r="B217" s="13" t="s">
        <v>566</v>
      </c>
      <c r="C217" s="267">
        <v>24942</v>
      </c>
      <c r="D217" s="268">
        <v>7.6099999999999994</v>
      </c>
      <c r="E217" s="14">
        <v>42794093.539999999</v>
      </c>
      <c r="F217" s="14">
        <f>Tasaus[[#This Row],[Kunnallisvero (maksuunpantu), €]]*100/Tasaus[[#This Row],[Tuloveroprosentti 2023]]</f>
        <v>562340256.76741135</v>
      </c>
      <c r="G217" s="269">
        <f>Tasaus[[#This Row],[Verotettava tulo (kunnallisvero), €]]*($D$11/100)</f>
        <v>41500710.949434958</v>
      </c>
      <c r="H217" s="14">
        <v>6098686.8692919463</v>
      </c>
      <c r="I217" s="15">
        <v>4399428.9799999995</v>
      </c>
      <c r="J217" s="15">
        <f>SUM(Tasaus[[#This Row],[Laskennallinen kunnallisvero, €]:[Laskennallinen kiinteistövero, €]])</f>
        <v>51998826.798726901</v>
      </c>
      <c r="K217" s="15">
        <f>Tasaus[[#This Row],[Laskennallinen verotulo yhteensä, €]]/Tasaus[[#This Row],[Asukasluku 31.12.2022]]</f>
        <v>2084.7897842485327</v>
      </c>
      <c r="L217" s="34">
        <f>$K$11-Tasaus[[#This Row],[Laskennallinen verotulo yhteensä, €/asukas (=tasausraja)]]</f>
        <v>48.970215751467549</v>
      </c>
      <c r="M217" s="369">
        <v>44.073194176320797</v>
      </c>
      <c r="N217" s="370">
        <v>1099273.6091457934</v>
      </c>
      <c r="P217" s="116"/>
      <c r="Q217" s="117"/>
      <c r="R217" s="118"/>
    </row>
    <row r="218" spans="1:18">
      <c r="A218" s="266">
        <v>681</v>
      </c>
      <c r="B218" s="13" t="s">
        <v>567</v>
      </c>
      <c r="C218" s="267">
        <v>3308</v>
      </c>
      <c r="D218" s="268">
        <v>9.36</v>
      </c>
      <c r="E218" s="14">
        <v>4881770.26</v>
      </c>
      <c r="F218" s="14">
        <f>Tasaus[[#This Row],[Kunnallisvero (maksuunpantu), €]]*100/Tasaus[[#This Row],[Tuloveroprosentti 2023]]</f>
        <v>52155665.170940176</v>
      </c>
      <c r="G218" s="269">
        <f>Tasaus[[#This Row],[Verotettava tulo (kunnallisvero), €]]*($D$11/100)</f>
        <v>3849088.089615385</v>
      </c>
      <c r="H218" s="14">
        <v>1056463.4313877299</v>
      </c>
      <c r="I218" s="15">
        <v>773355.12939999998</v>
      </c>
      <c r="J218" s="15">
        <f>SUM(Tasaus[[#This Row],[Laskennallinen kunnallisvero, €]:[Laskennallinen kiinteistövero, €]])</f>
        <v>5678906.650403115</v>
      </c>
      <c r="K218" s="15">
        <f>Tasaus[[#This Row],[Laskennallinen verotulo yhteensä, €]]/Tasaus[[#This Row],[Asukasluku 31.12.2022]]</f>
        <v>1716.7190599767578</v>
      </c>
      <c r="L218" s="34">
        <f>$K$11-Tasaus[[#This Row],[Laskennallinen verotulo yhteensä, €/asukas (=tasausraja)]]</f>
        <v>417.04094002324246</v>
      </c>
      <c r="M218" s="369">
        <v>375.33684602091824</v>
      </c>
      <c r="N218" s="370">
        <v>1241614.2866371975</v>
      </c>
      <c r="P218" s="116"/>
      <c r="Q218" s="117"/>
      <c r="R218" s="118"/>
    </row>
    <row r="219" spans="1:18">
      <c r="A219" s="266">
        <v>683</v>
      </c>
      <c r="B219" s="13" t="s">
        <v>568</v>
      </c>
      <c r="C219" s="267">
        <v>3618</v>
      </c>
      <c r="D219" s="268">
        <v>7.1099999999999994</v>
      </c>
      <c r="E219" s="14">
        <v>3604772.86</v>
      </c>
      <c r="F219" s="14">
        <f>Tasaus[[#This Row],[Kunnallisvero (maksuunpantu), €]]*100/Tasaus[[#This Row],[Tuloveroprosentti 2023]]</f>
        <v>50700040.225035168</v>
      </c>
      <c r="G219" s="269">
        <f>Tasaus[[#This Row],[Verotettava tulo (kunnallisvero), €]]*($D$11/100)</f>
        <v>3741662.9686075957</v>
      </c>
      <c r="H219" s="14">
        <v>591765.91067592299</v>
      </c>
      <c r="I219" s="15">
        <v>601431.68129999994</v>
      </c>
      <c r="J219" s="15">
        <f>SUM(Tasaus[[#This Row],[Laskennallinen kunnallisvero, €]:[Laskennallinen kiinteistövero, €]])</f>
        <v>4934860.5605835188</v>
      </c>
      <c r="K219" s="15">
        <f>Tasaus[[#This Row],[Laskennallinen verotulo yhteensä, €]]/Tasaus[[#This Row],[Asukasluku 31.12.2022]]</f>
        <v>1363.9747265294413</v>
      </c>
      <c r="L219" s="34">
        <f>$K$11-Tasaus[[#This Row],[Laskennallinen verotulo yhteensä, €/asukas (=tasausraja)]]</f>
        <v>769.78527347055888</v>
      </c>
      <c r="M219" s="369">
        <v>692.80674612350299</v>
      </c>
      <c r="N219" s="370">
        <v>2506574.8074748339</v>
      </c>
      <c r="P219" s="116"/>
      <c r="Q219" s="117"/>
      <c r="R219" s="118"/>
    </row>
    <row r="220" spans="1:18">
      <c r="A220" s="266">
        <v>684</v>
      </c>
      <c r="B220" s="13" t="s">
        <v>569</v>
      </c>
      <c r="C220" s="267">
        <v>38667</v>
      </c>
      <c r="D220" s="268">
        <v>7.8599999999999994</v>
      </c>
      <c r="E220" s="14">
        <v>67647666.609999999</v>
      </c>
      <c r="F220" s="14">
        <f>Tasaus[[#This Row],[Kunnallisvero (maksuunpantu), €]]*100/Tasaus[[#This Row],[Tuloveroprosentti 2023]]</f>
        <v>860657336.00508916</v>
      </c>
      <c r="G220" s="269">
        <f>Tasaus[[#This Row],[Verotettava tulo (kunnallisvero), €]]*($D$11/100)</f>
        <v>63516511.397175588</v>
      </c>
      <c r="H220" s="14">
        <v>14475627.132178228</v>
      </c>
      <c r="I220" s="15">
        <v>6103740.1357999993</v>
      </c>
      <c r="J220" s="15">
        <f>SUM(Tasaus[[#This Row],[Laskennallinen kunnallisvero, €]:[Laskennallinen kiinteistövero, €]])</f>
        <v>84095878.665153816</v>
      </c>
      <c r="K220" s="15">
        <f>Tasaus[[#This Row],[Laskennallinen verotulo yhteensä, €]]/Tasaus[[#This Row],[Asukasluku 31.12.2022]]</f>
        <v>2174.8746648344536</v>
      </c>
      <c r="L220" s="34">
        <f>$K$11-Tasaus[[#This Row],[Laskennallinen verotulo yhteensä, €/asukas (=tasausraja)]]</f>
        <v>-41.114664834453379</v>
      </c>
      <c r="M220" s="369">
        <v>-4.111466483445338</v>
      </c>
      <c r="N220" s="370">
        <v>-158978.0745153809</v>
      </c>
      <c r="P220" s="116"/>
      <c r="Q220" s="117"/>
      <c r="R220" s="118"/>
    </row>
    <row r="221" spans="1:18">
      <c r="A221" s="266">
        <v>686</v>
      </c>
      <c r="B221" s="13" t="s">
        <v>570</v>
      </c>
      <c r="C221" s="267">
        <v>2964</v>
      </c>
      <c r="D221" s="268">
        <v>9.86</v>
      </c>
      <c r="E221" s="14">
        <v>4602501.8600000003</v>
      </c>
      <c r="F221" s="14">
        <f>Tasaus[[#This Row],[Kunnallisvero (maksuunpantu), €]]*100/Tasaus[[#This Row],[Tuloveroprosentti 2023]]</f>
        <v>46678517.849898592</v>
      </c>
      <c r="G221" s="269">
        <f>Tasaus[[#This Row],[Verotettava tulo (kunnallisvero), €]]*($D$11/100)</f>
        <v>3444874.6173225162</v>
      </c>
      <c r="H221" s="14">
        <v>614078.62235862436</v>
      </c>
      <c r="I221" s="15">
        <v>588166.19785</v>
      </c>
      <c r="J221" s="15">
        <f>SUM(Tasaus[[#This Row],[Laskennallinen kunnallisvero, €]:[Laskennallinen kiinteistövero, €]])</f>
        <v>4647119.4375311406</v>
      </c>
      <c r="K221" s="15">
        <f>Tasaus[[#This Row],[Laskennallinen verotulo yhteensä, €]]/Tasaus[[#This Row],[Asukasluku 31.12.2022]]</f>
        <v>1567.8540612453241</v>
      </c>
      <c r="L221" s="34">
        <f>$K$11-Tasaus[[#This Row],[Laskennallinen verotulo yhteensä, €/asukas (=tasausraja)]]</f>
        <v>565.90593875467607</v>
      </c>
      <c r="M221" s="369">
        <v>509.31534487920845</v>
      </c>
      <c r="N221" s="370">
        <v>1509610.6822219738</v>
      </c>
      <c r="P221" s="116"/>
      <c r="Q221" s="117"/>
      <c r="R221" s="118"/>
    </row>
    <row r="222" spans="1:18">
      <c r="A222" s="266">
        <v>687</v>
      </c>
      <c r="B222" s="13" t="s">
        <v>571</v>
      </c>
      <c r="C222" s="267">
        <v>1477</v>
      </c>
      <c r="D222" s="268">
        <v>9.36</v>
      </c>
      <c r="E222" s="14">
        <v>1838255.01</v>
      </c>
      <c r="F222" s="14">
        <f>Tasaus[[#This Row],[Kunnallisvero (maksuunpantu), €]]*100/Tasaus[[#This Row],[Tuloveroprosentti 2023]]</f>
        <v>19639476.602564104</v>
      </c>
      <c r="G222" s="269">
        <f>Tasaus[[#This Row],[Verotettava tulo (kunnallisvero), €]]*($D$11/100)</f>
        <v>1449393.3732692311</v>
      </c>
      <c r="H222" s="14">
        <v>1055400.9298642243</v>
      </c>
      <c r="I222" s="15">
        <v>219853.45514999999</v>
      </c>
      <c r="J222" s="15">
        <f>SUM(Tasaus[[#This Row],[Laskennallinen kunnallisvero, €]:[Laskennallinen kiinteistövero, €]])</f>
        <v>2724647.7582834549</v>
      </c>
      <c r="K222" s="15">
        <f>Tasaus[[#This Row],[Laskennallinen verotulo yhteensä, €]]/Tasaus[[#This Row],[Asukasluku 31.12.2022]]</f>
        <v>1844.7175073009173</v>
      </c>
      <c r="L222" s="34">
        <f>$K$11-Tasaus[[#This Row],[Laskennallinen verotulo yhteensä, €/asukas (=tasausraja)]]</f>
        <v>289.04249269908291</v>
      </c>
      <c r="M222" s="369">
        <v>260.13824342917462</v>
      </c>
      <c r="N222" s="370">
        <v>384224.18554489093</v>
      </c>
      <c r="P222" s="116"/>
      <c r="Q222" s="117"/>
      <c r="R222" s="118"/>
    </row>
    <row r="223" spans="1:18">
      <c r="A223" s="266">
        <v>689</v>
      </c>
      <c r="B223" s="13" t="s">
        <v>572</v>
      </c>
      <c r="C223" s="267">
        <v>3093</v>
      </c>
      <c r="D223" s="268">
        <v>8.36</v>
      </c>
      <c r="E223" s="14">
        <v>4769904.5599999996</v>
      </c>
      <c r="F223" s="14">
        <f>Tasaus[[#This Row],[Kunnallisvero (maksuunpantu), €]]*100/Tasaus[[#This Row],[Tuloveroprosentti 2023]]</f>
        <v>57056274.641148321</v>
      </c>
      <c r="G223" s="269">
        <f>Tasaus[[#This Row],[Verotettava tulo (kunnallisvero), €]]*($D$11/100)</f>
        <v>4210753.0685167462</v>
      </c>
      <c r="H223" s="14">
        <v>2129124.2160361297</v>
      </c>
      <c r="I223" s="15">
        <v>439741.18729999999</v>
      </c>
      <c r="J223" s="15">
        <f>SUM(Tasaus[[#This Row],[Laskennallinen kunnallisvero, €]:[Laskennallinen kiinteistövero, €]])</f>
        <v>6779618.4718528762</v>
      </c>
      <c r="K223" s="15">
        <f>Tasaus[[#This Row],[Laskennallinen verotulo yhteensä, €]]/Tasaus[[#This Row],[Asukasluku 31.12.2022]]</f>
        <v>2191.9232046081074</v>
      </c>
      <c r="L223" s="34">
        <f>$K$11-Tasaus[[#This Row],[Laskennallinen verotulo yhteensä, €/asukas (=tasausraja)]]</f>
        <v>-58.163204608107208</v>
      </c>
      <c r="M223" s="369">
        <v>-5.8163204608107213</v>
      </c>
      <c r="N223" s="370">
        <v>-17989.879185287562</v>
      </c>
      <c r="P223" s="116"/>
      <c r="Q223" s="117"/>
      <c r="R223" s="118"/>
    </row>
    <row r="224" spans="1:18">
      <c r="A224" s="266">
        <v>691</v>
      </c>
      <c r="B224" s="13" t="s">
        <v>573</v>
      </c>
      <c r="C224" s="267">
        <v>2636</v>
      </c>
      <c r="D224" s="268">
        <v>9.86</v>
      </c>
      <c r="E224" s="14">
        <v>4001908.46</v>
      </c>
      <c r="F224" s="14">
        <f>Tasaus[[#This Row],[Kunnallisvero (maksuunpantu), €]]*100/Tasaus[[#This Row],[Tuloveroprosentti 2023]]</f>
        <v>40587306.896551728</v>
      </c>
      <c r="G224" s="269">
        <f>Tasaus[[#This Row],[Verotettava tulo (kunnallisvero), €]]*($D$11/100)</f>
        <v>2995343.2489655176</v>
      </c>
      <c r="H224" s="14">
        <v>367726.51239535859</v>
      </c>
      <c r="I224" s="15">
        <v>355544.47279999993</v>
      </c>
      <c r="J224" s="15">
        <f>SUM(Tasaus[[#This Row],[Laskennallinen kunnallisvero, €]:[Laskennallinen kiinteistövero, €]])</f>
        <v>3718614.2341608764</v>
      </c>
      <c r="K224" s="15">
        <f>Tasaus[[#This Row],[Laskennallinen verotulo yhteensä, €]]/Tasaus[[#This Row],[Asukasluku 31.12.2022]]</f>
        <v>1410.7034272233977</v>
      </c>
      <c r="L224" s="34">
        <f>$K$11-Tasaus[[#This Row],[Laskennallinen verotulo yhteensä, €/asukas (=tasausraja)]]</f>
        <v>723.05657277660248</v>
      </c>
      <c r="M224" s="369">
        <v>650.75091549894228</v>
      </c>
      <c r="N224" s="370">
        <v>1715379.4132552119</v>
      </c>
      <c r="P224" s="116"/>
      <c r="Q224" s="117"/>
      <c r="R224" s="118"/>
    </row>
    <row r="225" spans="1:18">
      <c r="A225" s="266">
        <v>694</v>
      </c>
      <c r="B225" s="13" t="s">
        <v>574</v>
      </c>
      <c r="C225" s="267">
        <v>28349</v>
      </c>
      <c r="D225" s="268">
        <v>7.8599999999999994</v>
      </c>
      <c r="E225" s="14">
        <v>48749259.409999996</v>
      </c>
      <c r="F225" s="14">
        <f>Tasaus[[#This Row],[Kunnallisvero (maksuunpantu), €]]*100/Tasaus[[#This Row],[Tuloveroprosentti 2023]]</f>
        <v>620219585.3689568</v>
      </c>
      <c r="G225" s="269">
        <f>Tasaus[[#This Row],[Verotettava tulo (kunnallisvero), €]]*($D$11/100)</f>
        <v>45772205.400229014</v>
      </c>
      <c r="H225" s="14">
        <v>10492278.732789593</v>
      </c>
      <c r="I225" s="15">
        <v>4433561.98025</v>
      </c>
      <c r="J225" s="15">
        <f>SUM(Tasaus[[#This Row],[Laskennallinen kunnallisvero, €]:[Laskennallinen kiinteistövero, €]])</f>
        <v>60698046.113268606</v>
      </c>
      <c r="K225" s="15">
        <f>Tasaus[[#This Row],[Laskennallinen verotulo yhteensä, €]]/Tasaus[[#This Row],[Asukasluku 31.12.2022]]</f>
        <v>2141.1000780721934</v>
      </c>
      <c r="L225" s="34">
        <f>$K$11-Tasaus[[#This Row],[Laskennallinen verotulo yhteensä, €/asukas (=tasausraja)]]</f>
        <v>-7.3400780721931369</v>
      </c>
      <c r="M225" s="369">
        <v>-0.73400780721931369</v>
      </c>
      <c r="N225" s="370">
        <v>-20808.387326860324</v>
      </c>
      <c r="P225" s="116"/>
      <c r="Q225" s="117"/>
      <c r="R225" s="118"/>
    </row>
    <row r="226" spans="1:18">
      <c r="A226" s="266">
        <v>697</v>
      </c>
      <c r="B226" s="13" t="s">
        <v>575</v>
      </c>
      <c r="C226" s="267">
        <v>1174</v>
      </c>
      <c r="D226" s="268">
        <v>9.36</v>
      </c>
      <c r="E226" s="14">
        <v>1824749.55</v>
      </c>
      <c r="F226" s="14">
        <f>Tasaus[[#This Row],[Kunnallisvero (maksuunpantu), €]]*100/Tasaus[[#This Row],[Tuloveroprosentti 2023]]</f>
        <v>19495187.5</v>
      </c>
      <c r="G226" s="269">
        <f>Tasaus[[#This Row],[Verotettava tulo (kunnallisvero), €]]*($D$11/100)</f>
        <v>1438744.8375000001</v>
      </c>
      <c r="H226" s="14">
        <v>346256.54249267437</v>
      </c>
      <c r="I226" s="15">
        <v>200522.05050000001</v>
      </c>
      <c r="J226" s="15">
        <f>SUM(Tasaus[[#This Row],[Laskennallinen kunnallisvero, €]:[Laskennallinen kiinteistövero, €]])</f>
        <v>1985523.4304926745</v>
      </c>
      <c r="K226" s="15">
        <f>Tasaus[[#This Row],[Laskennallinen verotulo yhteensä, €]]/Tasaus[[#This Row],[Asukasluku 31.12.2022]]</f>
        <v>1691.2465336394162</v>
      </c>
      <c r="L226" s="34">
        <f>$K$11-Tasaus[[#This Row],[Laskennallinen verotulo yhteensä, €/asukas (=tasausraja)]]</f>
        <v>442.51346636058406</v>
      </c>
      <c r="M226" s="369">
        <v>398.26211972452569</v>
      </c>
      <c r="N226" s="370">
        <v>467559.72855659318</v>
      </c>
      <c r="P226" s="116"/>
      <c r="Q226" s="117"/>
      <c r="R226" s="118"/>
    </row>
    <row r="227" spans="1:18">
      <c r="A227" s="266">
        <v>698</v>
      </c>
      <c r="B227" s="13" t="s">
        <v>576</v>
      </c>
      <c r="C227" s="267">
        <v>64535</v>
      </c>
      <c r="D227" s="268">
        <v>8.86</v>
      </c>
      <c r="E227" s="14">
        <v>116590926.42</v>
      </c>
      <c r="F227" s="14">
        <f>Tasaus[[#This Row],[Kunnallisvero (maksuunpantu), €]]*100/Tasaus[[#This Row],[Tuloveroprosentti 2023]]</f>
        <v>1315924677.4266367</v>
      </c>
      <c r="G227" s="269">
        <f>Tasaus[[#This Row],[Verotettava tulo (kunnallisvero), €]]*($D$11/100)</f>
        <v>97115241.194085792</v>
      </c>
      <c r="H227" s="14">
        <v>11536817.637523696</v>
      </c>
      <c r="I227" s="15">
        <v>10734291.43125</v>
      </c>
      <c r="J227" s="15">
        <f>SUM(Tasaus[[#This Row],[Laskennallinen kunnallisvero, €]:[Laskennallinen kiinteistövero, €]])</f>
        <v>119386350.26285949</v>
      </c>
      <c r="K227" s="15">
        <f>Tasaus[[#This Row],[Laskennallinen verotulo yhteensä, €]]/Tasaus[[#This Row],[Asukasluku 31.12.2022]]</f>
        <v>1849.9473194833733</v>
      </c>
      <c r="L227" s="34">
        <f>$K$11-Tasaus[[#This Row],[Laskennallinen verotulo yhteensä, €/asukas (=tasausraja)]]</f>
        <v>283.81268051662687</v>
      </c>
      <c r="M227" s="369">
        <v>255.43141246496418</v>
      </c>
      <c r="N227" s="370">
        <v>16484266.203426464</v>
      </c>
      <c r="P227" s="116"/>
      <c r="Q227" s="117"/>
      <c r="R227" s="118"/>
    </row>
    <row r="228" spans="1:18">
      <c r="A228" s="266">
        <v>700</v>
      </c>
      <c r="B228" s="13" t="s">
        <v>577</v>
      </c>
      <c r="C228" s="267">
        <v>4842</v>
      </c>
      <c r="D228" s="268">
        <v>7.8599999999999994</v>
      </c>
      <c r="E228" s="14">
        <v>7640890.0599999996</v>
      </c>
      <c r="F228" s="14">
        <f>Tasaus[[#This Row],[Kunnallisvero (maksuunpantu), €]]*100/Tasaus[[#This Row],[Tuloveroprosentti 2023]]</f>
        <v>97212341.730279908</v>
      </c>
      <c r="G228" s="269">
        <f>Tasaus[[#This Row],[Verotettava tulo (kunnallisvero), €]]*($D$11/100)</f>
        <v>7174270.8196946578</v>
      </c>
      <c r="H228" s="14">
        <v>1204957.0486738852</v>
      </c>
      <c r="I228" s="15">
        <v>1102020.7728500001</v>
      </c>
      <c r="J228" s="15">
        <f>SUM(Tasaus[[#This Row],[Laskennallinen kunnallisvero, €]:[Laskennallinen kiinteistövero, €]])</f>
        <v>9481248.6412185431</v>
      </c>
      <c r="K228" s="15">
        <f>Tasaus[[#This Row],[Laskennallinen verotulo yhteensä, €]]/Tasaus[[#This Row],[Asukasluku 31.12.2022]]</f>
        <v>1958.1265264804922</v>
      </c>
      <c r="L228" s="34">
        <f>$K$11-Tasaus[[#This Row],[Laskennallinen verotulo yhteensä, €/asukas (=tasausraja)]]</f>
        <v>175.63347351950802</v>
      </c>
      <c r="M228" s="369">
        <v>158.07012616755722</v>
      </c>
      <c r="N228" s="370">
        <v>765375.55090331205</v>
      </c>
      <c r="P228" s="116"/>
      <c r="Q228" s="117"/>
      <c r="R228" s="118"/>
    </row>
    <row r="229" spans="1:18">
      <c r="A229" s="266">
        <v>702</v>
      </c>
      <c r="B229" s="13" t="s">
        <v>578</v>
      </c>
      <c r="C229" s="267">
        <v>4114</v>
      </c>
      <c r="D229" s="268">
        <v>9.36</v>
      </c>
      <c r="E229" s="14">
        <v>6447191.25</v>
      </c>
      <c r="F229" s="14">
        <f>Tasaus[[#This Row],[Kunnallisvero (maksuunpantu), €]]*100/Tasaus[[#This Row],[Tuloveroprosentti 2023]]</f>
        <v>68880248.397435904</v>
      </c>
      <c r="G229" s="269">
        <f>Tasaus[[#This Row],[Verotettava tulo (kunnallisvero), €]]*($D$11/100)</f>
        <v>5083362.3317307699</v>
      </c>
      <c r="H229" s="14">
        <v>1330500.2377363408</v>
      </c>
      <c r="I229" s="15">
        <v>969446.26099999994</v>
      </c>
      <c r="J229" s="15">
        <f>SUM(Tasaus[[#This Row],[Laskennallinen kunnallisvero, €]:[Laskennallinen kiinteistövero, €]])</f>
        <v>7383308.8304671105</v>
      </c>
      <c r="K229" s="15">
        <f>Tasaus[[#This Row],[Laskennallinen verotulo yhteensä, €]]/Tasaus[[#This Row],[Asukasluku 31.12.2022]]</f>
        <v>1794.6788601038188</v>
      </c>
      <c r="L229" s="34">
        <f>$K$11-Tasaus[[#This Row],[Laskennallinen verotulo yhteensä, €/asukas (=tasausraja)]]</f>
        <v>339.08113989618141</v>
      </c>
      <c r="M229" s="369">
        <v>305.17302590656328</v>
      </c>
      <c r="N229" s="370">
        <v>1255481.8285796014</v>
      </c>
      <c r="P229" s="116"/>
      <c r="Q229" s="117"/>
      <c r="R229" s="118"/>
    </row>
    <row r="230" spans="1:18">
      <c r="A230" s="266">
        <v>704</v>
      </c>
      <c r="B230" s="13" t="s">
        <v>579</v>
      </c>
      <c r="C230" s="267">
        <v>6428</v>
      </c>
      <c r="D230" s="268">
        <v>7.1099999999999994</v>
      </c>
      <c r="E230" s="14">
        <v>10394763.59</v>
      </c>
      <c r="F230" s="14">
        <f>Tasaus[[#This Row],[Kunnallisvero (maksuunpantu), €]]*100/Tasaus[[#This Row],[Tuloveroprosentti 2023]]</f>
        <v>146199206.61040789</v>
      </c>
      <c r="G230" s="269">
        <f>Tasaus[[#This Row],[Verotettava tulo (kunnallisvero), €]]*($D$11/100)</f>
        <v>10789501.447848102</v>
      </c>
      <c r="H230" s="14">
        <v>838213.25585100311</v>
      </c>
      <c r="I230" s="15">
        <v>803418.89689999993</v>
      </c>
      <c r="J230" s="15">
        <f>SUM(Tasaus[[#This Row],[Laskennallinen kunnallisvero, €]:[Laskennallinen kiinteistövero, €]])</f>
        <v>12431133.600599105</v>
      </c>
      <c r="K230" s="15">
        <f>Tasaus[[#This Row],[Laskennallinen verotulo yhteensä, €]]/Tasaus[[#This Row],[Asukasluku 31.12.2022]]</f>
        <v>1933.9037959861705</v>
      </c>
      <c r="L230" s="34">
        <f>$K$11-Tasaus[[#This Row],[Laskennallinen verotulo yhteensä, €/asukas (=tasausraja)]]</f>
        <v>199.85620401382971</v>
      </c>
      <c r="M230" s="369">
        <v>179.87058361244675</v>
      </c>
      <c r="N230" s="370">
        <v>1156208.1114608077</v>
      </c>
      <c r="P230" s="116"/>
      <c r="Q230" s="117"/>
      <c r="R230" s="118"/>
    </row>
    <row r="231" spans="1:18">
      <c r="A231" s="266">
        <v>707</v>
      </c>
      <c r="B231" s="13" t="s">
        <v>580</v>
      </c>
      <c r="C231" s="267">
        <v>1960</v>
      </c>
      <c r="D231" s="268">
        <v>8.860000000000003</v>
      </c>
      <c r="E231" s="14">
        <v>2342792.77</v>
      </c>
      <c r="F231" s="14">
        <f>Tasaus[[#This Row],[Kunnallisvero (maksuunpantu), €]]*100/Tasaus[[#This Row],[Tuloveroprosentti 2023]]</f>
        <v>26442356.320541751</v>
      </c>
      <c r="G231" s="269">
        <f>Tasaus[[#This Row],[Verotettava tulo (kunnallisvero), €]]*($D$11/100)</f>
        <v>1951445.8964559813</v>
      </c>
      <c r="H231" s="14">
        <v>394335.58995443827</v>
      </c>
      <c r="I231" s="15">
        <v>374905.07270000002</v>
      </c>
      <c r="J231" s="15">
        <f>SUM(Tasaus[[#This Row],[Laskennallinen kunnallisvero, €]:[Laskennallinen kiinteistövero, €]])</f>
        <v>2720686.5591104194</v>
      </c>
      <c r="K231" s="15">
        <f>Tasaus[[#This Row],[Laskennallinen verotulo yhteensä, €]]/Tasaus[[#This Row],[Asukasluku 31.12.2022]]</f>
        <v>1388.1053873012343</v>
      </c>
      <c r="L231" s="34">
        <f>$K$11-Tasaus[[#This Row],[Laskennallinen verotulo yhteensä, €/asukas (=tasausraja)]]</f>
        <v>745.65461269876596</v>
      </c>
      <c r="M231" s="369">
        <v>671.08915142888941</v>
      </c>
      <c r="N231" s="370">
        <v>1315334.7368006231</v>
      </c>
      <c r="P231" s="116"/>
      <c r="Q231" s="117"/>
      <c r="R231" s="118"/>
    </row>
    <row r="232" spans="1:18">
      <c r="A232" s="266">
        <v>710</v>
      </c>
      <c r="B232" s="13" t="s">
        <v>232</v>
      </c>
      <c r="C232" s="267">
        <v>27306</v>
      </c>
      <c r="D232" s="268">
        <v>9.36</v>
      </c>
      <c r="E232" s="14">
        <v>51745658.950000003</v>
      </c>
      <c r="F232" s="14">
        <f>Tasaus[[#This Row],[Kunnallisvero (maksuunpantu), €]]*100/Tasaus[[#This Row],[Tuloveroprosentti 2023]]</f>
        <v>552838236.6452992</v>
      </c>
      <c r="G232" s="269">
        <f>Tasaus[[#This Row],[Verotettava tulo (kunnallisvero), €]]*($D$11/100)</f>
        <v>40799461.864423081</v>
      </c>
      <c r="H232" s="14">
        <v>3712794.6861453266</v>
      </c>
      <c r="I232" s="15">
        <v>5575549.7111999998</v>
      </c>
      <c r="J232" s="15">
        <f>SUM(Tasaus[[#This Row],[Laskennallinen kunnallisvero, €]:[Laskennallinen kiinteistövero, €]])</f>
        <v>50087806.261768408</v>
      </c>
      <c r="K232" s="15">
        <f>Tasaus[[#This Row],[Laskennallinen verotulo yhteensä, €]]/Tasaus[[#This Row],[Asukasluku 31.12.2022]]</f>
        <v>1834.3150319258921</v>
      </c>
      <c r="L232" s="34">
        <f>$K$11-Tasaus[[#This Row],[Laskennallinen verotulo yhteensä, €/asukas (=tasausraja)]]</f>
        <v>299.44496807410815</v>
      </c>
      <c r="M232" s="369">
        <v>269.50047126669733</v>
      </c>
      <c r="N232" s="370">
        <v>7358979.8684084369</v>
      </c>
      <c r="P232" s="116"/>
      <c r="Q232" s="117"/>
      <c r="R232" s="118"/>
    </row>
    <row r="233" spans="1:18">
      <c r="A233" s="266">
        <v>729</v>
      </c>
      <c r="B233" s="13" t="s">
        <v>581</v>
      </c>
      <c r="C233" s="267">
        <v>8975</v>
      </c>
      <c r="D233" s="268">
        <v>9.360000000000003</v>
      </c>
      <c r="E233" s="14">
        <v>13181153.210000001</v>
      </c>
      <c r="F233" s="14">
        <f>Tasaus[[#This Row],[Kunnallisvero (maksuunpantu), €]]*100/Tasaus[[#This Row],[Tuloveroprosentti 2023]]</f>
        <v>140824286.43162388</v>
      </c>
      <c r="G233" s="269">
        <f>Tasaus[[#This Row],[Verotettava tulo (kunnallisvero), €]]*($D$11/100)</f>
        <v>10392832.338653842</v>
      </c>
      <c r="H233" s="14">
        <v>1820489.5353698488</v>
      </c>
      <c r="I233" s="15">
        <v>1569706.4205499997</v>
      </c>
      <c r="J233" s="15">
        <f>SUM(Tasaus[[#This Row],[Laskennallinen kunnallisvero, €]:[Laskennallinen kiinteistövero, €]])</f>
        <v>13783028.294573691</v>
      </c>
      <c r="K233" s="15">
        <f>Tasaus[[#This Row],[Laskennallinen verotulo yhteensä, €]]/Tasaus[[#This Row],[Asukasluku 31.12.2022]]</f>
        <v>1535.7134590054252</v>
      </c>
      <c r="L233" s="34">
        <f>$K$11-Tasaus[[#This Row],[Laskennallinen verotulo yhteensä, €/asukas (=tasausraja)]]</f>
        <v>598.04654099457503</v>
      </c>
      <c r="M233" s="369">
        <v>538.24188689511755</v>
      </c>
      <c r="N233" s="370">
        <v>4830720.9348836802</v>
      </c>
      <c r="P233" s="116"/>
      <c r="Q233" s="117"/>
      <c r="R233" s="118"/>
    </row>
    <row r="234" spans="1:18">
      <c r="A234" s="266">
        <v>732</v>
      </c>
      <c r="B234" s="13" t="s">
        <v>582</v>
      </c>
      <c r="C234" s="267">
        <v>3336</v>
      </c>
      <c r="D234" s="268">
        <v>7.6099999999999994</v>
      </c>
      <c r="E234" s="14">
        <v>4169101.05</v>
      </c>
      <c r="F234" s="14">
        <f>Tasaus[[#This Row],[Kunnallisvero (maksuunpantu), €]]*100/Tasaus[[#This Row],[Tuloveroprosentti 2023]]</f>
        <v>54784507.884362683</v>
      </c>
      <c r="G234" s="269">
        <f>Tasaus[[#This Row],[Verotettava tulo (kunnallisvero), €]]*($D$11/100)</f>
        <v>4043096.6818659664</v>
      </c>
      <c r="H234" s="14">
        <v>834207.80659335584</v>
      </c>
      <c r="I234" s="15">
        <v>659597.49624999997</v>
      </c>
      <c r="J234" s="15">
        <f>SUM(Tasaus[[#This Row],[Laskennallinen kunnallisvero, €]:[Laskennallinen kiinteistövero, €]])</f>
        <v>5536901.9847093225</v>
      </c>
      <c r="K234" s="15">
        <f>Tasaus[[#This Row],[Laskennallinen verotulo yhteensä, €]]/Tasaus[[#This Row],[Asukasluku 31.12.2022]]</f>
        <v>1659.7428011718594</v>
      </c>
      <c r="L234" s="34">
        <f>$K$11-Tasaus[[#This Row],[Laskennallinen verotulo yhteensä, €/asukas (=tasausraja)]]</f>
        <v>474.01719882814086</v>
      </c>
      <c r="M234" s="369">
        <v>426.6154789453268</v>
      </c>
      <c r="N234" s="370">
        <v>1423189.2377616102</v>
      </c>
      <c r="P234" s="116"/>
      <c r="Q234" s="117"/>
      <c r="R234" s="118"/>
    </row>
    <row r="235" spans="1:18">
      <c r="A235" s="266">
        <v>734</v>
      </c>
      <c r="B235" s="13" t="s">
        <v>583</v>
      </c>
      <c r="C235" s="267">
        <v>50933</v>
      </c>
      <c r="D235" s="268">
        <v>8.11</v>
      </c>
      <c r="E235" s="14">
        <v>80348538.819999993</v>
      </c>
      <c r="F235" s="14">
        <f>Tasaus[[#This Row],[Kunnallisvero (maksuunpantu), €]]*100/Tasaus[[#This Row],[Tuloveroprosentti 2023]]</f>
        <v>990734140.81381011</v>
      </c>
      <c r="G235" s="269">
        <f>Tasaus[[#This Row],[Verotettava tulo (kunnallisvero), €]]*($D$11/100)</f>
        <v>73116179.592059195</v>
      </c>
      <c r="H235" s="14">
        <v>11465411.892907025</v>
      </c>
      <c r="I235" s="15">
        <v>8645959.0924000014</v>
      </c>
      <c r="J235" s="15">
        <f>SUM(Tasaus[[#This Row],[Laskennallinen kunnallisvero, €]:[Laskennallinen kiinteistövero, €]])</f>
        <v>93227550.577366218</v>
      </c>
      <c r="K235" s="15">
        <f>Tasaus[[#This Row],[Laskennallinen verotulo yhteensä, €]]/Tasaus[[#This Row],[Asukasluku 31.12.2022]]</f>
        <v>1830.3958254445295</v>
      </c>
      <c r="L235" s="34">
        <f>$K$11-Tasaus[[#This Row],[Laskennallinen verotulo yhteensä, €/asukas (=tasausraja)]]</f>
        <v>303.36417455547075</v>
      </c>
      <c r="M235" s="369">
        <v>273.02775709992369</v>
      </c>
      <c r="N235" s="370">
        <v>13906122.752370413</v>
      </c>
      <c r="P235" s="116"/>
      <c r="Q235" s="117"/>
      <c r="R235" s="118"/>
    </row>
    <row r="236" spans="1:18">
      <c r="A236" s="266">
        <v>738</v>
      </c>
      <c r="B236" s="13" t="s">
        <v>584</v>
      </c>
      <c r="C236" s="267">
        <v>2917</v>
      </c>
      <c r="D236" s="268">
        <v>8.86</v>
      </c>
      <c r="E236" s="14">
        <v>5207500.67</v>
      </c>
      <c r="F236" s="14">
        <f>Tasaus[[#This Row],[Kunnallisvero (maksuunpantu), €]]*100/Tasaus[[#This Row],[Tuloveroprosentti 2023]]</f>
        <v>58775402.595936798</v>
      </c>
      <c r="G236" s="269">
        <f>Tasaus[[#This Row],[Verotettava tulo (kunnallisvero), €]]*($D$11/100)</f>
        <v>4337624.7115801359</v>
      </c>
      <c r="H236" s="14">
        <v>485422.8590715506</v>
      </c>
      <c r="I236" s="15">
        <v>600349.43264999997</v>
      </c>
      <c r="J236" s="15">
        <f>SUM(Tasaus[[#This Row],[Laskennallinen kunnallisvero, €]:[Laskennallinen kiinteistövero, €]])</f>
        <v>5423397.0033016866</v>
      </c>
      <c r="K236" s="15">
        <f>Tasaus[[#This Row],[Laskennallinen verotulo yhteensä, €]]/Tasaus[[#This Row],[Asukasluku 31.12.2022]]</f>
        <v>1859.2379167986585</v>
      </c>
      <c r="L236" s="34">
        <f>$K$11-Tasaus[[#This Row],[Laskennallinen verotulo yhteensä, €/asukas (=tasausraja)]]</f>
        <v>274.52208320134173</v>
      </c>
      <c r="M236" s="369">
        <v>247.06987488120757</v>
      </c>
      <c r="N236" s="370">
        <v>720702.82502848248</v>
      </c>
      <c r="P236" s="116"/>
      <c r="Q236" s="117"/>
      <c r="R236" s="118"/>
    </row>
    <row r="237" spans="1:18">
      <c r="A237" s="266">
        <v>739</v>
      </c>
      <c r="B237" s="13" t="s">
        <v>585</v>
      </c>
      <c r="C237" s="267">
        <v>3256</v>
      </c>
      <c r="D237" s="268">
        <v>8.86</v>
      </c>
      <c r="E237" s="14">
        <v>4871702.09</v>
      </c>
      <c r="F237" s="14">
        <f>Tasaus[[#This Row],[Kunnallisvero (maksuunpantu), €]]*100/Tasaus[[#This Row],[Tuloveroprosentti 2023]]</f>
        <v>54985350.902934544</v>
      </c>
      <c r="G237" s="269">
        <f>Tasaus[[#This Row],[Verotettava tulo (kunnallisvero), €]]*($D$11/100)</f>
        <v>4057918.8966365694</v>
      </c>
      <c r="H237" s="14">
        <v>698284.15913221787</v>
      </c>
      <c r="I237" s="15">
        <v>845875.51374999981</v>
      </c>
      <c r="J237" s="15">
        <f>SUM(Tasaus[[#This Row],[Laskennallinen kunnallisvero, €]:[Laskennallinen kiinteistövero, €]])</f>
        <v>5602078.5695187869</v>
      </c>
      <c r="K237" s="15">
        <f>Tasaus[[#This Row],[Laskennallinen verotulo yhteensä, €]]/Tasaus[[#This Row],[Asukasluku 31.12.2022]]</f>
        <v>1720.5401012035586</v>
      </c>
      <c r="L237" s="34">
        <f>$K$11-Tasaus[[#This Row],[Laskennallinen verotulo yhteensä, €/asukas (=tasausraja)]]</f>
        <v>413.21989879644161</v>
      </c>
      <c r="M237" s="369">
        <v>371.89790891679746</v>
      </c>
      <c r="N237" s="370">
        <v>1210899.5914330925</v>
      </c>
      <c r="P237" s="116"/>
      <c r="Q237" s="117"/>
      <c r="R237" s="118"/>
    </row>
    <row r="238" spans="1:18">
      <c r="A238" s="266">
        <v>740</v>
      </c>
      <c r="B238" s="13" t="s">
        <v>586</v>
      </c>
      <c r="C238" s="267">
        <v>32085</v>
      </c>
      <c r="D238" s="268">
        <v>9.36</v>
      </c>
      <c r="E238" s="14">
        <v>55776735.299999997</v>
      </c>
      <c r="F238" s="14">
        <f>Tasaus[[#This Row],[Kunnallisvero (maksuunpantu), €]]*100/Tasaus[[#This Row],[Tuloveroprosentti 2023]]</f>
        <v>595905291.66666675</v>
      </c>
      <c r="G238" s="269">
        <f>Tasaus[[#This Row],[Verotettava tulo (kunnallisvero), €]]*($D$11/100)</f>
        <v>43977810.525000006</v>
      </c>
      <c r="H238" s="14">
        <v>8413358.5672622379</v>
      </c>
      <c r="I238" s="15">
        <v>6002140.3532499997</v>
      </c>
      <c r="J238" s="15">
        <f>SUM(Tasaus[[#This Row],[Laskennallinen kunnallisvero, €]:[Laskennallinen kiinteistövero, €]])</f>
        <v>58393309.445512243</v>
      </c>
      <c r="K238" s="15">
        <f>Tasaus[[#This Row],[Laskennallinen verotulo yhteensä, €]]/Tasaus[[#This Row],[Asukasluku 31.12.2022]]</f>
        <v>1819.9566602933533</v>
      </c>
      <c r="L238" s="34">
        <f>$K$11-Tasaus[[#This Row],[Laskennallinen verotulo yhteensä, €/asukas (=tasausraja)]]</f>
        <v>313.80333970664697</v>
      </c>
      <c r="M238" s="369">
        <v>282.42300573598226</v>
      </c>
      <c r="N238" s="370">
        <v>9061542.1390389912</v>
      </c>
      <c r="P238" s="116"/>
      <c r="Q238" s="117"/>
      <c r="R238" s="118"/>
    </row>
    <row r="239" spans="1:18">
      <c r="A239" s="266">
        <v>742</v>
      </c>
      <c r="B239" s="13" t="s">
        <v>587</v>
      </c>
      <c r="C239" s="267">
        <v>988</v>
      </c>
      <c r="D239" s="268">
        <v>9.110000000000003</v>
      </c>
      <c r="E239" s="14">
        <v>1458016.03</v>
      </c>
      <c r="F239" s="14">
        <f>Tasaus[[#This Row],[Kunnallisvero (maksuunpantu), €]]*100/Tasaus[[#This Row],[Tuloveroprosentti 2023]]</f>
        <v>16004566.739846317</v>
      </c>
      <c r="G239" s="269">
        <f>Tasaus[[#This Row],[Verotettava tulo (kunnallisvero), €]]*($D$11/100)</f>
        <v>1181137.0254006584</v>
      </c>
      <c r="H239" s="14">
        <v>681574.87168577651</v>
      </c>
      <c r="I239" s="15">
        <v>208112.90195</v>
      </c>
      <c r="J239" s="15">
        <f>SUM(Tasaus[[#This Row],[Laskennallinen kunnallisvero, €]:[Laskennallinen kiinteistövero, €]])</f>
        <v>2070824.7990364351</v>
      </c>
      <c r="K239" s="15">
        <f>Tasaus[[#This Row],[Laskennallinen verotulo yhteensä, €]]/Tasaus[[#This Row],[Asukasluku 31.12.2022]]</f>
        <v>2095.9765172433554</v>
      </c>
      <c r="L239" s="34">
        <f>$K$11-Tasaus[[#This Row],[Laskennallinen verotulo yhteensä, €/asukas (=tasausraja)]]</f>
        <v>37.783482756644844</v>
      </c>
      <c r="M239" s="369">
        <v>34.00513448098036</v>
      </c>
      <c r="N239" s="370">
        <v>33597.072867208597</v>
      </c>
      <c r="P239" s="116"/>
      <c r="Q239" s="117"/>
      <c r="R239" s="118"/>
    </row>
    <row r="240" spans="1:18">
      <c r="A240" s="266">
        <v>743</v>
      </c>
      <c r="B240" s="13" t="s">
        <v>588</v>
      </c>
      <c r="C240" s="267">
        <v>65323</v>
      </c>
      <c r="D240" s="268">
        <v>8.36</v>
      </c>
      <c r="E240" s="14">
        <v>111052674.3</v>
      </c>
      <c r="F240" s="14">
        <f>Tasaus[[#This Row],[Kunnallisvero (maksuunpantu), €]]*100/Tasaus[[#This Row],[Tuloveroprosentti 2023]]</f>
        <v>1328381271.5311005</v>
      </c>
      <c r="G240" s="269">
        <f>Tasaus[[#This Row],[Verotettava tulo (kunnallisvero), €]]*($D$11/100)</f>
        <v>98034537.838995218</v>
      </c>
      <c r="H240" s="14">
        <v>15871868.236629996</v>
      </c>
      <c r="I240" s="15">
        <v>12344872.610149998</v>
      </c>
      <c r="J240" s="15">
        <f>SUM(Tasaus[[#This Row],[Laskennallinen kunnallisvero, €]:[Laskennallinen kiinteistövero, €]])</f>
        <v>126251278.68577521</v>
      </c>
      <c r="K240" s="15">
        <f>Tasaus[[#This Row],[Laskennallinen verotulo yhteensä, €]]/Tasaus[[#This Row],[Asukasluku 31.12.2022]]</f>
        <v>1932.7232167196119</v>
      </c>
      <c r="L240" s="34">
        <f>$K$11-Tasaus[[#This Row],[Laskennallinen verotulo yhteensä, €/asukas (=tasausraja)]]</f>
        <v>201.03678328038836</v>
      </c>
      <c r="M240" s="369">
        <v>180.93310495234954</v>
      </c>
      <c r="N240" s="370">
        <v>11819093.214802328</v>
      </c>
      <c r="P240" s="116"/>
      <c r="Q240" s="117"/>
      <c r="R240" s="118"/>
    </row>
    <row r="241" spans="1:18">
      <c r="A241" s="266">
        <v>746</v>
      </c>
      <c r="B241" s="13" t="s">
        <v>589</v>
      </c>
      <c r="C241" s="267">
        <v>4735</v>
      </c>
      <c r="D241" s="268">
        <v>9.11</v>
      </c>
      <c r="E241" s="14">
        <v>6348955.25</v>
      </c>
      <c r="F241" s="14">
        <f>Tasaus[[#This Row],[Kunnallisvero (maksuunpantu), €]]*100/Tasaus[[#This Row],[Tuloveroprosentti 2023]]</f>
        <v>69692154.226125136</v>
      </c>
      <c r="G241" s="269">
        <f>Tasaus[[#This Row],[Verotettava tulo (kunnallisvero), €]]*($D$11/100)</f>
        <v>5143280.9818880353</v>
      </c>
      <c r="H241" s="14">
        <v>2293412.8627353087</v>
      </c>
      <c r="I241" s="15">
        <v>604179.93064999999</v>
      </c>
      <c r="J241" s="15">
        <f>SUM(Tasaus[[#This Row],[Laskennallinen kunnallisvero, €]:[Laskennallinen kiinteistövero, €]])</f>
        <v>8040873.7752733435</v>
      </c>
      <c r="K241" s="15">
        <f>Tasaus[[#This Row],[Laskennallinen verotulo yhteensä, €]]/Tasaus[[#This Row],[Asukasluku 31.12.2022]]</f>
        <v>1698.1781996353418</v>
      </c>
      <c r="L241" s="34">
        <f>$K$11-Tasaus[[#This Row],[Laskennallinen verotulo yhteensä, €/asukas (=tasausraja)]]</f>
        <v>435.58180036465842</v>
      </c>
      <c r="M241" s="369">
        <v>392.02362032819258</v>
      </c>
      <c r="N241" s="370">
        <v>1856231.8422539919</v>
      </c>
      <c r="P241" s="116"/>
      <c r="Q241" s="117"/>
      <c r="R241" s="118"/>
    </row>
    <row r="242" spans="1:18">
      <c r="A242" s="266">
        <v>747</v>
      </c>
      <c r="B242" s="13" t="s">
        <v>590</v>
      </c>
      <c r="C242" s="267">
        <v>1308</v>
      </c>
      <c r="D242" s="268">
        <v>9.36</v>
      </c>
      <c r="E242" s="14">
        <v>1730893.79</v>
      </c>
      <c r="F242" s="14">
        <f>Tasaus[[#This Row],[Kunnallisvero (maksuunpantu), €]]*100/Tasaus[[#This Row],[Tuloveroprosentti 2023]]</f>
        <v>18492455.021367524</v>
      </c>
      <c r="G242" s="269">
        <f>Tasaus[[#This Row],[Verotettava tulo (kunnallisvero), €]]*($D$11/100)</f>
        <v>1364743.1805769233</v>
      </c>
      <c r="H242" s="14">
        <v>470478.11837985757</v>
      </c>
      <c r="I242" s="15">
        <v>294695.95295000001</v>
      </c>
      <c r="J242" s="15">
        <f>SUM(Tasaus[[#This Row],[Laskennallinen kunnallisvero, €]:[Laskennallinen kiinteistövero, €]])</f>
        <v>2129917.251906781</v>
      </c>
      <c r="K242" s="15">
        <f>Tasaus[[#This Row],[Laskennallinen verotulo yhteensä, €]]/Tasaus[[#This Row],[Asukasluku 31.12.2022]]</f>
        <v>1628.3771039042667</v>
      </c>
      <c r="L242" s="34">
        <f>$K$11-Tasaus[[#This Row],[Laskennallinen verotulo yhteensä, €/asukas (=tasausraja)]]</f>
        <v>505.38289609573349</v>
      </c>
      <c r="M242" s="369">
        <v>454.84460648616016</v>
      </c>
      <c r="N242" s="370">
        <v>594936.7452838975</v>
      </c>
      <c r="P242" s="116"/>
      <c r="Q242" s="117"/>
      <c r="R242" s="118"/>
    </row>
    <row r="243" spans="1:18">
      <c r="A243" s="266">
        <v>748</v>
      </c>
      <c r="B243" s="13" t="s">
        <v>591</v>
      </c>
      <c r="C243" s="267">
        <v>4897</v>
      </c>
      <c r="D243" s="268">
        <v>9.36</v>
      </c>
      <c r="E243" s="14">
        <v>7436526.5599999996</v>
      </c>
      <c r="F243" s="14">
        <f>Tasaus[[#This Row],[Kunnallisvero (maksuunpantu), €]]*100/Tasaus[[#This Row],[Tuloveroprosentti 2023]]</f>
        <v>79450070.085470095</v>
      </c>
      <c r="G243" s="269">
        <f>Tasaus[[#This Row],[Verotettava tulo (kunnallisvero), €]]*($D$11/100)</f>
        <v>5863415.1723076934</v>
      </c>
      <c r="H243" s="14">
        <v>1071552.1030316178</v>
      </c>
      <c r="I243" s="15">
        <v>779864.89529999986</v>
      </c>
      <c r="J243" s="15">
        <f>SUM(Tasaus[[#This Row],[Laskennallinen kunnallisvero, €]:[Laskennallinen kiinteistövero, €]])</f>
        <v>7714832.170639311</v>
      </c>
      <c r="K243" s="15">
        <f>Tasaus[[#This Row],[Laskennallinen verotulo yhteensä, €]]/Tasaus[[#This Row],[Asukasluku 31.12.2022]]</f>
        <v>1575.4200879394141</v>
      </c>
      <c r="L243" s="34">
        <f>$K$11-Tasaus[[#This Row],[Laskennallinen verotulo yhteensä, €/asukas (=tasausraja)]]</f>
        <v>558.33991206058613</v>
      </c>
      <c r="M243" s="369">
        <v>502.50592085452752</v>
      </c>
      <c r="N243" s="370">
        <v>2460771.4944246211</v>
      </c>
      <c r="P243" s="116"/>
      <c r="Q243" s="117"/>
      <c r="R243" s="118"/>
    </row>
    <row r="244" spans="1:18">
      <c r="A244" s="266">
        <v>749</v>
      </c>
      <c r="B244" s="13" t="s">
        <v>592</v>
      </c>
      <c r="C244" s="267">
        <v>21232</v>
      </c>
      <c r="D244" s="268">
        <v>9.360000000000003</v>
      </c>
      <c r="E244" s="14">
        <v>41471389.969999999</v>
      </c>
      <c r="F244" s="14">
        <f>Tasaus[[#This Row],[Kunnallisvero (maksuunpantu), €]]*100/Tasaus[[#This Row],[Tuloveroprosentti 2023]]</f>
        <v>443070405.66239303</v>
      </c>
      <c r="G244" s="269">
        <f>Tasaus[[#This Row],[Verotettava tulo (kunnallisvero), €]]*($D$11/100)</f>
        <v>32698595.937884606</v>
      </c>
      <c r="H244" s="14">
        <v>5799692.3280193005</v>
      </c>
      <c r="I244" s="15">
        <v>2908131.3565499997</v>
      </c>
      <c r="J244" s="15">
        <f>SUM(Tasaus[[#This Row],[Laskennallinen kunnallisvero, €]:[Laskennallinen kiinteistövero, €]])</f>
        <v>41406419.622453906</v>
      </c>
      <c r="K244" s="15">
        <f>Tasaus[[#This Row],[Laskennallinen verotulo yhteensä, €]]/Tasaus[[#This Row],[Asukasluku 31.12.2022]]</f>
        <v>1950.1893190681003</v>
      </c>
      <c r="L244" s="34">
        <f>$K$11-Tasaus[[#This Row],[Laskennallinen verotulo yhteensä, €/asukas (=tasausraja)]]</f>
        <v>183.57068093189991</v>
      </c>
      <c r="M244" s="369">
        <v>165.21361283870993</v>
      </c>
      <c r="N244" s="370">
        <v>3507815.4277914893</v>
      </c>
      <c r="P244" s="116"/>
      <c r="Q244" s="117"/>
      <c r="R244" s="118"/>
    </row>
    <row r="245" spans="1:18">
      <c r="A245" s="266">
        <v>751</v>
      </c>
      <c r="B245" s="13" t="s">
        <v>593</v>
      </c>
      <c r="C245" s="267">
        <v>2877</v>
      </c>
      <c r="D245" s="268">
        <v>9.36</v>
      </c>
      <c r="E245" s="14">
        <v>5229516.8899999997</v>
      </c>
      <c r="F245" s="14">
        <f>Tasaus[[#This Row],[Kunnallisvero (maksuunpantu), €]]*100/Tasaus[[#This Row],[Tuloveroprosentti 2023]]</f>
        <v>55870906.94444444</v>
      </c>
      <c r="G245" s="269">
        <f>Tasaus[[#This Row],[Verotettava tulo (kunnallisvero), €]]*($D$11/100)</f>
        <v>4123272.9325000001</v>
      </c>
      <c r="H245" s="14">
        <v>294538.43180513004</v>
      </c>
      <c r="I245" s="15">
        <v>359693.23950000008</v>
      </c>
      <c r="J245" s="15">
        <f>SUM(Tasaus[[#This Row],[Laskennallinen kunnallisvero, €]:[Laskennallinen kiinteistövero, €]])</f>
        <v>4777504.6038051303</v>
      </c>
      <c r="K245" s="15">
        <f>Tasaus[[#This Row],[Laskennallinen verotulo yhteensä, €]]/Tasaus[[#This Row],[Asukasluku 31.12.2022]]</f>
        <v>1660.5855418161732</v>
      </c>
      <c r="L245" s="34">
        <f>$K$11-Tasaus[[#This Row],[Laskennallinen verotulo yhteensä, €/asukas (=tasausraja)]]</f>
        <v>473.17445818382703</v>
      </c>
      <c r="M245" s="369">
        <v>425.85701236544435</v>
      </c>
      <c r="N245" s="370">
        <v>1225190.6245753835</v>
      </c>
      <c r="P245" s="116"/>
      <c r="Q245" s="117"/>
      <c r="R245" s="118"/>
    </row>
    <row r="246" spans="1:18">
      <c r="A246" s="266">
        <v>753</v>
      </c>
      <c r="B246" s="13" t="s">
        <v>594</v>
      </c>
      <c r="C246" s="267">
        <v>22320</v>
      </c>
      <c r="D246" s="268">
        <v>6.6099999999999994</v>
      </c>
      <c r="E246" s="14">
        <v>39240329.189999998</v>
      </c>
      <c r="F246" s="14">
        <f>Tasaus[[#This Row],[Kunnallisvero (maksuunpantu), €]]*100/Tasaus[[#This Row],[Tuloveroprosentti 2023]]</f>
        <v>593650971.1043874</v>
      </c>
      <c r="G246" s="269">
        <f>Tasaus[[#This Row],[Verotettava tulo (kunnallisvero), €]]*($D$11/100)</f>
        <v>43811441.667503797</v>
      </c>
      <c r="H246" s="14">
        <v>5568797.6116898153</v>
      </c>
      <c r="I246" s="15">
        <v>6313212.8245499991</v>
      </c>
      <c r="J246" s="15">
        <f>SUM(Tasaus[[#This Row],[Laskennallinen kunnallisvero, €]:[Laskennallinen kiinteistövero, €]])</f>
        <v>55693452.103743613</v>
      </c>
      <c r="K246" s="15">
        <f>Tasaus[[#This Row],[Laskennallinen verotulo yhteensä, €]]/Tasaus[[#This Row],[Asukasluku 31.12.2022]]</f>
        <v>2495.2263487340329</v>
      </c>
      <c r="L246" s="34">
        <f>$K$11-Tasaus[[#This Row],[Laskennallinen verotulo yhteensä, €/asukas (=tasausraja)]]</f>
        <v>-361.46634873403264</v>
      </c>
      <c r="M246" s="369">
        <v>-36.146634873403265</v>
      </c>
      <c r="N246" s="370">
        <v>-806792.89037436084</v>
      </c>
      <c r="P246" s="116"/>
      <c r="Q246" s="117"/>
      <c r="R246" s="118"/>
    </row>
    <row r="247" spans="1:18">
      <c r="A247" s="266">
        <v>755</v>
      </c>
      <c r="B247" s="13" t="s">
        <v>595</v>
      </c>
      <c r="C247" s="267">
        <v>6217</v>
      </c>
      <c r="D247" s="268">
        <v>8.61</v>
      </c>
      <c r="E247" s="14">
        <v>13466417.310000001</v>
      </c>
      <c r="F247" s="14">
        <f>Tasaus[[#This Row],[Kunnallisvero (maksuunpantu), €]]*100/Tasaus[[#This Row],[Tuloveroprosentti 2023]]</f>
        <v>156404382.22996518</v>
      </c>
      <c r="G247" s="269">
        <f>Tasaus[[#This Row],[Verotettava tulo (kunnallisvero), €]]*($D$11/100)</f>
        <v>11542643.408571431</v>
      </c>
      <c r="H247" s="14">
        <v>667055.99411106459</v>
      </c>
      <c r="I247" s="15">
        <v>1290101.4306999999</v>
      </c>
      <c r="J247" s="15">
        <f>SUM(Tasaus[[#This Row],[Laskennallinen kunnallisvero, €]:[Laskennallinen kiinteistövero, €]])</f>
        <v>13499800.833382497</v>
      </c>
      <c r="K247" s="15">
        <f>Tasaus[[#This Row],[Laskennallinen verotulo yhteensä, €]]/Tasaus[[#This Row],[Asukasluku 31.12.2022]]</f>
        <v>2171.4333011713843</v>
      </c>
      <c r="L247" s="34">
        <f>$K$11-Tasaus[[#This Row],[Laskennallinen verotulo yhteensä, €/asukas (=tasausraja)]]</f>
        <v>-37.673301171384082</v>
      </c>
      <c r="M247" s="369">
        <v>-3.7673301171384086</v>
      </c>
      <c r="N247" s="370">
        <v>-23421.491338249485</v>
      </c>
      <c r="P247" s="116"/>
      <c r="Q247" s="117"/>
      <c r="R247" s="118"/>
    </row>
    <row r="248" spans="1:18">
      <c r="A248" s="266">
        <v>758</v>
      </c>
      <c r="B248" s="13" t="s">
        <v>596</v>
      </c>
      <c r="C248" s="267">
        <v>8134</v>
      </c>
      <c r="D248" s="268">
        <v>8.36</v>
      </c>
      <c r="E248" s="14">
        <v>13712907.98</v>
      </c>
      <c r="F248" s="14">
        <f>Tasaus[[#This Row],[Kunnallisvero (maksuunpantu), €]]*100/Tasaus[[#This Row],[Tuloveroprosentti 2023]]</f>
        <v>164029999.76076555</v>
      </c>
      <c r="G248" s="269">
        <f>Tasaus[[#This Row],[Verotettava tulo (kunnallisvero), €]]*($D$11/100)</f>
        <v>12105413.982344499</v>
      </c>
      <c r="H248" s="14">
        <v>5036569.7007258665</v>
      </c>
      <c r="I248" s="15">
        <v>2153105.06635</v>
      </c>
      <c r="J248" s="15">
        <f>SUM(Tasaus[[#This Row],[Laskennallinen kunnallisvero, €]:[Laskennallinen kiinteistövero, €]])</f>
        <v>19295088.749420367</v>
      </c>
      <c r="K248" s="15">
        <f>Tasaus[[#This Row],[Laskennallinen verotulo yhteensä, €]]/Tasaus[[#This Row],[Asukasluku 31.12.2022]]</f>
        <v>2372.1525386550734</v>
      </c>
      <c r="L248" s="34">
        <f>$K$11-Tasaus[[#This Row],[Laskennallinen verotulo yhteensä, €/asukas (=tasausraja)]]</f>
        <v>-238.39253865507317</v>
      </c>
      <c r="M248" s="369">
        <v>-23.839253865507317</v>
      </c>
      <c r="N248" s="370">
        <v>-193908.4909420365</v>
      </c>
      <c r="P248" s="116"/>
      <c r="Q248" s="117"/>
      <c r="R248" s="118"/>
    </row>
    <row r="249" spans="1:18">
      <c r="A249" s="266">
        <v>759</v>
      </c>
      <c r="B249" s="13" t="s">
        <v>597</v>
      </c>
      <c r="C249" s="267">
        <v>1942</v>
      </c>
      <c r="D249" s="268">
        <v>9.1099999999999959</v>
      </c>
      <c r="E249" s="14">
        <v>2393642.21</v>
      </c>
      <c r="F249" s="14">
        <f>Tasaus[[#This Row],[Kunnallisvero (maksuunpantu), €]]*100/Tasaus[[#This Row],[Tuloveroprosentti 2023]]</f>
        <v>26274887.047200888</v>
      </c>
      <c r="G249" s="269">
        <f>Tasaus[[#This Row],[Verotettava tulo (kunnallisvero), €]]*($D$11/100)</f>
        <v>1939086.6640834257</v>
      </c>
      <c r="H249" s="14">
        <v>972877.10318000859</v>
      </c>
      <c r="I249" s="15">
        <v>289285.77214999998</v>
      </c>
      <c r="J249" s="15">
        <f>SUM(Tasaus[[#This Row],[Laskennallinen kunnallisvero, €]:[Laskennallinen kiinteistövero, €]])</f>
        <v>3201249.5394134345</v>
      </c>
      <c r="K249" s="15">
        <f>Tasaus[[#This Row],[Laskennallinen verotulo yhteensä, €]]/Tasaus[[#This Row],[Asukasluku 31.12.2022]]</f>
        <v>1648.4292169997088</v>
      </c>
      <c r="L249" s="34">
        <f>$K$11-Tasaus[[#This Row],[Laskennallinen verotulo yhteensä, €/asukas (=tasausraja)]]</f>
        <v>485.33078300029138</v>
      </c>
      <c r="M249" s="369">
        <v>436.79770470026227</v>
      </c>
      <c r="N249" s="370">
        <v>848261.14252790937</v>
      </c>
      <c r="P249" s="116"/>
      <c r="Q249" s="117"/>
      <c r="R249" s="118"/>
    </row>
    <row r="250" spans="1:18">
      <c r="A250" s="266">
        <v>761</v>
      </c>
      <c r="B250" s="13" t="s">
        <v>598</v>
      </c>
      <c r="C250" s="267">
        <v>8426</v>
      </c>
      <c r="D250" s="268">
        <v>7.8599999999999994</v>
      </c>
      <c r="E250" s="14">
        <v>11736535.359999999</v>
      </c>
      <c r="F250" s="14">
        <f>Tasaus[[#This Row],[Kunnallisvero (maksuunpantu), €]]*100/Tasaus[[#This Row],[Tuloveroprosentti 2023]]</f>
        <v>149319788.29516542</v>
      </c>
      <c r="G250" s="269">
        <f>Tasaus[[#This Row],[Verotettava tulo (kunnallisvero), €]]*($D$11/100)</f>
        <v>11019800.376183208</v>
      </c>
      <c r="H250" s="14">
        <v>1223305.8192761641</v>
      </c>
      <c r="I250" s="15">
        <v>1266736.0575000001</v>
      </c>
      <c r="J250" s="15">
        <f>SUM(Tasaus[[#This Row],[Laskennallinen kunnallisvero, €]:[Laskennallinen kiinteistövero, €]])</f>
        <v>13509842.252959371</v>
      </c>
      <c r="K250" s="15">
        <f>Tasaus[[#This Row],[Laskennallinen verotulo yhteensä, €]]/Tasaus[[#This Row],[Asukasluku 31.12.2022]]</f>
        <v>1603.3517983573902</v>
      </c>
      <c r="L250" s="34">
        <f>$K$11-Tasaus[[#This Row],[Laskennallinen verotulo yhteensä, €/asukas (=tasausraja)]]</f>
        <v>530.40820164261004</v>
      </c>
      <c r="M250" s="369">
        <v>477.36738147834905</v>
      </c>
      <c r="N250" s="370">
        <v>4022297.5563365691</v>
      </c>
      <c r="P250" s="116"/>
      <c r="Q250" s="117"/>
      <c r="R250" s="118"/>
    </row>
    <row r="251" spans="1:18">
      <c r="A251" s="266">
        <v>762</v>
      </c>
      <c r="B251" s="13" t="s">
        <v>599</v>
      </c>
      <c r="C251" s="267">
        <v>3672</v>
      </c>
      <c r="D251" s="268">
        <v>8.61</v>
      </c>
      <c r="E251" s="14">
        <v>4856269.58</v>
      </c>
      <c r="F251" s="14">
        <f>Tasaus[[#This Row],[Kunnallisvero (maksuunpantu), €]]*100/Tasaus[[#This Row],[Tuloveroprosentti 2023]]</f>
        <v>56402666.434378631</v>
      </c>
      <c r="G251" s="269">
        <f>Tasaus[[#This Row],[Verotettava tulo (kunnallisvero), €]]*($D$11/100)</f>
        <v>4162516.7828571433</v>
      </c>
      <c r="H251" s="14">
        <v>1499006.3668062631</v>
      </c>
      <c r="I251" s="15">
        <v>552354.40130000003</v>
      </c>
      <c r="J251" s="15">
        <f>SUM(Tasaus[[#This Row],[Laskennallinen kunnallisvero, €]:[Laskennallinen kiinteistövero, €]])</f>
        <v>6213877.5509634065</v>
      </c>
      <c r="K251" s="15">
        <f>Tasaus[[#This Row],[Laskennallinen verotulo yhteensä, €]]/Tasaus[[#This Row],[Asukasluku 31.12.2022]]</f>
        <v>1692.2324485194463</v>
      </c>
      <c r="L251" s="34">
        <f>$K$11-Tasaus[[#This Row],[Laskennallinen verotulo yhteensä, €/asukas (=tasausraja)]]</f>
        <v>441.52755148055394</v>
      </c>
      <c r="M251" s="369">
        <v>397.37479633249853</v>
      </c>
      <c r="N251" s="370">
        <v>1459160.2521329345</v>
      </c>
      <c r="P251" s="116"/>
      <c r="Q251" s="117"/>
      <c r="R251" s="118"/>
    </row>
    <row r="252" spans="1:18">
      <c r="A252" s="266">
        <v>765</v>
      </c>
      <c r="B252" s="13" t="s">
        <v>600</v>
      </c>
      <c r="C252" s="267">
        <v>10354</v>
      </c>
      <c r="D252" s="268">
        <v>7.1099999999999994</v>
      </c>
      <c r="E252" s="14">
        <v>14436908.42</v>
      </c>
      <c r="F252" s="14">
        <f>Tasaus[[#This Row],[Kunnallisvero (maksuunpantu), €]]*100/Tasaus[[#This Row],[Tuloveroprosentti 2023]]</f>
        <v>203050751.3361463</v>
      </c>
      <c r="G252" s="269">
        <f>Tasaus[[#This Row],[Verotettava tulo (kunnallisvero), €]]*($D$11/100)</f>
        <v>14985145.448607598</v>
      </c>
      <c r="H252" s="14">
        <v>2514812.6284469063</v>
      </c>
      <c r="I252" s="15">
        <v>2533274.7304999991</v>
      </c>
      <c r="J252" s="15">
        <f>SUM(Tasaus[[#This Row],[Laskennallinen kunnallisvero, €]:[Laskennallinen kiinteistövero, €]])</f>
        <v>20033232.807554502</v>
      </c>
      <c r="K252" s="15">
        <f>Tasaus[[#This Row],[Laskennallinen verotulo yhteensä, €]]/Tasaus[[#This Row],[Asukasluku 31.12.2022]]</f>
        <v>1934.8302885410953</v>
      </c>
      <c r="L252" s="34">
        <f>$K$11-Tasaus[[#This Row],[Laskennallinen verotulo yhteensä, €/asukas (=tasausraja)]]</f>
        <v>198.92971145890488</v>
      </c>
      <c r="M252" s="369">
        <v>179.03674031301441</v>
      </c>
      <c r="N252" s="370">
        <v>1853746.4092009512</v>
      </c>
      <c r="P252" s="116"/>
      <c r="Q252" s="117"/>
      <c r="R252" s="118"/>
    </row>
    <row r="253" spans="1:18">
      <c r="A253" s="266">
        <v>768</v>
      </c>
      <c r="B253" s="13" t="s">
        <v>601</v>
      </c>
      <c r="C253" s="267">
        <v>2375</v>
      </c>
      <c r="D253" s="268">
        <v>8.36</v>
      </c>
      <c r="E253" s="14">
        <v>2984640.89</v>
      </c>
      <c r="F253" s="14">
        <f>Tasaus[[#This Row],[Kunnallisvero (maksuunpantu), €]]*100/Tasaus[[#This Row],[Tuloveroprosentti 2023]]</f>
        <v>35701446.052631579</v>
      </c>
      <c r="G253" s="269">
        <f>Tasaus[[#This Row],[Verotettava tulo (kunnallisvero), €]]*($D$11/100)</f>
        <v>2634766.7186842109</v>
      </c>
      <c r="H253" s="14">
        <v>800454.29125741287</v>
      </c>
      <c r="I253" s="15">
        <v>628496.13670000003</v>
      </c>
      <c r="J253" s="15">
        <f>SUM(Tasaus[[#This Row],[Laskennallinen kunnallisvero, €]:[Laskennallinen kiinteistövero, €]])</f>
        <v>4063717.1466416237</v>
      </c>
      <c r="K253" s="15">
        <f>Tasaus[[#This Row],[Laskennallinen verotulo yhteensä, €]]/Tasaus[[#This Row],[Asukasluku 31.12.2022]]</f>
        <v>1711.0387985859468</v>
      </c>
      <c r="L253" s="34">
        <f>$K$11-Tasaus[[#This Row],[Laskennallinen verotulo yhteensä, €/asukas (=tasausraja)]]</f>
        <v>422.72120141405344</v>
      </c>
      <c r="M253" s="369">
        <v>380.44908127264813</v>
      </c>
      <c r="N253" s="370">
        <v>903566.56802253926</v>
      </c>
      <c r="P253" s="116"/>
      <c r="Q253" s="117"/>
      <c r="R253" s="118"/>
    </row>
    <row r="254" spans="1:18">
      <c r="A254" s="266">
        <v>777</v>
      </c>
      <c r="B254" s="13" t="s">
        <v>602</v>
      </c>
      <c r="C254" s="267">
        <v>7367</v>
      </c>
      <c r="D254" s="268">
        <v>8.86</v>
      </c>
      <c r="E254" s="14">
        <v>10506387.710000001</v>
      </c>
      <c r="F254" s="14">
        <f>Tasaus[[#This Row],[Kunnallisvero (maksuunpantu), €]]*100/Tasaus[[#This Row],[Tuloveroprosentti 2023]]</f>
        <v>118582254.06320544</v>
      </c>
      <c r="G254" s="269">
        <f>Tasaus[[#This Row],[Verotettava tulo (kunnallisvero), €]]*($D$11/100)</f>
        <v>8751370.3498645611</v>
      </c>
      <c r="H254" s="14">
        <v>1965949.8213151782</v>
      </c>
      <c r="I254" s="15">
        <v>1018652.4656499999</v>
      </c>
      <c r="J254" s="15">
        <f>SUM(Tasaus[[#This Row],[Laskennallinen kunnallisvero, €]:[Laskennallinen kiinteistövero, €]])</f>
        <v>11735972.636829739</v>
      </c>
      <c r="K254" s="15">
        <f>Tasaus[[#This Row],[Laskennallinen verotulo yhteensä, €]]/Tasaus[[#This Row],[Asukasluku 31.12.2022]]</f>
        <v>1593.0463739418676</v>
      </c>
      <c r="L254" s="34">
        <f>$K$11-Tasaus[[#This Row],[Laskennallinen verotulo yhteensä, €/asukas (=tasausraja)]]</f>
        <v>540.7136260581326</v>
      </c>
      <c r="M254" s="369">
        <v>486.64226345231936</v>
      </c>
      <c r="N254" s="370">
        <v>3585093.5548532368</v>
      </c>
      <c r="P254" s="116"/>
      <c r="Q254" s="117"/>
      <c r="R254" s="118"/>
    </row>
    <row r="255" spans="1:18">
      <c r="A255" s="266">
        <v>778</v>
      </c>
      <c r="B255" s="13" t="s">
        <v>603</v>
      </c>
      <c r="C255" s="267">
        <v>6763</v>
      </c>
      <c r="D255" s="268">
        <v>9.1099999999999959</v>
      </c>
      <c r="E255" s="14">
        <v>10353675.51</v>
      </c>
      <c r="F255" s="14">
        <f>Tasaus[[#This Row],[Kunnallisvero (maksuunpantu), €]]*100/Tasaus[[#This Row],[Tuloveroprosentti 2023]]</f>
        <v>113651761.90998907</v>
      </c>
      <c r="G255" s="269">
        <f>Tasaus[[#This Row],[Verotettava tulo (kunnallisvero), €]]*($D$11/100)</f>
        <v>8387500.0289571937</v>
      </c>
      <c r="H255" s="14">
        <v>2557984.906231286</v>
      </c>
      <c r="I255" s="15">
        <v>912497.49450000003</v>
      </c>
      <c r="J255" s="15">
        <f>SUM(Tasaus[[#This Row],[Laskennallinen kunnallisvero, €]:[Laskennallinen kiinteistövero, €]])</f>
        <v>11857982.42968848</v>
      </c>
      <c r="K255" s="15">
        <f>Tasaus[[#This Row],[Laskennallinen verotulo yhteensä, €]]/Tasaus[[#This Row],[Asukasluku 31.12.2022]]</f>
        <v>1753.3612937584621</v>
      </c>
      <c r="L255" s="34">
        <f>$K$11-Tasaus[[#This Row],[Laskennallinen verotulo yhteensä, €/asukas (=tasausraja)]]</f>
        <v>380.39870624153809</v>
      </c>
      <c r="M255" s="369">
        <v>342.35883561738427</v>
      </c>
      <c r="N255" s="370">
        <v>2315372.8052803697</v>
      </c>
      <c r="P255" s="116"/>
      <c r="Q255" s="117"/>
      <c r="R255" s="118"/>
    </row>
    <row r="256" spans="1:18">
      <c r="A256" s="266">
        <v>781</v>
      </c>
      <c r="B256" s="13" t="s">
        <v>604</v>
      </c>
      <c r="C256" s="267">
        <v>3504</v>
      </c>
      <c r="D256" s="268">
        <v>6.3599999999999994</v>
      </c>
      <c r="E256" s="14">
        <v>3544998.84</v>
      </c>
      <c r="F256" s="14">
        <f>Tasaus[[#This Row],[Kunnallisvero (maksuunpantu), €]]*100/Tasaus[[#This Row],[Tuloveroprosentti 2023]]</f>
        <v>55738975.47169812</v>
      </c>
      <c r="G256" s="269">
        <f>Tasaus[[#This Row],[Verotettava tulo (kunnallisvero), €]]*($D$11/100)</f>
        <v>4113536.3898113216</v>
      </c>
      <c r="H256" s="14">
        <v>1117685.4771471072</v>
      </c>
      <c r="I256" s="15">
        <v>1284057.17</v>
      </c>
      <c r="J256" s="15">
        <f>SUM(Tasaus[[#This Row],[Laskennallinen kunnallisvero, €]:[Laskennallinen kiinteistövero, €]])</f>
        <v>6515279.036958429</v>
      </c>
      <c r="K256" s="15">
        <f>Tasaus[[#This Row],[Laskennallinen verotulo yhteensä, €]]/Tasaus[[#This Row],[Asukasluku 31.12.2022]]</f>
        <v>1859.3832868032046</v>
      </c>
      <c r="L256" s="34">
        <f>$K$11-Tasaus[[#This Row],[Laskennallinen verotulo yhteensä, €/asukas (=tasausraja)]]</f>
        <v>274.37671319679566</v>
      </c>
      <c r="M256" s="369">
        <v>246.9390418771161</v>
      </c>
      <c r="N256" s="370">
        <v>865274.40273741481</v>
      </c>
      <c r="P256" s="116"/>
      <c r="Q256" s="117"/>
      <c r="R256" s="118"/>
    </row>
    <row r="257" spans="1:18">
      <c r="A257" s="266">
        <v>783</v>
      </c>
      <c r="B257" s="13" t="s">
        <v>605</v>
      </c>
      <c r="C257" s="267">
        <v>6419</v>
      </c>
      <c r="D257" s="268">
        <v>8.86</v>
      </c>
      <c r="E257" s="14">
        <v>11439275.960000001</v>
      </c>
      <c r="F257" s="14">
        <f>Tasaus[[#This Row],[Kunnallisvero (maksuunpantu), €]]*100/Tasaus[[#This Row],[Tuloveroprosentti 2023]]</f>
        <v>129111466.81715576</v>
      </c>
      <c r="G257" s="269">
        <f>Tasaus[[#This Row],[Verotettava tulo (kunnallisvero), €]]*($D$11/100)</f>
        <v>9528426.2511060964</v>
      </c>
      <c r="H257" s="14">
        <v>1286158.543426513</v>
      </c>
      <c r="I257" s="15">
        <v>1312538.1405999998</v>
      </c>
      <c r="J257" s="15">
        <f>SUM(Tasaus[[#This Row],[Laskennallinen kunnallisvero, €]:[Laskennallinen kiinteistövero, €]])</f>
        <v>12127122.93513261</v>
      </c>
      <c r="K257" s="15">
        <f>Tasaus[[#This Row],[Laskennallinen verotulo yhteensä, €]]/Tasaus[[#This Row],[Asukasluku 31.12.2022]]</f>
        <v>1889.2542351040051</v>
      </c>
      <c r="L257" s="34">
        <f>$K$11-Tasaus[[#This Row],[Laskennallinen verotulo yhteensä, €/asukas (=tasausraja)]]</f>
        <v>244.50576489599507</v>
      </c>
      <c r="M257" s="369">
        <v>220.05518840639556</v>
      </c>
      <c r="N257" s="370">
        <v>1412534.2543806531</v>
      </c>
      <c r="P257" s="116"/>
      <c r="Q257" s="117"/>
      <c r="R257" s="118"/>
    </row>
    <row r="258" spans="1:18">
      <c r="A258" s="266">
        <v>785</v>
      </c>
      <c r="B258" s="13" t="s">
        <v>606</v>
      </c>
      <c r="C258" s="267">
        <v>2626</v>
      </c>
      <c r="D258" s="268">
        <v>8.36</v>
      </c>
      <c r="E258" s="14">
        <v>3372068</v>
      </c>
      <c r="F258" s="14">
        <f>Tasaus[[#This Row],[Kunnallisvero (maksuunpantu), €]]*100/Tasaus[[#This Row],[Tuloveroprosentti 2023]]</f>
        <v>40335741.626794264</v>
      </c>
      <c r="G258" s="269">
        <f>Tasaus[[#This Row],[Verotettava tulo (kunnallisvero), €]]*($D$11/100)</f>
        <v>2976777.7320574168</v>
      </c>
      <c r="H258" s="14">
        <v>513841.04627694463</v>
      </c>
      <c r="I258" s="15">
        <v>679243.80740000005</v>
      </c>
      <c r="J258" s="15">
        <f>SUM(Tasaus[[#This Row],[Laskennallinen kunnallisvero, €]:[Laskennallinen kiinteistövero, €]])</f>
        <v>4169862.5857343618</v>
      </c>
      <c r="K258" s="15">
        <f>Tasaus[[#This Row],[Laskennallinen verotulo yhteensä, €]]/Tasaus[[#This Row],[Asukasluku 31.12.2022]]</f>
        <v>1587.9141605995285</v>
      </c>
      <c r="L258" s="34">
        <f>$K$11-Tasaus[[#This Row],[Laskennallinen verotulo yhteensä, €/asukas (=tasausraja)]]</f>
        <v>545.84583940047173</v>
      </c>
      <c r="M258" s="369">
        <v>491.26125546042459</v>
      </c>
      <c r="N258" s="370">
        <v>1290052.0568390749</v>
      </c>
      <c r="P258" s="116"/>
      <c r="Q258" s="117"/>
      <c r="R258" s="118"/>
    </row>
    <row r="259" spans="1:18">
      <c r="A259" s="266">
        <v>790</v>
      </c>
      <c r="B259" s="13" t="s">
        <v>259</v>
      </c>
      <c r="C259" s="267">
        <v>23734</v>
      </c>
      <c r="D259" s="268">
        <v>8.860000000000003</v>
      </c>
      <c r="E259" s="14">
        <v>37523485.130000003</v>
      </c>
      <c r="F259" s="14">
        <f>Tasaus[[#This Row],[Kunnallisvero (maksuunpantu), €]]*100/Tasaus[[#This Row],[Tuloveroprosentti 2023]]</f>
        <v>423515633.52144462</v>
      </c>
      <c r="G259" s="269">
        <f>Tasaus[[#This Row],[Verotettava tulo (kunnallisvero), €]]*($D$11/100)</f>
        <v>31255453.753882613</v>
      </c>
      <c r="H259" s="14">
        <v>4602332.7132901726</v>
      </c>
      <c r="I259" s="15">
        <v>3713602.8726999997</v>
      </c>
      <c r="J259" s="15">
        <f>SUM(Tasaus[[#This Row],[Laskennallinen kunnallisvero, €]:[Laskennallinen kiinteistövero, €]])</f>
        <v>39571389.339872785</v>
      </c>
      <c r="K259" s="15">
        <f>Tasaus[[#This Row],[Laskennallinen verotulo yhteensä, €]]/Tasaus[[#This Row],[Asukasluku 31.12.2022]]</f>
        <v>1667.28698659614</v>
      </c>
      <c r="L259" s="34">
        <f>$K$11-Tasaus[[#This Row],[Laskennallinen verotulo yhteensä, €/asukas (=tasausraja)]]</f>
        <v>466.47301340386025</v>
      </c>
      <c r="M259" s="369">
        <v>419.82571206347421</v>
      </c>
      <c r="N259" s="370">
        <v>9964143.4501144979</v>
      </c>
      <c r="P259" s="116"/>
      <c r="Q259" s="117"/>
      <c r="R259" s="118"/>
    </row>
    <row r="260" spans="1:18">
      <c r="A260" s="266">
        <v>791</v>
      </c>
      <c r="B260" s="13" t="s">
        <v>260</v>
      </c>
      <c r="C260" s="267">
        <v>5029</v>
      </c>
      <c r="D260" s="268">
        <v>9.11</v>
      </c>
      <c r="E260" s="14">
        <v>6756117.8700000001</v>
      </c>
      <c r="F260" s="14">
        <f>Tasaus[[#This Row],[Kunnallisvero (maksuunpantu), €]]*100/Tasaus[[#This Row],[Tuloveroprosentti 2023]]</f>
        <v>74161557.299670696</v>
      </c>
      <c r="G260" s="269">
        <f>Tasaus[[#This Row],[Verotettava tulo (kunnallisvero), €]]*($D$11/100)</f>
        <v>5473122.9287156975</v>
      </c>
      <c r="H260" s="14">
        <v>1272739.0036364803</v>
      </c>
      <c r="I260" s="15">
        <v>747356.96964999998</v>
      </c>
      <c r="J260" s="15">
        <f>SUM(Tasaus[[#This Row],[Laskennallinen kunnallisvero, €]:[Laskennallinen kiinteistövero, €]])</f>
        <v>7493218.9020021781</v>
      </c>
      <c r="K260" s="15">
        <f>Tasaus[[#This Row],[Laskennallinen verotulo yhteensä, €]]/Tasaus[[#This Row],[Asukasluku 31.12.2022]]</f>
        <v>1490.0017701336603</v>
      </c>
      <c r="L260" s="34">
        <f>$K$11-Tasaus[[#This Row],[Laskennallinen verotulo yhteensä, €/asukas (=tasausraja)]]</f>
        <v>643.75822986633989</v>
      </c>
      <c r="M260" s="369">
        <v>579.38240687970597</v>
      </c>
      <c r="N260" s="370">
        <v>2913714.1241980414</v>
      </c>
      <c r="P260" s="116"/>
      <c r="Q260" s="117"/>
      <c r="R260" s="118"/>
    </row>
    <row r="261" spans="1:18">
      <c r="A261" s="266">
        <v>831</v>
      </c>
      <c r="B261" s="13" t="s">
        <v>607</v>
      </c>
      <c r="C261" s="267">
        <v>4559</v>
      </c>
      <c r="D261" s="268">
        <v>8.36</v>
      </c>
      <c r="E261" s="14">
        <v>8274534</v>
      </c>
      <c r="F261" s="14">
        <f>Tasaus[[#This Row],[Kunnallisvero (maksuunpantu), €]]*100/Tasaus[[#This Row],[Tuloveroprosentti 2023]]</f>
        <v>98977679.425837323</v>
      </c>
      <c r="G261" s="269">
        <f>Tasaus[[#This Row],[Verotettava tulo (kunnallisvero), €]]*($D$11/100)</f>
        <v>7304552.7416267944</v>
      </c>
      <c r="H261" s="14">
        <v>462330.11709736608</v>
      </c>
      <c r="I261" s="15">
        <v>984242.26190000016</v>
      </c>
      <c r="J261" s="15">
        <f>SUM(Tasaus[[#This Row],[Laskennallinen kunnallisvero, €]:[Laskennallinen kiinteistövero, €]])</f>
        <v>8751125.1206241604</v>
      </c>
      <c r="K261" s="15">
        <f>Tasaus[[#This Row],[Laskennallinen verotulo yhteensä, €]]/Tasaus[[#This Row],[Asukasluku 31.12.2022]]</f>
        <v>1919.5273350787804</v>
      </c>
      <c r="L261" s="34">
        <f>$K$11-Tasaus[[#This Row],[Laskennallinen verotulo yhteensä, €/asukas (=tasausraja)]]</f>
        <v>214.23266492121979</v>
      </c>
      <c r="M261" s="369">
        <v>192.80939842909783</v>
      </c>
      <c r="N261" s="370">
        <v>879018.04743825702</v>
      </c>
      <c r="P261" s="116"/>
      <c r="Q261" s="117"/>
    </row>
    <row r="262" spans="1:18">
      <c r="A262" s="266">
        <v>832</v>
      </c>
      <c r="B262" s="13" t="s">
        <v>608</v>
      </c>
      <c r="C262" s="267">
        <v>3825</v>
      </c>
      <c r="D262" s="268">
        <v>7.8599999999999994</v>
      </c>
      <c r="E262" s="14">
        <v>4589252.5599999996</v>
      </c>
      <c r="F262" s="14">
        <f>Tasaus[[#This Row],[Kunnallisvero (maksuunpantu), €]]*100/Tasaus[[#This Row],[Tuloveroprosentti 2023]]</f>
        <v>58387437.150127225</v>
      </c>
      <c r="G262" s="269">
        <f>Tasaus[[#This Row],[Verotettava tulo (kunnallisvero), €]]*($D$11/100)</f>
        <v>4308992.8616793891</v>
      </c>
      <c r="H262" s="14">
        <v>1055012.4420756535</v>
      </c>
      <c r="I262" s="15">
        <v>583351.79695000011</v>
      </c>
      <c r="J262" s="15">
        <f>SUM(Tasaus[[#This Row],[Laskennallinen kunnallisvero, €]:[Laskennallinen kiinteistövero, €]])</f>
        <v>5947357.1007050434</v>
      </c>
      <c r="K262" s="15">
        <f>Tasaus[[#This Row],[Laskennallinen verotulo yhteensä, €]]/Tasaus[[#This Row],[Asukasluku 31.12.2022]]</f>
        <v>1554.8646014915146</v>
      </c>
      <c r="L262" s="34">
        <f>$K$11-Tasaus[[#This Row],[Laskennallinen verotulo yhteensä, €/asukas (=tasausraja)]]</f>
        <v>578.89539850848564</v>
      </c>
      <c r="M262" s="369">
        <v>521.00585865763708</v>
      </c>
      <c r="N262" s="370">
        <v>1992847.4093654619</v>
      </c>
      <c r="P262" s="116"/>
      <c r="Q262" s="117"/>
    </row>
    <row r="263" spans="1:18">
      <c r="A263" s="266">
        <v>833</v>
      </c>
      <c r="B263" s="13" t="s">
        <v>609</v>
      </c>
      <c r="C263" s="267">
        <v>1691</v>
      </c>
      <c r="D263" s="268">
        <v>6.8599999999999994</v>
      </c>
      <c r="E263" s="14">
        <v>2150780.88</v>
      </c>
      <c r="F263" s="14">
        <f>Tasaus[[#This Row],[Kunnallisvero (maksuunpantu), €]]*100/Tasaus[[#This Row],[Tuloveroprosentti 2023]]</f>
        <v>31352490.962099127</v>
      </c>
      <c r="G263" s="269">
        <f>Tasaus[[#This Row],[Verotettava tulo (kunnallisvero), €]]*($D$11/100)</f>
        <v>2313813.8330029156</v>
      </c>
      <c r="H263" s="14">
        <v>218211.18300660668</v>
      </c>
      <c r="I263" s="15">
        <v>603936.51800000004</v>
      </c>
      <c r="J263" s="15">
        <f>SUM(Tasaus[[#This Row],[Laskennallinen kunnallisvero, €]:[Laskennallinen kiinteistövero, €]])</f>
        <v>3135961.5340095223</v>
      </c>
      <c r="K263" s="15">
        <f>Tasaus[[#This Row],[Laskennallinen verotulo yhteensä, €]]/Tasaus[[#This Row],[Asukasluku 31.12.2022]]</f>
        <v>1854.5012028441881</v>
      </c>
      <c r="L263" s="34">
        <f>$K$11-Tasaus[[#This Row],[Laskennallinen verotulo yhteensä, €/asukas (=tasausraja)]]</f>
        <v>279.25879715581209</v>
      </c>
      <c r="M263" s="369">
        <v>251.33291744023089</v>
      </c>
      <c r="N263" s="370">
        <v>425003.96339143044</v>
      </c>
      <c r="P263" s="116"/>
      <c r="Q263" s="117"/>
    </row>
    <row r="264" spans="1:18">
      <c r="A264" s="266">
        <v>834</v>
      </c>
      <c r="B264" s="13" t="s">
        <v>610</v>
      </c>
      <c r="C264" s="267">
        <v>5879</v>
      </c>
      <c r="D264" s="268">
        <v>8.610000000000003</v>
      </c>
      <c r="E264" s="14">
        <v>9930036.3300000001</v>
      </c>
      <c r="F264" s="14">
        <f>Tasaus[[#This Row],[Kunnallisvero (maksuunpantu), €]]*100/Tasaus[[#This Row],[Tuloveroprosentti 2023]]</f>
        <v>115331432.40418114</v>
      </c>
      <c r="G264" s="269">
        <f>Tasaus[[#This Row],[Verotettava tulo (kunnallisvero), €]]*($D$11/100)</f>
        <v>8511459.7114285678</v>
      </c>
      <c r="H264" s="14">
        <v>1021700.6024956342</v>
      </c>
      <c r="I264" s="15">
        <v>1079767.5890500001</v>
      </c>
      <c r="J264" s="15">
        <f>SUM(Tasaus[[#This Row],[Laskennallinen kunnallisvero, €]:[Laskennallinen kiinteistövero, €]])</f>
        <v>10612927.902974203</v>
      </c>
      <c r="K264" s="15">
        <f>Tasaus[[#This Row],[Laskennallinen verotulo yhteensä, €]]/Tasaus[[#This Row],[Asukasluku 31.12.2022]]</f>
        <v>1805.2267227375751</v>
      </c>
      <c r="L264" s="34">
        <f>$K$11-Tasaus[[#This Row],[Laskennallinen verotulo yhteensä, €/asukas (=tasausraja)]]</f>
        <v>328.53327726242514</v>
      </c>
      <c r="M264" s="369">
        <v>295.67994953618262</v>
      </c>
      <c r="N264" s="370">
        <v>1738302.4233232175</v>
      </c>
      <c r="P264" s="116"/>
      <c r="Q264" s="117"/>
    </row>
    <row r="265" spans="1:18">
      <c r="A265" s="266">
        <v>837</v>
      </c>
      <c r="B265" s="13" t="s">
        <v>611</v>
      </c>
      <c r="C265" s="267">
        <v>249009</v>
      </c>
      <c r="D265" s="268">
        <v>7.6099999999999994</v>
      </c>
      <c r="E265" s="14">
        <v>413160909.81999999</v>
      </c>
      <c r="F265" s="14">
        <f>Tasaus[[#This Row],[Kunnallisvero (maksuunpantu), €]]*100/Tasaus[[#This Row],[Tuloveroprosentti 2023]]</f>
        <v>5429184097.5032854</v>
      </c>
      <c r="G265" s="269">
        <f>Tasaus[[#This Row],[Verotettava tulo (kunnallisvero), €]]*($D$11/100)</f>
        <v>400673786.39574248</v>
      </c>
      <c r="H265" s="14">
        <v>86732873.910528451</v>
      </c>
      <c r="I265" s="15">
        <v>45924330.590499997</v>
      </c>
      <c r="J265" s="15">
        <f>SUM(Tasaus[[#This Row],[Laskennallinen kunnallisvero, €]:[Laskennallinen kiinteistövero, €]])</f>
        <v>533330990.89677095</v>
      </c>
      <c r="K265" s="15">
        <f>Tasaus[[#This Row],[Laskennallinen verotulo yhteensä, €]]/Tasaus[[#This Row],[Asukasluku 31.12.2022]]</f>
        <v>2141.8141147379047</v>
      </c>
      <c r="L265" s="34">
        <f>$K$11-Tasaus[[#This Row],[Laskennallinen verotulo yhteensä, €/asukas (=tasausraja)]]</f>
        <v>-8.054114737904456</v>
      </c>
      <c r="M265" s="369">
        <v>-0.80541147379044564</v>
      </c>
      <c r="N265" s="370">
        <v>-200554.70567708509</v>
      </c>
      <c r="P265" s="116"/>
      <c r="Q265" s="117"/>
    </row>
    <row r="266" spans="1:18">
      <c r="A266" s="266">
        <v>844</v>
      </c>
      <c r="B266" s="13" t="s">
        <v>612</v>
      </c>
      <c r="C266" s="267">
        <v>1441</v>
      </c>
      <c r="D266" s="268">
        <v>8.86</v>
      </c>
      <c r="E266" s="14">
        <v>1872296.99</v>
      </c>
      <c r="F266" s="14">
        <f>Tasaus[[#This Row],[Kunnallisvero (maksuunpantu), €]]*100/Tasaus[[#This Row],[Tuloveroprosentti 2023]]</f>
        <v>21132020.203160271</v>
      </c>
      <c r="G266" s="269">
        <f>Tasaus[[#This Row],[Verotettava tulo (kunnallisvero), €]]*($D$11/100)</f>
        <v>1559543.0909932281</v>
      </c>
      <c r="H266" s="14">
        <v>339240.22302906332</v>
      </c>
      <c r="I266" s="15">
        <v>271237.48864999996</v>
      </c>
      <c r="J266" s="15">
        <f>SUM(Tasaus[[#This Row],[Laskennallinen kunnallisvero, €]:[Laskennallinen kiinteistövero, €]])</f>
        <v>2170020.8026722912</v>
      </c>
      <c r="K266" s="15">
        <f>Tasaus[[#This Row],[Laskennallinen verotulo yhteensä, €]]/Tasaus[[#This Row],[Asukasluku 31.12.2022]]</f>
        <v>1505.9131177462118</v>
      </c>
      <c r="L266" s="34">
        <f>$K$11-Tasaus[[#This Row],[Laskennallinen verotulo yhteensä, €/asukas (=tasausraja)]]</f>
        <v>627.84688225378841</v>
      </c>
      <c r="M266" s="369">
        <v>565.06219402840964</v>
      </c>
      <c r="N266" s="370">
        <v>814254.62159493833</v>
      </c>
      <c r="P266" s="116"/>
      <c r="Q266" s="117"/>
    </row>
    <row r="267" spans="1:18">
      <c r="A267" s="266">
        <v>845</v>
      </c>
      <c r="B267" s="13" t="s">
        <v>613</v>
      </c>
      <c r="C267" s="267">
        <v>2863</v>
      </c>
      <c r="D267" s="268">
        <v>7.3599999999999994</v>
      </c>
      <c r="E267" s="14">
        <v>3686550.45</v>
      </c>
      <c r="F267" s="14">
        <f>Tasaus[[#This Row],[Kunnallisvero (maksuunpantu), €]]*100/Tasaus[[#This Row],[Tuloveroprosentti 2023]]</f>
        <v>50089000.679347828</v>
      </c>
      <c r="G267" s="269">
        <f>Tasaus[[#This Row],[Verotettava tulo (kunnallisvero), €]]*($D$11/100)</f>
        <v>3696568.2501358697</v>
      </c>
      <c r="H267" s="14">
        <v>640015.48307355819</v>
      </c>
      <c r="I267" s="15">
        <v>491519.19744999998</v>
      </c>
      <c r="J267" s="15">
        <f>SUM(Tasaus[[#This Row],[Laskennallinen kunnallisvero, €]:[Laskennallinen kiinteistövero, €]])</f>
        <v>4828102.9306594273</v>
      </c>
      <c r="K267" s="15">
        <f>Tasaus[[#This Row],[Laskennallinen verotulo yhteensä, €]]/Tasaus[[#This Row],[Asukasluku 31.12.2022]]</f>
        <v>1686.3789488855841</v>
      </c>
      <c r="L267" s="34">
        <f>$K$11-Tasaus[[#This Row],[Laskennallinen verotulo yhteensä, €/asukas (=tasausraja)]]</f>
        <v>447.3810511144161</v>
      </c>
      <c r="M267" s="369">
        <v>402.6429460029745</v>
      </c>
      <c r="N267" s="370">
        <v>1152766.754406516</v>
      </c>
      <c r="P267" s="116"/>
      <c r="Q267" s="117"/>
    </row>
    <row r="268" spans="1:18">
      <c r="A268" s="266">
        <v>846</v>
      </c>
      <c r="B268" s="13" t="s">
        <v>614</v>
      </c>
      <c r="C268" s="267">
        <v>4862</v>
      </c>
      <c r="D268" s="268">
        <v>9.86</v>
      </c>
      <c r="E268" s="14">
        <v>7701777.5199999996</v>
      </c>
      <c r="F268" s="14">
        <f>Tasaus[[#This Row],[Kunnallisvero (maksuunpantu), €]]*100/Tasaus[[#This Row],[Tuloveroprosentti 2023]]</f>
        <v>78111333.874239355</v>
      </c>
      <c r="G268" s="269">
        <f>Tasaus[[#This Row],[Verotettava tulo (kunnallisvero), €]]*($D$11/100)</f>
        <v>5764616.4399188645</v>
      </c>
      <c r="H268" s="14">
        <v>835547.2089874387</v>
      </c>
      <c r="I268" s="15">
        <v>566297.7219</v>
      </c>
      <c r="J268" s="15">
        <f>SUM(Tasaus[[#This Row],[Laskennallinen kunnallisvero, €]:[Laskennallinen kiinteistövero, €]])</f>
        <v>7166461.3708063038</v>
      </c>
      <c r="K268" s="15">
        <f>Tasaus[[#This Row],[Laskennallinen verotulo yhteensä, €]]/Tasaus[[#This Row],[Asukasluku 31.12.2022]]</f>
        <v>1473.9739553283225</v>
      </c>
      <c r="L268" s="34">
        <f>$K$11-Tasaus[[#This Row],[Laskennallinen verotulo yhteensä, €/asukas (=tasausraja)]]</f>
        <v>659.7860446716777</v>
      </c>
      <c r="M268" s="369">
        <v>593.80744020450993</v>
      </c>
      <c r="N268" s="370">
        <v>2887091.7742743273</v>
      </c>
      <c r="P268" s="116"/>
      <c r="Q268" s="117"/>
    </row>
    <row r="269" spans="1:18">
      <c r="A269" s="266">
        <v>848</v>
      </c>
      <c r="B269" s="13" t="s">
        <v>615</v>
      </c>
      <c r="C269" s="267">
        <v>4160</v>
      </c>
      <c r="D269" s="268">
        <v>9.11</v>
      </c>
      <c r="E269" s="14">
        <v>5753898.1900000004</v>
      </c>
      <c r="F269" s="14">
        <f>Tasaus[[#This Row],[Kunnallisvero (maksuunpantu), €]]*100/Tasaus[[#This Row],[Tuloveroprosentti 2023]]</f>
        <v>63160243.578485183</v>
      </c>
      <c r="G269" s="269">
        <f>Tasaus[[#This Row],[Verotettava tulo (kunnallisvero), €]]*($D$11/100)</f>
        <v>4661225.9760922072</v>
      </c>
      <c r="H269" s="14">
        <v>719488.72826537432</v>
      </c>
      <c r="I269" s="15">
        <v>566790.60745000013</v>
      </c>
      <c r="J269" s="15">
        <f>SUM(Tasaus[[#This Row],[Laskennallinen kunnallisvero, €]:[Laskennallinen kiinteistövero, €]])</f>
        <v>5947505.3118075812</v>
      </c>
      <c r="K269" s="15">
        <f>Tasaus[[#This Row],[Laskennallinen verotulo yhteensä, €]]/Tasaus[[#This Row],[Asukasluku 31.12.2022]]</f>
        <v>1429.6887768768224</v>
      </c>
      <c r="L269" s="34">
        <f>$K$11-Tasaus[[#This Row],[Laskennallinen verotulo yhteensä, €/asukas (=tasausraja)]]</f>
        <v>704.07122312317779</v>
      </c>
      <c r="M269" s="369">
        <v>633.66410081086008</v>
      </c>
      <c r="N269" s="370">
        <v>2636042.6593731781</v>
      </c>
      <c r="P269" s="116"/>
      <c r="Q269" s="117"/>
    </row>
    <row r="270" spans="1:18">
      <c r="A270" s="266">
        <v>849</v>
      </c>
      <c r="B270" s="13" t="s">
        <v>616</v>
      </c>
      <c r="C270" s="267">
        <v>2903</v>
      </c>
      <c r="D270" s="268">
        <v>9.11</v>
      </c>
      <c r="E270" s="14">
        <v>3996167.5</v>
      </c>
      <c r="F270" s="14">
        <f>Tasaus[[#This Row],[Kunnallisvero (maksuunpantu), €]]*100/Tasaus[[#This Row],[Tuloveroprosentti 2023]]</f>
        <v>43865724.478594951</v>
      </c>
      <c r="G270" s="269">
        <f>Tasaus[[#This Row],[Verotettava tulo (kunnallisvero), €]]*($D$11/100)</f>
        <v>3237290.4665203076</v>
      </c>
      <c r="H270" s="14">
        <v>556995.35515343468</v>
      </c>
      <c r="I270" s="15">
        <v>373933.67810000008</v>
      </c>
      <c r="J270" s="15">
        <f>SUM(Tasaus[[#This Row],[Laskennallinen kunnallisvero, €]:[Laskennallinen kiinteistövero, €]])</f>
        <v>4168219.4997737426</v>
      </c>
      <c r="K270" s="15">
        <f>Tasaus[[#This Row],[Laskennallinen verotulo yhteensä, €]]/Tasaus[[#This Row],[Asukasluku 31.12.2022]]</f>
        <v>1435.8317257229564</v>
      </c>
      <c r="L270" s="34">
        <f>$K$11-Tasaus[[#This Row],[Laskennallinen verotulo yhteensä, €/asukas (=tasausraja)]]</f>
        <v>697.92827427704378</v>
      </c>
      <c r="M270" s="369">
        <v>628.13544684933947</v>
      </c>
      <c r="N270" s="370">
        <v>1823477.2022036326</v>
      </c>
      <c r="P270" s="116"/>
      <c r="Q270" s="117"/>
    </row>
    <row r="271" spans="1:18">
      <c r="A271" s="266">
        <v>850</v>
      </c>
      <c r="B271" s="13" t="s">
        <v>617</v>
      </c>
      <c r="C271" s="267">
        <v>2407</v>
      </c>
      <c r="D271" s="268">
        <v>8.36</v>
      </c>
      <c r="E271" s="14">
        <v>3436822.87</v>
      </c>
      <c r="F271" s="14">
        <f>Tasaus[[#This Row],[Kunnallisvero (maksuunpantu), €]]*100/Tasaus[[#This Row],[Tuloveroprosentti 2023]]</f>
        <v>41110321.411483258</v>
      </c>
      <c r="G271" s="269">
        <f>Tasaus[[#This Row],[Verotettava tulo (kunnallisvero), €]]*($D$11/100)</f>
        <v>3033941.7201674646</v>
      </c>
      <c r="H271" s="14">
        <v>523469.50588045159</v>
      </c>
      <c r="I271" s="15">
        <v>399886.62589999998</v>
      </c>
      <c r="J271" s="15">
        <f>SUM(Tasaus[[#This Row],[Laskennallinen kunnallisvero, €]:[Laskennallinen kiinteistövero, €]])</f>
        <v>3957297.8519479162</v>
      </c>
      <c r="K271" s="15">
        <f>Tasaus[[#This Row],[Laskennallinen verotulo yhteensä, €]]/Tasaus[[#This Row],[Asukasluku 31.12.2022]]</f>
        <v>1644.0788749264298</v>
      </c>
      <c r="L271" s="34">
        <f>$K$11-Tasaus[[#This Row],[Laskennallinen verotulo yhteensä, €/asukas (=tasausraja)]]</f>
        <v>489.68112507357046</v>
      </c>
      <c r="M271" s="369">
        <v>440.71301256621342</v>
      </c>
      <c r="N271" s="370">
        <v>1060796.2212468758</v>
      </c>
      <c r="P271" s="116"/>
      <c r="Q271" s="117"/>
    </row>
    <row r="272" spans="1:18">
      <c r="A272" s="266">
        <v>851</v>
      </c>
      <c r="B272" s="13" t="s">
        <v>618</v>
      </c>
      <c r="C272" s="267">
        <v>21227</v>
      </c>
      <c r="D272" s="268">
        <v>8.36</v>
      </c>
      <c r="E272" s="14">
        <v>36015774.289999999</v>
      </c>
      <c r="F272" s="14">
        <f>Tasaus[[#This Row],[Kunnallisvero (maksuunpantu), €]]*100/Tasaus[[#This Row],[Tuloveroprosentti 2023]]</f>
        <v>430810697.24880385</v>
      </c>
      <c r="G272" s="269">
        <f>Tasaus[[#This Row],[Verotettava tulo (kunnallisvero), €]]*($D$11/100)</f>
        <v>31793829.456961725</v>
      </c>
      <c r="H272" s="14">
        <v>2889513.0536832567</v>
      </c>
      <c r="I272" s="15">
        <v>3565163.2972999997</v>
      </c>
      <c r="J272" s="15">
        <f>SUM(Tasaus[[#This Row],[Laskennallinen kunnallisvero, €]:[Laskennallinen kiinteistövero, €]])</f>
        <v>38248505.807944983</v>
      </c>
      <c r="K272" s="15">
        <f>Tasaus[[#This Row],[Laskennallinen verotulo yhteensä, €]]/Tasaus[[#This Row],[Asukasluku 31.12.2022]]</f>
        <v>1801.8799551488662</v>
      </c>
      <c r="L272" s="34">
        <f>$K$11-Tasaus[[#This Row],[Laskennallinen verotulo yhteensä, €/asukas (=tasausraja)]]</f>
        <v>331.88004485113402</v>
      </c>
      <c r="M272" s="369">
        <v>298.69204036602065</v>
      </c>
      <c r="N272" s="370">
        <v>6340335.9408495203</v>
      </c>
      <c r="P272" s="116"/>
      <c r="Q272" s="117"/>
    </row>
    <row r="273" spans="1:17">
      <c r="A273" s="266">
        <v>853</v>
      </c>
      <c r="B273" s="13" t="s">
        <v>619</v>
      </c>
      <c r="C273" s="267">
        <v>197900</v>
      </c>
      <c r="D273" s="268">
        <v>6.8599999999999994</v>
      </c>
      <c r="E273" s="14">
        <v>282863364.93000001</v>
      </c>
      <c r="F273" s="14">
        <f>Tasaus[[#This Row],[Kunnallisvero (maksuunpantu), €]]*100/Tasaus[[#This Row],[Tuloveroprosentti 2023]]</f>
        <v>4123372666.6180763</v>
      </c>
      <c r="G273" s="269">
        <f>Tasaus[[#This Row],[Verotettava tulo (kunnallisvero), €]]*($D$11/100)</f>
        <v>304304902.79641408</v>
      </c>
      <c r="H273" s="14">
        <v>103359656.21794981</v>
      </c>
      <c r="I273" s="15">
        <v>37762813.114</v>
      </c>
      <c r="J273" s="15">
        <f>SUM(Tasaus[[#This Row],[Laskennallinen kunnallisvero, €]:[Laskennallinen kiinteistövero, €]])</f>
        <v>445427372.12836391</v>
      </c>
      <c r="K273" s="15">
        <f>Tasaus[[#This Row],[Laskennallinen verotulo yhteensä, €]]/Tasaus[[#This Row],[Asukasluku 31.12.2022]]</f>
        <v>2250.769945065002</v>
      </c>
      <c r="L273" s="34">
        <f>$K$11-Tasaus[[#This Row],[Laskennallinen verotulo yhteensä, €/asukas (=tasausraja)]]</f>
        <v>-117.00994506500183</v>
      </c>
      <c r="M273" s="369">
        <v>-11.700994506500184</v>
      </c>
      <c r="N273" s="370">
        <v>-2315626.8128363863</v>
      </c>
      <c r="P273" s="116"/>
      <c r="Q273" s="117"/>
    </row>
    <row r="274" spans="1:17">
      <c r="A274" s="266">
        <v>854</v>
      </c>
      <c r="B274" s="13" t="s">
        <v>620</v>
      </c>
      <c r="C274" s="267">
        <v>3262</v>
      </c>
      <c r="D274" s="268">
        <v>8.61</v>
      </c>
      <c r="E274" s="14">
        <v>4760391.09</v>
      </c>
      <c r="F274" s="14">
        <f>Tasaus[[#This Row],[Kunnallisvero (maksuunpantu), €]]*100/Tasaus[[#This Row],[Tuloveroprosentti 2023]]</f>
        <v>55289095.121951222</v>
      </c>
      <c r="G274" s="269">
        <f>Tasaus[[#This Row],[Verotettava tulo (kunnallisvero), €]]*($D$11/100)</f>
        <v>4080335.2200000007</v>
      </c>
      <c r="H274" s="14">
        <v>732714.38353927922</v>
      </c>
      <c r="I274" s="15">
        <v>535153.40925000003</v>
      </c>
      <c r="J274" s="15">
        <f>SUM(Tasaus[[#This Row],[Laskennallinen kunnallisvero, €]:[Laskennallinen kiinteistövero, €]])</f>
        <v>5348203.0127892792</v>
      </c>
      <c r="K274" s="15">
        <f>Tasaus[[#This Row],[Laskennallinen verotulo yhteensä, €]]/Tasaus[[#This Row],[Asukasluku 31.12.2022]]</f>
        <v>1639.5472142211156</v>
      </c>
      <c r="L274" s="34">
        <f>$K$11-Tasaus[[#This Row],[Laskennallinen verotulo yhteensä, €/asukas (=tasausraja)]]</f>
        <v>494.21278577888461</v>
      </c>
      <c r="M274" s="369">
        <v>444.79150720099614</v>
      </c>
      <c r="N274" s="370">
        <v>1450909.8964896493</v>
      </c>
      <c r="P274" s="116"/>
      <c r="Q274" s="117"/>
    </row>
    <row r="275" spans="1:17">
      <c r="A275" s="266">
        <v>857</v>
      </c>
      <c r="B275" s="13" t="s">
        <v>621</v>
      </c>
      <c r="C275" s="267">
        <v>2394</v>
      </c>
      <c r="D275" s="268">
        <v>9.36</v>
      </c>
      <c r="E275" s="14">
        <v>3308949.36</v>
      </c>
      <c r="F275" s="14">
        <f>Tasaus[[#This Row],[Kunnallisvero (maksuunpantu), €]]*100/Tasaus[[#This Row],[Tuloveroprosentti 2023]]</f>
        <v>35352023.07692308</v>
      </c>
      <c r="G275" s="269">
        <f>Tasaus[[#This Row],[Verotettava tulo (kunnallisvero), €]]*($D$11/100)</f>
        <v>2608979.3030769234</v>
      </c>
      <c r="H275" s="14">
        <v>629599.2665481756</v>
      </c>
      <c r="I275" s="15">
        <v>472655.65784999996</v>
      </c>
      <c r="J275" s="15">
        <f>SUM(Tasaus[[#This Row],[Laskennallinen kunnallisvero, €]:[Laskennallinen kiinteistövero, €]])</f>
        <v>3711234.2274750993</v>
      </c>
      <c r="K275" s="15">
        <f>Tasaus[[#This Row],[Laskennallinen verotulo yhteensä, €]]/Tasaus[[#This Row],[Asukasluku 31.12.2022]]</f>
        <v>1550.2231526629487</v>
      </c>
      <c r="L275" s="34">
        <f>$K$11-Tasaus[[#This Row],[Laskennallinen verotulo yhteensä, €/asukas (=tasausraja)]]</f>
        <v>583.53684733705154</v>
      </c>
      <c r="M275" s="369">
        <v>525.18316260334643</v>
      </c>
      <c r="N275" s="370">
        <v>1257288.4912724113</v>
      </c>
      <c r="P275" s="116"/>
      <c r="Q275" s="117"/>
    </row>
    <row r="276" spans="1:17">
      <c r="A276" s="266">
        <v>858</v>
      </c>
      <c r="B276" s="13" t="s">
        <v>622</v>
      </c>
      <c r="C276" s="267">
        <v>40384</v>
      </c>
      <c r="D276" s="268">
        <v>7.1099999999999994</v>
      </c>
      <c r="E276" s="14">
        <v>76371189.689999998</v>
      </c>
      <c r="F276" s="14">
        <f>Tasaus[[#This Row],[Kunnallisvero (maksuunpantu), €]]*100/Tasaus[[#This Row],[Tuloveroprosentti 2023]]</f>
        <v>1074137689.029536</v>
      </c>
      <c r="G276" s="269">
        <f>Tasaus[[#This Row],[Verotettava tulo (kunnallisvero), €]]*($D$11/100)</f>
        <v>79271361.450379759</v>
      </c>
      <c r="H276" s="14">
        <v>8085290.8720916249</v>
      </c>
      <c r="I276" s="15">
        <v>7691394.6569999987</v>
      </c>
      <c r="J276" s="15">
        <f>SUM(Tasaus[[#This Row],[Laskennallinen kunnallisvero, €]:[Laskennallinen kiinteistövero, €]])</f>
        <v>95048046.979471385</v>
      </c>
      <c r="K276" s="15">
        <f>Tasaus[[#This Row],[Laskennallinen verotulo yhteensä, €]]/Tasaus[[#This Row],[Asukasluku 31.12.2022]]</f>
        <v>2353.6065515915061</v>
      </c>
      <c r="L276" s="34">
        <f>$K$11-Tasaus[[#This Row],[Laskennallinen verotulo yhteensä, €/asukas (=tasausraja)]]</f>
        <v>-219.84655159150589</v>
      </c>
      <c r="M276" s="369">
        <v>-21.984655159150591</v>
      </c>
      <c r="N276" s="370">
        <v>-887828.31394713745</v>
      </c>
      <c r="P276" s="116"/>
      <c r="Q276" s="117"/>
    </row>
    <row r="277" spans="1:17">
      <c r="A277" s="266">
        <v>859</v>
      </c>
      <c r="B277" s="13" t="s">
        <v>623</v>
      </c>
      <c r="C277" s="267">
        <v>6562</v>
      </c>
      <c r="D277" s="268">
        <v>9.3599999999999959</v>
      </c>
      <c r="E277" s="14">
        <v>9705632.9000000004</v>
      </c>
      <c r="F277" s="14">
        <f>Tasaus[[#This Row],[Kunnallisvero (maksuunpantu), €]]*100/Tasaus[[#This Row],[Tuloveroprosentti 2023]]</f>
        <v>103692659.18803424</v>
      </c>
      <c r="G277" s="269">
        <f>Tasaus[[#This Row],[Verotettava tulo (kunnallisvero), €]]*($D$11/100)</f>
        <v>7652518.2480769269</v>
      </c>
      <c r="H277" s="14">
        <v>468636.48501026322</v>
      </c>
      <c r="I277" s="15">
        <v>503415.19955000002</v>
      </c>
      <c r="J277" s="15">
        <f>SUM(Tasaus[[#This Row],[Laskennallinen kunnallisvero, €]:[Laskennallinen kiinteistövero, €]])</f>
        <v>8624569.9326371904</v>
      </c>
      <c r="K277" s="15">
        <f>Tasaus[[#This Row],[Laskennallinen verotulo yhteensä, €]]/Tasaus[[#This Row],[Asukasluku 31.12.2022]]</f>
        <v>1314.3203189023454</v>
      </c>
      <c r="L277" s="34">
        <f>$K$11-Tasaus[[#This Row],[Laskennallinen verotulo yhteensä, €/asukas (=tasausraja)]]</f>
        <v>819.43968109765478</v>
      </c>
      <c r="M277" s="369">
        <v>737.49571298788931</v>
      </c>
      <c r="N277" s="370">
        <v>4839446.8686265294</v>
      </c>
      <c r="P277" s="116"/>
      <c r="Q277" s="117"/>
    </row>
    <row r="278" spans="1:17">
      <c r="A278" s="266">
        <v>886</v>
      </c>
      <c r="B278" s="13" t="s">
        <v>624</v>
      </c>
      <c r="C278" s="267">
        <v>12599</v>
      </c>
      <c r="D278" s="268">
        <v>8.86</v>
      </c>
      <c r="E278" s="14">
        <v>22757341.68</v>
      </c>
      <c r="F278" s="14">
        <f>Tasaus[[#This Row],[Kunnallisvero (maksuunpantu), €]]*100/Tasaus[[#This Row],[Tuloveroprosentti 2023]]</f>
        <v>256854872.234763</v>
      </c>
      <c r="G278" s="269">
        <f>Tasaus[[#This Row],[Verotettava tulo (kunnallisvero), €]]*($D$11/100)</f>
        <v>18955889.570925511</v>
      </c>
      <c r="H278" s="14">
        <v>2222109.7205826882</v>
      </c>
      <c r="I278" s="15">
        <v>1434940.1863499999</v>
      </c>
      <c r="J278" s="15">
        <f>SUM(Tasaus[[#This Row],[Laskennallinen kunnallisvero, €]:[Laskennallinen kiinteistövero, €]])</f>
        <v>22612939.477858197</v>
      </c>
      <c r="K278" s="15">
        <f>Tasaus[[#This Row],[Laskennallinen verotulo yhteensä, €]]/Tasaus[[#This Row],[Asukasluku 31.12.2022]]</f>
        <v>1794.820182384173</v>
      </c>
      <c r="L278" s="34">
        <f>$K$11-Tasaus[[#This Row],[Laskennallinen verotulo yhteensä, €/asukas (=tasausraja)]]</f>
        <v>338.93981761582722</v>
      </c>
      <c r="M278" s="369">
        <v>305.0458358542445</v>
      </c>
      <c r="N278" s="370">
        <v>3843272.4859276265</v>
      </c>
      <c r="P278" s="116"/>
      <c r="Q278" s="117"/>
    </row>
    <row r="279" spans="1:17">
      <c r="A279" s="266">
        <v>887</v>
      </c>
      <c r="B279" s="13" t="s">
        <v>625</v>
      </c>
      <c r="C279" s="267">
        <v>4569</v>
      </c>
      <c r="D279" s="268">
        <v>9.36</v>
      </c>
      <c r="E279" s="14">
        <v>6916782.2199999997</v>
      </c>
      <c r="F279" s="14">
        <f>Tasaus[[#This Row],[Kunnallisvero (maksuunpantu), €]]*100/Tasaus[[#This Row],[Tuloveroprosentti 2023]]</f>
        <v>73897245.940170944</v>
      </c>
      <c r="G279" s="269">
        <f>Tasaus[[#This Row],[Verotettava tulo (kunnallisvero), €]]*($D$11/100)</f>
        <v>5453616.7503846157</v>
      </c>
      <c r="H279" s="14">
        <v>720481.69011534774</v>
      </c>
      <c r="I279" s="15">
        <v>787742.79700000002</v>
      </c>
      <c r="J279" s="15">
        <f>SUM(Tasaus[[#This Row],[Laskennallinen kunnallisvero, €]:[Laskennallinen kiinteistövero, €]])</f>
        <v>6961841.2374999635</v>
      </c>
      <c r="K279" s="15">
        <f>Tasaus[[#This Row],[Laskennallinen verotulo yhteensä, €]]/Tasaus[[#This Row],[Asukasluku 31.12.2022]]</f>
        <v>1523.7122428321215</v>
      </c>
      <c r="L279" s="34">
        <f>$K$11-Tasaus[[#This Row],[Laskennallinen verotulo yhteensä, €/asukas (=tasausraja)]]</f>
        <v>610.04775716787867</v>
      </c>
      <c r="M279" s="369">
        <v>549.04298145109078</v>
      </c>
      <c r="N279" s="370">
        <v>2508577.3822500338</v>
      </c>
      <c r="P279" s="116"/>
      <c r="Q279" s="117"/>
    </row>
    <row r="280" spans="1:17">
      <c r="A280" s="266">
        <v>889</v>
      </c>
      <c r="B280" s="13" t="s">
        <v>626</v>
      </c>
      <c r="C280" s="267">
        <v>2523</v>
      </c>
      <c r="D280" s="268">
        <v>7.8599999999999994</v>
      </c>
      <c r="E280" s="14">
        <v>3037427.52</v>
      </c>
      <c r="F280" s="14">
        <f>Tasaus[[#This Row],[Kunnallisvero (maksuunpantu), €]]*100/Tasaus[[#This Row],[Tuloveroprosentti 2023]]</f>
        <v>38644116.030534357</v>
      </c>
      <c r="G280" s="269">
        <f>Tasaus[[#This Row],[Verotettava tulo (kunnallisvero), €]]*($D$11/100)</f>
        <v>2851935.7630534358</v>
      </c>
      <c r="H280" s="14">
        <v>633696.71661421715</v>
      </c>
      <c r="I280" s="15">
        <v>514664.22894999996</v>
      </c>
      <c r="J280" s="15">
        <f>SUM(Tasaus[[#This Row],[Laskennallinen kunnallisvero, €]:[Laskennallinen kiinteistövero, €]])</f>
        <v>4000296.7086176528</v>
      </c>
      <c r="K280" s="15">
        <f>Tasaus[[#This Row],[Laskennallinen verotulo yhteensä, €]]/Tasaus[[#This Row],[Asukasluku 31.12.2022]]</f>
        <v>1585.5317909701359</v>
      </c>
      <c r="L280" s="34">
        <f>$K$11-Tasaus[[#This Row],[Laskennallinen verotulo yhteensä, €/asukas (=tasausraja)]]</f>
        <v>548.22820902986427</v>
      </c>
      <c r="M280" s="369">
        <v>493.40538812687788</v>
      </c>
      <c r="N280" s="370">
        <v>1244861.7942441129</v>
      </c>
      <c r="P280" s="116"/>
      <c r="Q280" s="117"/>
    </row>
    <row r="281" spans="1:17">
      <c r="A281" s="266">
        <v>890</v>
      </c>
      <c r="B281" s="13" t="s">
        <v>627</v>
      </c>
      <c r="C281" s="267">
        <v>1180</v>
      </c>
      <c r="D281" s="268">
        <v>8.36</v>
      </c>
      <c r="E281" s="14">
        <v>1820709.34</v>
      </c>
      <c r="F281" s="14">
        <f>Tasaus[[#This Row],[Kunnallisvero (maksuunpantu), €]]*100/Tasaus[[#This Row],[Tuloveroprosentti 2023]]</f>
        <v>21778819.856459331</v>
      </c>
      <c r="G281" s="269">
        <f>Tasaus[[#This Row],[Verotettava tulo (kunnallisvero), €]]*($D$11/100)</f>
        <v>1607276.9054066988</v>
      </c>
      <c r="H281" s="14">
        <v>105269.22966889617</v>
      </c>
      <c r="I281" s="15">
        <v>327339.58124999999</v>
      </c>
      <c r="J281" s="15">
        <f>SUM(Tasaus[[#This Row],[Laskennallinen kunnallisvero, €]:[Laskennallinen kiinteistövero, €]])</f>
        <v>2039885.716325595</v>
      </c>
      <c r="K281" s="15">
        <f>Tasaus[[#This Row],[Laskennallinen verotulo yhteensä, €]]/Tasaus[[#This Row],[Asukasluku 31.12.2022]]</f>
        <v>1728.7167087505043</v>
      </c>
      <c r="L281" s="34">
        <f>$K$11-Tasaus[[#This Row],[Laskennallinen verotulo yhteensä, €/asukas (=tasausraja)]]</f>
        <v>405.04329124949595</v>
      </c>
      <c r="M281" s="369">
        <v>364.53896212454634</v>
      </c>
      <c r="N281" s="370">
        <v>430155.97530696471</v>
      </c>
      <c r="P281" s="116"/>
      <c r="Q281" s="117"/>
    </row>
    <row r="282" spans="1:17">
      <c r="A282" s="266">
        <v>892</v>
      </c>
      <c r="B282" s="13" t="s">
        <v>628</v>
      </c>
      <c r="C282" s="267">
        <v>3592</v>
      </c>
      <c r="D282" s="268">
        <v>8.8599999999999959</v>
      </c>
      <c r="E282" s="14">
        <v>5181707.67</v>
      </c>
      <c r="F282" s="14">
        <f>Tasaus[[#This Row],[Kunnallisvero (maksuunpantu), €]]*100/Tasaus[[#This Row],[Tuloveroprosentti 2023]]</f>
        <v>58484285.214446977</v>
      </c>
      <c r="G282" s="269">
        <f>Tasaus[[#This Row],[Verotettava tulo (kunnallisvero), €]]*($D$11/100)</f>
        <v>4316140.2488261871</v>
      </c>
      <c r="H282" s="14">
        <v>483318.69995769073</v>
      </c>
      <c r="I282" s="15">
        <v>432656.65334999998</v>
      </c>
      <c r="J282" s="15">
        <f>SUM(Tasaus[[#This Row],[Laskennallinen kunnallisvero, €]:[Laskennallinen kiinteistövero, €]])</f>
        <v>5232115.6021338785</v>
      </c>
      <c r="K282" s="15">
        <f>Tasaus[[#This Row],[Laskennallinen verotulo yhteensä, €]]/Tasaus[[#This Row],[Asukasluku 31.12.2022]]</f>
        <v>1456.602339124131</v>
      </c>
      <c r="L282" s="34">
        <f>$K$11-Tasaus[[#This Row],[Laskennallinen verotulo yhteensä, €/asukas (=tasausraja)]]</f>
        <v>677.15766087586917</v>
      </c>
      <c r="M282" s="369">
        <v>609.4418947882823</v>
      </c>
      <c r="N282" s="370">
        <v>2189115.2860795101</v>
      </c>
      <c r="P282" s="116"/>
      <c r="Q282" s="117"/>
    </row>
    <row r="283" spans="1:17">
      <c r="A283" s="266">
        <v>893</v>
      </c>
      <c r="B283" s="13" t="s">
        <v>629</v>
      </c>
      <c r="C283" s="267">
        <v>7434</v>
      </c>
      <c r="D283" s="268">
        <v>8.61</v>
      </c>
      <c r="E283" s="14">
        <v>11097978.939999999</v>
      </c>
      <c r="F283" s="14">
        <f>Tasaus[[#This Row],[Kunnallisvero (maksuunpantu), €]]*100/Tasaus[[#This Row],[Tuloveroprosentti 2023]]</f>
        <v>128896387.22415796</v>
      </c>
      <c r="G283" s="269">
        <f>Tasaus[[#This Row],[Verotettava tulo (kunnallisvero), €]]*($D$11/100)</f>
        <v>9512553.3771428578</v>
      </c>
      <c r="H283" s="14">
        <v>2048122.8949173908</v>
      </c>
      <c r="I283" s="15">
        <v>1665523.0960500001</v>
      </c>
      <c r="J283" s="15">
        <f>SUM(Tasaus[[#This Row],[Laskennallinen kunnallisvero, €]:[Laskennallinen kiinteistövero, €]])</f>
        <v>13226199.368110249</v>
      </c>
      <c r="K283" s="15">
        <f>Tasaus[[#This Row],[Laskennallinen verotulo yhteensä, €]]/Tasaus[[#This Row],[Asukasluku 31.12.2022]]</f>
        <v>1779.1497670312415</v>
      </c>
      <c r="L283" s="34">
        <f>$K$11-Tasaus[[#This Row],[Laskennallinen verotulo yhteensä, €/asukas (=tasausraja)]]</f>
        <v>354.61023296875874</v>
      </c>
      <c r="M283" s="369">
        <v>319.14920967188289</v>
      </c>
      <c r="N283" s="370">
        <v>2372555.2247007773</v>
      </c>
      <c r="P283" s="116"/>
      <c r="Q283" s="117"/>
    </row>
    <row r="284" spans="1:17">
      <c r="A284" s="266">
        <v>895</v>
      </c>
      <c r="B284" s="13" t="s">
        <v>630</v>
      </c>
      <c r="C284" s="267">
        <v>15092</v>
      </c>
      <c r="D284" s="268">
        <v>8.11</v>
      </c>
      <c r="E284" s="14">
        <v>25017703.850000001</v>
      </c>
      <c r="F284" s="14">
        <f>Tasaus[[#This Row],[Kunnallisvero (maksuunpantu), €]]*100/Tasaus[[#This Row],[Tuloveroprosentti 2023]]</f>
        <v>308479702.21948212</v>
      </c>
      <c r="G284" s="269">
        <f>Tasaus[[#This Row],[Verotettava tulo (kunnallisvero), €]]*($D$11/100)</f>
        <v>22765802.02379778</v>
      </c>
      <c r="H284" s="14">
        <v>5115079.2733875681</v>
      </c>
      <c r="I284" s="15">
        <v>3184393.1026000003</v>
      </c>
      <c r="J284" s="15">
        <f>SUM(Tasaus[[#This Row],[Laskennallinen kunnallisvero, €]:[Laskennallinen kiinteistövero, €]])</f>
        <v>31065274.399785347</v>
      </c>
      <c r="K284" s="15">
        <f>Tasaus[[#This Row],[Laskennallinen verotulo yhteensä, €]]/Tasaus[[#This Row],[Asukasluku 31.12.2022]]</f>
        <v>2058.3934799751755</v>
      </c>
      <c r="L284" s="34">
        <f>$K$11-Tasaus[[#This Row],[Laskennallinen verotulo yhteensä, €/asukas (=tasausraja)]]</f>
        <v>75.366520024824695</v>
      </c>
      <c r="M284" s="369">
        <v>67.829868022342225</v>
      </c>
      <c r="N284" s="370">
        <v>1023688.3681931889</v>
      </c>
      <c r="P284" s="116"/>
      <c r="Q284" s="117"/>
    </row>
    <row r="285" spans="1:17">
      <c r="A285" s="266">
        <v>905</v>
      </c>
      <c r="B285" s="13" t="s">
        <v>631</v>
      </c>
      <c r="C285" s="267">
        <v>67988</v>
      </c>
      <c r="D285" s="268">
        <v>8.36</v>
      </c>
      <c r="E285" s="14">
        <v>120670800.61</v>
      </c>
      <c r="F285" s="14">
        <f>Tasaus[[#This Row],[Kunnallisvero (maksuunpantu), €]]*100/Tasaus[[#This Row],[Tuloveroprosentti 2023]]</f>
        <v>1443430629.3062203</v>
      </c>
      <c r="G285" s="269">
        <f>Tasaus[[#This Row],[Verotettava tulo (kunnallisvero), €]]*($D$11/100)</f>
        <v>106525180.44279906</v>
      </c>
      <c r="H285" s="14">
        <v>20320982.767682631</v>
      </c>
      <c r="I285" s="15">
        <v>12805903.876600001</v>
      </c>
      <c r="J285" s="15">
        <f>SUM(Tasaus[[#This Row],[Laskennallinen kunnallisvero, €]:[Laskennallinen kiinteistövero, €]])</f>
        <v>139652067.0870817</v>
      </c>
      <c r="K285" s="15">
        <f>Tasaus[[#This Row],[Laskennallinen verotulo yhteensä, €]]/Tasaus[[#This Row],[Asukasluku 31.12.2022]]</f>
        <v>2054.0693517544523</v>
      </c>
      <c r="L285" s="34">
        <f>$K$11-Tasaus[[#This Row],[Laskennallinen verotulo yhteensä, €/asukas (=tasausraja)]]</f>
        <v>79.690648245547891</v>
      </c>
      <c r="M285" s="369">
        <v>71.721583420993099</v>
      </c>
      <c r="N285" s="370">
        <v>4876207.0136264786</v>
      </c>
      <c r="P285" s="116"/>
      <c r="Q285" s="117"/>
    </row>
    <row r="286" spans="1:17">
      <c r="A286" s="266">
        <v>908</v>
      </c>
      <c r="B286" s="13" t="s">
        <v>632</v>
      </c>
      <c r="C286" s="267">
        <v>20703</v>
      </c>
      <c r="D286" s="268">
        <v>7.6099999999999994</v>
      </c>
      <c r="E286" s="14">
        <v>33015313.059999999</v>
      </c>
      <c r="F286" s="14">
        <f>Tasaus[[#This Row],[Kunnallisvero (maksuunpantu), €]]*100/Tasaus[[#This Row],[Tuloveroprosentti 2023]]</f>
        <v>433841170.30223393</v>
      </c>
      <c r="G286" s="269">
        <f>Tasaus[[#This Row],[Verotettava tulo (kunnallisvero), €]]*($D$11/100)</f>
        <v>32017478.368304867</v>
      </c>
      <c r="H286" s="14">
        <v>4918129.2615739694</v>
      </c>
      <c r="I286" s="15">
        <v>2669281.9253499997</v>
      </c>
      <c r="J286" s="15">
        <f>SUM(Tasaus[[#This Row],[Laskennallinen kunnallisvero, €]:[Laskennallinen kiinteistövero, €]])</f>
        <v>39604889.555228837</v>
      </c>
      <c r="K286" s="15">
        <f>Tasaus[[#This Row],[Laskennallinen verotulo yhteensä, €]]/Tasaus[[#This Row],[Asukasluku 31.12.2022]]</f>
        <v>1913.0024419276838</v>
      </c>
      <c r="L286" s="34">
        <f>$K$11-Tasaus[[#This Row],[Laskennallinen verotulo yhteensä, €/asukas (=tasausraja)]]</f>
        <v>220.75755807231644</v>
      </c>
      <c r="M286" s="369">
        <v>198.6818022650848</v>
      </c>
      <c r="N286" s="370">
        <v>4113309.3522940506</v>
      </c>
      <c r="P286" s="116"/>
      <c r="Q286" s="117"/>
    </row>
    <row r="287" spans="1:17">
      <c r="A287" s="266">
        <v>915</v>
      </c>
      <c r="B287" s="13" t="s">
        <v>633</v>
      </c>
      <c r="C287" s="267">
        <v>19759</v>
      </c>
      <c r="D287" s="268">
        <v>8.36</v>
      </c>
      <c r="E287" s="14">
        <v>32632149.960000001</v>
      </c>
      <c r="F287" s="14">
        <f>Tasaus[[#This Row],[Kunnallisvero (maksuunpantu), €]]*100/Tasaus[[#This Row],[Tuloveroprosentti 2023]]</f>
        <v>390336722.00956941</v>
      </c>
      <c r="G287" s="269">
        <f>Tasaus[[#This Row],[Verotettava tulo (kunnallisvero), €]]*($D$11/100)</f>
        <v>28806850.084306225</v>
      </c>
      <c r="H287" s="14">
        <v>3942997.4198319875</v>
      </c>
      <c r="I287" s="15">
        <v>3227099.4739499995</v>
      </c>
      <c r="J287" s="15">
        <f>SUM(Tasaus[[#This Row],[Laskennallinen kunnallisvero, €]:[Laskennallinen kiinteistövero, €]])</f>
        <v>35976946.978088215</v>
      </c>
      <c r="K287" s="15">
        <f>Tasaus[[#This Row],[Laskennallinen verotulo yhteensä, €]]/Tasaus[[#This Row],[Asukasluku 31.12.2022]]</f>
        <v>1820.7878424053958</v>
      </c>
      <c r="L287" s="34">
        <f>$K$11-Tasaus[[#This Row],[Laskennallinen verotulo yhteensä, €/asukas (=tasausraja)]]</f>
        <v>312.97215759460437</v>
      </c>
      <c r="M287" s="369">
        <v>281.67494183514395</v>
      </c>
      <c r="N287" s="370">
        <v>5565615.1757206097</v>
      </c>
      <c r="P287" s="116"/>
      <c r="Q287" s="117"/>
    </row>
    <row r="288" spans="1:17">
      <c r="A288" s="266">
        <v>918</v>
      </c>
      <c r="B288" s="13" t="s">
        <v>634</v>
      </c>
      <c r="C288" s="267">
        <v>2228</v>
      </c>
      <c r="D288" s="268">
        <v>9.61</v>
      </c>
      <c r="E288" s="14">
        <v>3668155.52</v>
      </c>
      <c r="F288" s="14">
        <f>Tasaus[[#This Row],[Kunnallisvero (maksuunpantu), €]]*100/Tasaus[[#This Row],[Tuloveroprosentti 2023]]</f>
        <v>38170192.715920918</v>
      </c>
      <c r="G288" s="269">
        <f>Tasaus[[#This Row],[Verotettava tulo (kunnallisvero), €]]*($D$11/100)</f>
        <v>2816960.222434964</v>
      </c>
      <c r="H288" s="14">
        <v>354073.19711368362</v>
      </c>
      <c r="I288" s="15">
        <v>401016.94999999995</v>
      </c>
      <c r="J288" s="15">
        <f>SUM(Tasaus[[#This Row],[Laskennallinen kunnallisvero, €]:[Laskennallinen kiinteistövero, €]])</f>
        <v>3572050.3695486477</v>
      </c>
      <c r="K288" s="15">
        <f>Tasaus[[#This Row],[Laskennallinen verotulo yhteensä, €]]/Tasaus[[#This Row],[Asukasluku 31.12.2022]]</f>
        <v>1603.2542053629477</v>
      </c>
      <c r="L288" s="34">
        <f>$K$11-Tasaus[[#This Row],[Laskennallinen verotulo yhteensä, €/asukas (=tasausraja)]]</f>
        <v>530.50579463705253</v>
      </c>
      <c r="M288" s="369">
        <v>477.45521517334731</v>
      </c>
      <c r="N288" s="370">
        <v>1063770.2194062178</v>
      </c>
      <c r="P288" s="116"/>
      <c r="Q288" s="117"/>
    </row>
    <row r="289" spans="1:17">
      <c r="A289" s="266">
        <v>921</v>
      </c>
      <c r="B289" s="13" t="s">
        <v>635</v>
      </c>
      <c r="C289" s="267">
        <v>1894</v>
      </c>
      <c r="D289" s="268">
        <v>9.11</v>
      </c>
      <c r="E289" s="14">
        <v>2499870.6800000002</v>
      </c>
      <c r="F289" s="14">
        <f>Tasaus[[#This Row],[Kunnallisvero (maksuunpantu), €]]*100/Tasaus[[#This Row],[Tuloveroprosentti 2023]]</f>
        <v>27440951.481888041</v>
      </c>
      <c r="G289" s="269">
        <f>Tasaus[[#This Row],[Verotettava tulo (kunnallisvero), €]]*($D$11/100)</f>
        <v>2025142.2193633376</v>
      </c>
      <c r="H289" s="14">
        <v>434981.07991139696</v>
      </c>
      <c r="I289" s="15">
        <v>320636.71275000001</v>
      </c>
      <c r="J289" s="15">
        <f>SUM(Tasaus[[#This Row],[Laskennallinen kunnallisvero, €]:[Laskennallinen kiinteistövero, €]])</f>
        <v>2780760.0120247346</v>
      </c>
      <c r="K289" s="15">
        <f>Tasaus[[#This Row],[Laskennallinen verotulo yhteensä, €]]/Tasaus[[#This Row],[Asukasluku 31.12.2022]]</f>
        <v>1468.1943041313277</v>
      </c>
      <c r="L289" s="34">
        <f>$K$11-Tasaus[[#This Row],[Laskennallinen verotulo yhteensä, €/asukas (=tasausraja)]]</f>
        <v>665.56569586867249</v>
      </c>
      <c r="M289" s="369">
        <v>599.00912628180527</v>
      </c>
      <c r="N289" s="370">
        <v>1134523.2851777391</v>
      </c>
      <c r="P289" s="116"/>
      <c r="Q289" s="117"/>
    </row>
    <row r="290" spans="1:17">
      <c r="A290" s="266">
        <v>922</v>
      </c>
      <c r="B290" s="13" t="s">
        <v>636</v>
      </c>
      <c r="C290" s="267">
        <v>4501</v>
      </c>
      <c r="D290" s="268">
        <v>9.36</v>
      </c>
      <c r="E290" s="14">
        <v>9044473.5899999999</v>
      </c>
      <c r="F290" s="14">
        <f>Tasaus[[#This Row],[Kunnallisvero (maksuunpantu), €]]*100/Tasaus[[#This Row],[Tuloveroprosentti 2023]]</f>
        <v>96628991.346153855</v>
      </c>
      <c r="G290" s="269">
        <f>Tasaus[[#This Row],[Verotettava tulo (kunnallisvero), €]]*($D$11/100)</f>
        <v>7131219.5613461547</v>
      </c>
      <c r="H290" s="14">
        <v>485333.73328841868</v>
      </c>
      <c r="I290" s="15">
        <v>660131.25565000006</v>
      </c>
      <c r="J290" s="15">
        <f>SUM(Tasaus[[#This Row],[Laskennallinen kunnallisvero, €]:[Laskennallinen kiinteistövero, €]])</f>
        <v>8276684.5502845729</v>
      </c>
      <c r="K290" s="15">
        <f>Tasaus[[#This Row],[Laskennallinen verotulo yhteensä, €]]/Tasaus[[#This Row],[Asukasluku 31.12.2022]]</f>
        <v>1838.8545990412292</v>
      </c>
      <c r="L290" s="34">
        <f>$K$11-Tasaus[[#This Row],[Laskennallinen verotulo yhteensä, €/asukas (=tasausraja)]]</f>
        <v>294.905400958771</v>
      </c>
      <c r="M290" s="369">
        <v>265.41486086289393</v>
      </c>
      <c r="N290" s="370">
        <v>1194632.2887438857</v>
      </c>
      <c r="P290" s="116"/>
      <c r="Q290" s="117"/>
    </row>
    <row r="291" spans="1:17">
      <c r="A291" s="266">
        <v>924</v>
      </c>
      <c r="B291" s="13" t="s">
        <v>637</v>
      </c>
      <c r="C291" s="267">
        <v>2946</v>
      </c>
      <c r="D291" s="268">
        <v>9.86</v>
      </c>
      <c r="E291" s="14">
        <v>4617712.49</v>
      </c>
      <c r="F291" s="14">
        <f>Tasaus[[#This Row],[Kunnallisvero (maksuunpantu), €]]*100/Tasaus[[#This Row],[Tuloveroprosentti 2023]]</f>
        <v>46832783.874239355</v>
      </c>
      <c r="G291" s="269">
        <f>Tasaus[[#This Row],[Verotettava tulo (kunnallisvero), €]]*($D$11/100)</f>
        <v>3456259.4499188648</v>
      </c>
      <c r="H291" s="14">
        <v>567269.07823925337</v>
      </c>
      <c r="I291" s="15">
        <v>421602.07490000001</v>
      </c>
      <c r="J291" s="15">
        <f>SUM(Tasaus[[#This Row],[Laskennallinen kunnallisvero, €]:[Laskennallinen kiinteistövero, €]])</f>
        <v>4445130.6030581184</v>
      </c>
      <c r="K291" s="15">
        <f>Tasaus[[#This Row],[Laskennallinen verotulo yhteensä, €]]/Tasaus[[#This Row],[Asukasluku 31.12.2022]]</f>
        <v>1508.8698584718663</v>
      </c>
      <c r="L291" s="34">
        <f>$K$11-Tasaus[[#This Row],[Laskennallinen verotulo yhteensä, €/asukas (=tasausraja)]]</f>
        <v>624.89014152813388</v>
      </c>
      <c r="M291" s="369">
        <v>562.40112737532047</v>
      </c>
      <c r="N291" s="370">
        <v>1656833.7212476942</v>
      </c>
      <c r="P291" s="116"/>
      <c r="Q291" s="117"/>
    </row>
    <row r="292" spans="1:17">
      <c r="A292" s="266">
        <v>925</v>
      </c>
      <c r="B292" s="13" t="s">
        <v>638</v>
      </c>
      <c r="C292" s="267">
        <v>3427</v>
      </c>
      <c r="D292" s="268">
        <v>8.360000000000003</v>
      </c>
      <c r="E292" s="14">
        <v>4831269.43</v>
      </c>
      <c r="F292" s="14">
        <f>Tasaus[[#This Row],[Kunnallisvero (maksuunpantu), €]]*100/Tasaus[[#This Row],[Tuloveroprosentti 2023]]</f>
        <v>57790304.186602853</v>
      </c>
      <c r="G292" s="269">
        <f>Tasaus[[#This Row],[Verotettava tulo (kunnallisvero), €]]*($D$11/100)</f>
        <v>4264924.4489712911</v>
      </c>
      <c r="H292" s="14">
        <v>2278206.6744338237</v>
      </c>
      <c r="I292" s="15">
        <v>703484.10019999999</v>
      </c>
      <c r="J292" s="15">
        <f>SUM(Tasaus[[#This Row],[Laskennallinen kunnallisvero, €]:[Laskennallinen kiinteistövero, €]])</f>
        <v>7246615.223605115</v>
      </c>
      <c r="K292" s="15">
        <f>Tasaus[[#This Row],[Laskennallinen verotulo yhteensä, €]]/Tasaus[[#This Row],[Asukasluku 31.12.2022]]</f>
        <v>2114.5652826393684</v>
      </c>
      <c r="L292" s="34">
        <f>$K$11-Tasaus[[#This Row],[Laskennallinen verotulo yhteensä, €/asukas (=tasausraja)]]</f>
        <v>19.194717360631785</v>
      </c>
      <c r="M292" s="369">
        <v>17.275245624568608</v>
      </c>
      <c r="N292" s="370">
        <v>59202.266755396624</v>
      </c>
      <c r="P292" s="116"/>
      <c r="Q292" s="117"/>
    </row>
    <row r="293" spans="1:17">
      <c r="A293" s="266">
        <v>927</v>
      </c>
      <c r="B293" s="13" t="s">
        <v>639</v>
      </c>
      <c r="C293" s="267">
        <v>28913</v>
      </c>
      <c r="D293" s="268">
        <v>7.8599999999999994</v>
      </c>
      <c r="E293" s="14">
        <v>54163101.880000003</v>
      </c>
      <c r="F293" s="14">
        <f>Tasaus[[#This Row],[Kunnallisvero (maksuunpantu), €]]*100/Tasaus[[#This Row],[Tuloveroprosentti 2023]]</f>
        <v>689097988.29516542</v>
      </c>
      <c r="G293" s="269">
        <f>Tasaus[[#This Row],[Verotettava tulo (kunnallisvero), €]]*($D$11/100)</f>
        <v>50855431.536183208</v>
      </c>
      <c r="H293" s="14">
        <v>3490644.5388402636</v>
      </c>
      <c r="I293" s="15">
        <v>4556109.9994500009</v>
      </c>
      <c r="J293" s="15">
        <f>SUM(Tasaus[[#This Row],[Laskennallinen kunnallisvero, €]:[Laskennallinen kiinteistövero, €]])</f>
        <v>58902186.07447347</v>
      </c>
      <c r="K293" s="15">
        <f>Tasaus[[#This Row],[Laskennallinen verotulo yhteensä, €]]/Tasaus[[#This Row],[Asukasluku 31.12.2022]]</f>
        <v>2037.2215292246904</v>
      </c>
      <c r="L293" s="34">
        <f>$K$11-Tasaus[[#This Row],[Laskennallinen verotulo yhteensä, €/asukas (=tasausraja)]]</f>
        <v>96.538470775309861</v>
      </c>
      <c r="M293" s="369">
        <v>86.884623697778878</v>
      </c>
      <c r="N293" s="370">
        <v>2512095.1249738806</v>
      </c>
      <c r="P293" s="116"/>
      <c r="Q293" s="117"/>
    </row>
    <row r="294" spans="1:17">
      <c r="A294" s="266">
        <v>931</v>
      </c>
      <c r="B294" s="13" t="s">
        <v>640</v>
      </c>
      <c r="C294" s="267">
        <v>5951</v>
      </c>
      <c r="D294" s="268">
        <v>8.36</v>
      </c>
      <c r="E294" s="14">
        <v>7986268.9500000002</v>
      </c>
      <c r="F294" s="14">
        <f>Tasaus[[#This Row],[Kunnallisvero (maksuunpantu), €]]*100/Tasaus[[#This Row],[Tuloveroprosentti 2023]]</f>
        <v>95529532.894736841</v>
      </c>
      <c r="G294" s="269">
        <f>Tasaus[[#This Row],[Verotettava tulo (kunnallisvero), €]]*($D$11/100)</f>
        <v>7050079.527631579</v>
      </c>
      <c r="H294" s="14">
        <v>2100862.5380184529</v>
      </c>
      <c r="I294" s="15">
        <v>1143632.2448500001</v>
      </c>
      <c r="J294" s="15">
        <f>SUM(Tasaus[[#This Row],[Laskennallinen kunnallisvero, €]:[Laskennallinen kiinteistövero, €]])</f>
        <v>10294574.310500031</v>
      </c>
      <c r="K294" s="15">
        <f>Tasaus[[#This Row],[Laskennallinen verotulo yhteensä, €]]/Tasaus[[#This Row],[Asukasluku 31.12.2022]]</f>
        <v>1729.889818601921</v>
      </c>
      <c r="L294" s="34">
        <f>$K$11-Tasaus[[#This Row],[Laskennallinen verotulo yhteensä, €/asukas (=tasausraja)]]</f>
        <v>403.87018139807924</v>
      </c>
      <c r="M294" s="369">
        <v>363.4831632582713</v>
      </c>
      <c r="N294" s="370">
        <v>2163088.3045499725</v>
      </c>
      <c r="P294" s="116"/>
      <c r="Q294" s="117"/>
    </row>
    <row r="295" spans="1:17">
      <c r="A295" s="266">
        <v>934</v>
      </c>
      <c r="B295" s="13" t="s">
        <v>641</v>
      </c>
      <c r="C295" s="267">
        <v>2671</v>
      </c>
      <c r="D295" s="268">
        <v>9.610000000000003</v>
      </c>
      <c r="E295" s="14">
        <v>4388258.7300000004</v>
      </c>
      <c r="F295" s="14">
        <f>Tasaus[[#This Row],[Kunnallisvero (maksuunpantu), €]]*100/Tasaus[[#This Row],[Tuloveroprosentti 2023]]</f>
        <v>45663462.330905296</v>
      </c>
      <c r="G295" s="269">
        <f>Tasaus[[#This Row],[Verotettava tulo (kunnallisvero), €]]*($D$11/100)</f>
        <v>3369963.5200208109</v>
      </c>
      <c r="H295" s="14">
        <v>549277.5295258176</v>
      </c>
      <c r="I295" s="15">
        <v>402793.76684999996</v>
      </c>
      <c r="J295" s="15">
        <f>SUM(Tasaus[[#This Row],[Laskennallinen kunnallisvero, €]:[Laskennallinen kiinteistövero, €]])</f>
        <v>4322034.8163966285</v>
      </c>
      <c r="K295" s="15">
        <f>Tasaus[[#This Row],[Laskennallinen verotulo yhteensä, €]]/Tasaus[[#This Row],[Asukasluku 31.12.2022]]</f>
        <v>1618.1335890665027</v>
      </c>
      <c r="L295" s="34">
        <f>$K$11-Tasaus[[#This Row],[Laskennallinen verotulo yhteensä, €/asukas (=tasausraja)]]</f>
        <v>515.62641093349748</v>
      </c>
      <c r="M295" s="369">
        <v>464.06376984014776</v>
      </c>
      <c r="N295" s="370">
        <v>1239514.3292430346</v>
      </c>
      <c r="P295" s="116"/>
      <c r="Q295" s="117"/>
    </row>
    <row r="296" spans="1:17">
      <c r="A296" s="266">
        <v>935</v>
      </c>
      <c r="B296" s="13" t="s">
        <v>642</v>
      </c>
      <c r="C296" s="267">
        <v>2985</v>
      </c>
      <c r="D296" s="268">
        <v>8.86</v>
      </c>
      <c r="E296" s="14">
        <v>4448199.54</v>
      </c>
      <c r="F296" s="14">
        <f>Tasaus[[#This Row],[Kunnallisvero (maksuunpantu), €]]*100/Tasaus[[#This Row],[Tuloveroprosentti 2023]]</f>
        <v>50205412.415349893</v>
      </c>
      <c r="G296" s="269">
        <f>Tasaus[[#This Row],[Verotettava tulo (kunnallisvero), €]]*($D$11/100)</f>
        <v>3705159.4362528222</v>
      </c>
      <c r="H296" s="14">
        <v>577998.31314007076</v>
      </c>
      <c r="I296" s="15">
        <v>787621.18889999995</v>
      </c>
      <c r="J296" s="15">
        <f>SUM(Tasaus[[#This Row],[Laskennallinen kunnallisvero, €]:[Laskennallinen kiinteistövero, €]])</f>
        <v>5070778.9382928926</v>
      </c>
      <c r="K296" s="15">
        <f>Tasaus[[#This Row],[Laskennallinen verotulo yhteensä, €]]/Tasaus[[#This Row],[Asukasluku 31.12.2022]]</f>
        <v>1698.7534131634482</v>
      </c>
      <c r="L296" s="34">
        <f>$K$11-Tasaus[[#This Row],[Laskennallinen verotulo yhteensä, €/asukas (=tasausraja)]]</f>
        <v>435.00658683655206</v>
      </c>
      <c r="M296" s="369">
        <v>391.50592815289684</v>
      </c>
      <c r="N296" s="370">
        <v>1168645.1955363972</v>
      </c>
      <c r="P296" s="116"/>
      <c r="Q296" s="117"/>
    </row>
    <row r="297" spans="1:17">
      <c r="A297" s="266">
        <v>936</v>
      </c>
      <c r="B297" s="13" t="s">
        <v>643</v>
      </c>
      <c r="C297" s="267">
        <v>6395</v>
      </c>
      <c r="D297" s="268">
        <v>8.61</v>
      </c>
      <c r="E297" s="14">
        <v>8968937.8800000008</v>
      </c>
      <c r="F297" s="14">
        <f>Tasaus[[#This Row],[Kunnallisvero (maksuunpantu), €]]*100/Tasaus[[#This Row],[Tuloveroprosentti 2023]]</f>
        <v>104168848.78048782</v>
      </c>
      <c r="G297" s="269">
        <f>Tasaus[[#This Row],[Verotettava tulo (kunnallisvero), €]]*($D$11/100)</f>
        <v>7687661.0400000019</v>
      </c>
      <c r="H297" s="14">
        <v>2029511.4188817677</v>
      </c>
      <c r="I297" s="15">
        <v>1256601.6730499999</v>
      </c>
      <c r="J297" s="15">
        <f>SUM(Tasaus[[#This Row],[Laskennallinen kunnallisvero, €]:[Laskennallinen kiinteistövero, €]])</f>
        <v>10973774.131931769</v>
      </c>
      <c r="K297" s="15">
        <f>Tasaus[[#This Row],[Laskennallinen verotulo yhteensä, €]]/Tasaus[[#This Row],[Asukasluku 31.12.2022]]</f>
        <v>1715.9928275108316</v>
      </c>
      <c r="L297" s="34">
        <f>$K$11-Tasaus[[#This Row],[Laskennallinen verotulo yhteensä, €/asukas (=tasausraja)]]</f>
        <v>417.76717248916862</v>
      </c>
      <c r="M297" s="369">
        <v>375.99045524025178</v>
      </c>
      <c r="N297" s="370">
        <v>2404458.9612614103</v>
      </c>
      <c r="P297" s="116"/>
      <c r="Q297" s="117"/>
    </row>
    <row r="298" spans="1:17">
      <c r="A298" s="266">
        <v>946</v>
      </c>
      <c r="B298" s="13" t="s">
        <v>298</v>
      </c>
      <c r="C298" s="267">
        <v>6287</v>
      </c>
      <c r="D298" s="268">
        <v>8.86</v>
      </c>
      <c r="E298" s="14">
        <v>9911021.5299999993</v>
      </c>
      <c r="F298" s="14">
        <f>Tasaus[[#This Row],[Kunnallisvero (maksuunpantu), €]]*100/Tasaus[[#This Row],[Tuloveroprosentti 2023]]</f>
        <v>111862545.4853273</v>
      </c>
      <c r="G298" s="269">
        <f>Tasaus[[#This Row],[Verotettava tulo (kunnallisvero), €]]*($D$11/100)</f>
        <v>8255455.8568171551</v>
      </c>
      <c r="H298" s="14">
        <v>1451977.4223215615</v>
      </c>
      <c r="I298" s="15">
        <v>1192957.5419000001</v>
      </c>
      <c r="J298" s="15">
        <f>SUM(Tasaus[[#This Row],[Laskennallinen kunnallisvero, €]:[Laskennallinen kiinteistövero, €]])</f>
        <v>10900390.821038716</v>
      </c>
      <c r="K298" s="15">
        <f>Tasaus[[#This Row],[Laskennallinen verotulo yhteensä, €]]/Tasaus[[#This Row],[Asukasluku 31.12.2022]]</f>
        <v>1733.7984445743145</v>
      </c>
      <c r="L298" s="34">
        <f>$K$11-Tasaus[[#This Row],[Laskennallinen verotulo yhteensä, €/asukas (=tasausraja)]]</f>
        <v>399.96155542568567</v>
      </c>
      <c r="M298" s="369">
        <v>359.96539988311713</v>
      </c>
      <c r="N298" s="370">
        <v>2263102.4690651572</v>
      </c>
      <c r="P298" s="116"/>
      <c r="Q298" s="117"/>
    </row>
    <row r="299" spans="1:17">
      <c r="A299" s="266">
        <v>976</v>
      </c>
      <c r="B299" s="13" t="s">
        <v>644</v>
      </c>
      <c r="C299" s="267">
        <v>3788</v>
      </c>
      <c r="D299" s="268">
        <v>7.3599999999999994</v>
      </c>
      <c r="E299" s="14">
        <v>4714395.9000000004</v>
      </c>
      <c r="F299" s="14">
        <f>Tasaus[[#This Row],[Kunnallisvero (maksuunpantu), €]]*100/Tasaus[[#This Row],[Tuloveroprosentti 2023]]</f>
        <v>64054292.119565234</v>
      </c>
      <c r="G299" s="269">
        <f>Tasaus[[#This Row],[Verotettava tulo (kunnallisvero), €]]*($D$11/100)</f>
        <v>4727206.7584239142</v>
      </c>
      <c r="H299" s="14">
        <v>566442.86785449449</v>
      </c>
      <c r="I299" s="15">
        <v>600082.49545000005</v>
      </c>
      <c r="J299" s="15">
        <f>SUM(Tasaus[[#This Row],[Laskennallinen kunnallisvero, €]:[Laskennallinen kiinteistövero, €]])</f>
        <v>5893732.1217284091</v>
      </c>
      <c r="K299" s="15">
        <f>Tasaus[[#This Row],[Laskennallinen verotulo yhteensä, €]]/Tasaus[[#This Row],[Asukasluku 31.12.2022]]</f>
        <v>1555.8954914805727</v>
      </c>
      <c r="L299" s="34">
        <f>$K$11-Tasaus[[#This Row],[Laskennallinen verotulo yhteensä, €/asukas (=tasausraja)]]</f>
        <v>577.86450851942755</v>
      </c>
      <c r="M299" s="369">
        <v>520.07805766748481</v>
      </c>
      <c r="N299" s="370">
        <v>1970055.6824444325</v>
      </c>
      <c r="P299" s="116"/>
      <c r="Q299" s="117"/>
    </row>
    <row r="300" spans="1:17">
      <c r="A300" s="266">
        <v>977</v>
      </c>
      <c r="B300" s="13" t="s">
        <v>645</v>
      </c>
      <c r="C300" s="267">
        <v>15293</v>
      </c>
      <c r="D300" s="268">
        <v>10.36</v>
      </c>
      <c r="E300" s="14">
        <v>28587065.41</v>
      </c>
      <c r="F300" s="14">
        <f>Tasaus[[#This Row],[Kunnallisvero (maksuunpantu), €]]*100/Tasaus[[#This Row],[Tuloveroprosentti 2023]]</f>
        <v>275936924.80694979</v>
      </c>
      <c r="G300" s="269">
        <f>Tasaus[[#This Row],[Verotettava tulo (kunnallisvero), €]]*($D$11/100)</f>
        <v>20364145.050752897</v>
      </c>
      <c r="H300" s="14">
        <v>3486727.3169203536</v>
      </c>
      <c r="I300" s="15">
        <v>2175305.7262500003</v>
      </c>
      <c r="J300" s="15">
        <f>SUM(Tasaus[[#This Row],[Laskennallinen kunnallisvero, €]:[Laskennallinen kiinteistövero, €]])</f>
        <v>26026178.093923252</v>
      </c>
      <c r="K300" s="15">
        <f>Tasaus[[#This Row],[Laskennallinen verotulo yhteensä, €]]/Tasaus[[#This Row],[Asukasluku 31.12.2022]]</f>
        <v>1701.8360095418329</v>
      </c>
      <c r="L300" s="34">
        <f>$K$11-Tasaus[[#This Row],[Laskennallinen verotulo yhteensä, €/asukas (=tasausraja)]]</f>
        <v>431.92399045816728</v>
      </c>
      <c r="M300" s="369">
        <v>388.73159141235055</v>
      </c>
      <c r="N300" s="370">
        <v>5944872.2274690773</v>
      </c>
      <c r="P300" s="116"/>
      <c r="Q300" s="117"/>
    </row>
    <row r="301" spans="1:17">
      <c r="A301" s="266">
        <v>980</v>
      </c>
      <c r="B301" s="13" t="s">
        <v>646</v>
      </c>
      <c r="C301" s="267">
        <v>33607</v>
      </c>
      <c r="D301" s="268">
        <v>7.8599999999999994</v>
      </c>
      <c r="E301" s="14">
        <v>57091344.229999997</v>
      </c>
      <c r="F301" s="14">
        <f>Tasaus[[#This Row],[Kunnallisvero (maksuunpantu), €]]*100/Tasaus[[#This Row],[Tuloveroprosentti 2023]]</f>
        <v>726352980.02544534</v>
      </c>
      <c r="G301" s="269">
        <f>Tasaus[[#This Row],[Verotettava tulo (kunnallisvero), €]]*($D$11/100)</f>
        <v>53604849.925877869</v>
      </c>
      <c r="H301" s="14">
        <v>7522132.720599331</v>
      </c>
      <c r="I301" s="15">
        <v>4879435.8101499993</v>
      </c>
      <c r="J301" s="15">
        <f>SUM(Tasaus[[#This Row],[Laskennallinen kunnallisvero, €]:[Laskennallinen kiinteistövero, €]])</f>
        <v>66006418.456627198</v>
      </c>
      <c r="K301" s="15">
        <f>Tasaus[[#This Row],[Laskennallinen verotulo yhteensä, €]]/Tasaus[[#This Row],[Asukasluku 31.12.2022]]</f>
        <v>1964.0675590391049</v>
      </c>
      <c r="L301" s="34">
        <f>$K$11-Tasaus[[#This Row],[Laskennallinen verotulo yhteensä, €/asukas (=tasausraja)]]</f>
        <v>169.69244096089528</v>
      </c>
      <c r="M301" s="369">
        <v>152.72319686480577</v>
      </c>
      <c r="N301" s="370">
        <v>5132568.4770355271</v>
      </c>
      <c r="P301" s="116"/>
      <c r="Q301" s="117"/>
    </row>
    <row r="302" spans="1:17">
      <c r="A302" s="266">
        <v>981</v>
      </c>
      <c r="B302" s="13" t="s">
        <v>647</v>
      </c>
      <c r="C302" s="267">
        <v>2237</v>
      </c>
      <c r="D302" s="268">
        <v>9.36</v>
      </c>
      <c r="E302" s="14">
        <v>3754667.54</v>
      </c>
      <c r="F302" s="14">
        <f>Tasaus[[#This Row],[Kunnallisvero (maksuunpantu), €]]*100/Tasaus[[#This Row],[Tuloveroprosentti 2023]]</f>
        <v>40113969.444444448</v>
      </c>
      <c r="G302" s="269">
        <f>Tasaus[[#This Row],[Verotettava tulo (kunnallisvero), €]]*($D$11/100)</f>
        <v>2960410.9450000003</v>
      </c>
      <c r="H302" s="14">
        <v>197880.08248595873</v>
      </c>
      <c r="I302" s="15">
        <v>270193.22449999995</v>
      </c>
      <c r="J302" s="15">
        <f>SUM(Tasaus[[#This Row],[Laskennallinen kunnallisvero, €]:[Laskennallinen kiinteistövero, €]])</f>
        <v>3428484.2519859592</v>
      </c>
      <c r="K302" s="15">
        <f>Tasaus[[#This Row],[Laskennallinen verotulo yhteensä, €]]/Tasaus[[#This Row],[Asukasluku 31.12.2022]]</f>
        <v>1532.6259508207238</v>
      </c>
      <c r="L302" s="34">
        <f>$K$11-Tasaus[[#This Row],[Laskennallinen verotulo yhteensä, €/asukas (=tasausraja)]]</f>
        <v>601.13404917927642</v>
      </c>
      <c r="M302" s="369">
        <v>541.02064426134882</v>
      </c>
      <c r="N302" s="370">
        <v>1210263.1812126373</v>
      </c>
      <c r="P302" s="116"/>
      <c r="Q302" s="117"/>
    </row>
    <row r="303" spans="1:17">
      <c r="A303" s="266">
        <v>989</v>
      </c>
      <c r="B303" s="13" t="s">
        <v>648</v>
      </c>
      <c r="C303" s="267">
        <v>5406</v>
      </c>
      <c r="D303" s="268">
        <v>9.8599999999999959</v>
      </c>
      <c r="E303" s="14">
        <v>8871052.5600000005</v>
      </c>
      <c r="F303" s="14">
        <f>Tasaus[[#This Row],[Kunnallisvero (maksuunpantu), €]]*100/Tasaus[[#This Row],[Tuloveroprosentti 2023]]</f>
        <v>89970107.09939152</v>
      </c>
      <c r="G303" s="269">
        <f>Tasaus[[#This Row],[Verotettava tulo (kunnallisvero), €]]*($D$11/100)</f>
        <v>6639793.9039350944</v>
      </c>
      <c r="H303" s="14">
        <v>1336490.7122485405</v>
      </c>
      <c r="I303" s="15">
        <v>1043851.6743499999</v>
      </c>
      <c r="J303" s="15">
        <f>SUM(Tasaus[[#This Row],[Laskennallinen kunnallisvero, €]:[Laskennallinen kiinteistövero, €]])</f>
        <v>9020136.2905336339</v>
      </c>
      <c r="K303" s="15">
        <f>Tasaus[[#This Row],[Laskennallinen verotulo yhteensä, €]]/Tasaus[[#This Row],[Asukasluku 31.12.2022]]</f>
        <v>1668.5416741645643</v>
      </c>
      <c r="L303" s="34">
        <f>$K$11-Tasaus[[#This Row],[Laskennallinen verotulo yhteensä, €/asukas (=tasausraja)]]</f>
        <v>465.21832583543596</v>
      </c>
      <c r="M303" s="369">
        <v>418.69649325189238</v>
      </c>
      <c r="N303" s="370">
        <v>2263473.2425197302</v>
      </c>
      <c r="P303" s="116"/>
      <c r="Q303" s="117"/>
    </row>
    <row r="304" spans="1:17">
      <c r="A304" s="266">
        <v>992</v>
      </c>
      <c r="B304" s="13" t="s">
        <v>649</v>
      </c>
      <c r="C304" s="267">
        <v>18120</v>
      </c>
      <c r="D304" s="268">
        <v>8.86</v>
      </c>
      <c r="E304" s="14">
        <v>29763888.84</v>
      </c>
      <c r="F304" s="14">
        <f>Tasaus[[#This Row],[Kunnallisvero (maksuunpantu), €]]*100/Tasaus[[#This Row],[Tuloveroprosentti 2023]]</f>
        <v>335935539.9548533</v>
      </c>
      <c r="G304" s="269">
        <f>Tasaus[[#This Row],[Verotettava tulo (kunnallisvero), €]]*($D$11/100)</f>
        <v>24792042.848668173</v>
      </c>
      <c r="H304" s="14">
        <v>6300105.5688085835</v>
      </c>
      <c r="I304" s="15">
        <v>3118448.4618999995</v>
      </c>
      <c r="J304" s="15">
        <f>SUM(Tasaus[[#This Row],[Laskennallinen kunnallisvero, €]:[Laskennallinen kiinteistövero, €]])</f>
        <v>34210596.879376754</v>
      </c>
      <c r="K304" s="15">
        <f>Tasaus[[#This Row],[Laskennallinen verotulo yhteensä, €]]/Tasaus[[#This Row],[Asukasluku 31.12.2022]]</f>
        <v>1888.0020352856927</v>
      </c>
      <c r="L304" s="34">
        <f>$K$11-Tasaus[[#This Row],[Laskennallinen verotulo yhteensä, €/asukas (=tasausraja)]]</f>
        <v>245.75796471430749</v>
      </c>
      <c r="M304" s="369">
        <v>221.18216824287674</v>
      </c>
      <c r="N304" s="370">
        <v>4007820.8885609265</v>
      </c>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zoomScale="90" zoomScaleNormal="90" workbookViewId="0">
      <pane xSplit="2" ySplit="4" topLeftCell="C5" activePane="bottomRight" state="frozen"/>
      <selection activeCell="G29" sqref="G29"/>
      <selection pane="topRight" activeCell="G29" sqref="G29"/>
      <selection pane="bottomLeft" activeCell="G29" sqref="G29"/>
      <selection pane="bottomRight"/>
    </sheetView>
  </sheetViews>
  <sheetFormatPr defaultRowHeight="15"/>
  <cols>
    <col min="1" max="1" width="8.375" style="298" customWidth="1"/>
    <col min="2" max="2" width="12.5" style="297" bestFit="1" customWidth="1"/>
    <col min="3" max="3" width="21.375" customWidth="1"/>
    <col min="4" max="5" width="16.875" customWidth="1"/>
    <col min="6" max="6" width="24.375" customWidth="1"/>
    <col min="7" max="8" width="9.625" bestFit="1" customWidth="1"/>
  </cols>
  <sheetData>
    <row r="1" spans="1:6" ht="23.25">
      <c r="A1" s="314" t="s">
        <v>785</v>
      </c>
      <c r="C1" s="327"/>
      <c r="F1" s="327"/>
    </row>
    <row r="2" spans="1:6">
      <c r="A2" s="298" t="s">
        <v>356</v>
      </c>
      <c r="B2" s="299"/>
    </row>
    <row r="3" spans="1:6" s="212" customFormat="1" ht="28.5">
      <c r="A3" s="220" t="s">
        <v>658</v>
      </c>
      <c r="B3" s="221" t="s">
        <v>3</v>
      </c>
      <c r="C3" s="220" t="s">
        <v>787</v>
      </c>
      <c r="D3" s="220" t="s">
        <v>735</v>
      </c>
      <c r="E3" s="220" t="s">
        <v>786</v>
      </c>
      <c r="F3" s="220" t="s">
        <v>788</v>
      </c>
    </row>
    <row r="4" spans="1:6">
      <c r="A4" s="297"/>
      <c r="B4" s="297" t="s">
        <v>360</v>
      </c>
      <c r="C4" s="169">
        <f>SUM(C5:C296)</f>
        <v>851000000.00000155</v>
      </c>
      <c r="D4" s="169">
        <f>SUM(D5:D296)</f>
        <v>-3000000.0000000061</v>
      </c>
      <c r="E4" s="169">
        <f>SUM(E5:E296)</f>
        <v>-307499999.99999988</v>
      </c>
      <c r="F4" s="300">
        <f>SUM(F5:F296)</f>
        <v>540500000.00000083</v>
      </c>
    </row>
    <row r="5" spans="1:6">
      <c r="A5" s="32">
        <v>5</v>
      </c>
      <c r="B5" s="13" t="s">
        <v>12</v>
      </c>
      <c r="C5" s="164">
        <v>1995400.0337450588</v>
      </c>
      <c r="D5" s="164">
        <v>3436.7496087450891</v>
      </c>
      <c r="E5" s="164">
        <v>-594270.8757717245</v>
      </c>
      <c r="F5" s="300">
        <f>Verokompensaatiot[[#This Row],[Korvaukset vuosilta 2010-2023, €]]+Verokompensaatiot[[#This Row],[Veromenetysten korvaus 2024]]+Verokompensaatiot[[#This Row],[Veromenetysten korvaus 2025]]</f>
        <v>1404565.9075820795</v>
      </c>
    </row>
    <row r="6" spans="1:6">
      <c r="A6" s="32">
        <v>9</v>
      </c>
      <c r="B6" s="13" t="s">
        <v>13</v>
      </c>
      <c r="C6" s="164">
        <v>527121.88997430378</v>
      </c>
      <c r="D6" s="164">
        <v>-2403.1163006271436</v>
      </c>
      <c r="E6" s="164">
        <v>-179075.28497707509</v>
      </c>
      <c r="F6" s="300">
        <f>Verokompensaatiot[[#This Row],[Korvaukset vuosilta 2010-2023, €]]+Verokompensaatiot[[#This Row],[Veromenetysten korvaus 2024]]+Verokompensaatiot[[#This Row],[Veromenetysten korvaus 2025]]</f>
        <v>345643.48869660159</v>
      </c>
    </row>
    <row r="7" spans="1:6">
      <c r="A7" s="32">
        <v>10</v>
      </c>
      <c r="B7" s="13" t="s">
        <v>14</v>
      </c>
      <c r="C7" s="164">
        <v>2441205.4908443792</v>
      </c>
      <c r="D7" s="164">
        <v>5165.6234524411557</v>
      </c>
      <c r="E7" s="164">
        <v>-793475.46426843619</v>
      </c>
      <c r="F7" s="300">
        <f>Verokompensaatiot[[#This Row],[Korvaukset vuosilta 2010-2023, €]]+Verokompensaatiot[[#This Row],[Veromenetysten korvaus 2024]]+Verokompensaatiot[[#This Row],[Veromenetysten korvaus 2025]]</f>
        <v>1652895.6500283843</v>
      </c>
    </row>
    <row r="8" spans="1:6">
      <c r="A8" s="32">
        <v>16</v>
      </c>
      <c r="B8" s="13" t="s">
        <v>15</v>
      </c>
      <c r="C8" s="164">
        <v>1409657.9092009971</v>
      </c>
      <c r="D8" s="164">
        <v>-29276.210337117154</v>
      </c>
      <c r="E8" s="164">
        <v>-403819.85731770773</v>
      </c>
      <c r="F8" s="300">
        <f>Verokompensaatiot[[#This Row],[Korvaukset vuosilta 2010-2023, €]]+Verokompensaatiot[[#This Row],[Veromenetysten korvaus 2024]]+Verokompensaatiot[[#This Row],[Veromenetysten korvaus 2025]]</f>
        <v>976561.84154617228</v>
      </c>
    </row>
    <row r="9" spans="1:6">
      <c r="A9" s="32">
        <v>18</v>
      </c>
      <c r="B9" s="13" t="s">
        <v>16</v>
      </c>
      <c r="C9" s="164">
        <v>844062.0157252152</v>
      </c>
      <c r="D9" s="164">
        <v>-33517.066494043691</v>
      </c>
      <c r="E9" s="164">
        <v>-349570.85136313323</v>
      </c>
      <c r="F9" s="300">
        <f>Verokompensaatiot[[#This Row],[Korvaukset vuosilta 2010-2023, €]]+Verokompensaatiot[[#This Row],[Veromenetysten korvaus 2024]]+Verokompensaatiot[[#This Row],[Veromenetysten korvaus 2025]]</f>
        <v>460974.09786803828</v>
      </c>
    </row>
    <row r="10" spans="1:6">
      <c r="A10" s="32">
        <v>19</v>
      </c>
      <c r="B10" s="13" t="s">
        <v>17</v>
      </c>
      <c r="C10" s="164">
        <v>661630.39903514739</v>
      </c>
      <c r="D10" s="164">
        <v>-26280.386824124002</v>
      </c>
      <c r="E10" s="164">
        <v>-301624.81178848766</v>
      </c>
      <c r="F10" s="300">
        <f>Verokompensaatiot[[#This Row],[Korvaukset vuosilta 2010-2023, €]]+Verokompensaatiot[[#This Row],[Veromenetysten korvaus 2024]]+Verokompensaatiot[[#This Row],[Veromenetysten korvaus 2025]]</f>
        <v>333725.20042253571</v>
      </c>
    </row>
    <row r="11" spans="1:6">
      <c r="A11" s="32">
        <v>20</v>
      </c>
      <c r="B11" s="13" t="s">
        <v>18</v>
      </c>
      <c r="C11" s="164">
        <v>2774244.065687079</v>
      </c>
      <c r="D11" s="164">
        <v>-86446.32441932059</v>
      </c>
      <c r="E11" s="164">
        <v>-1305780.989168301</v>
      </c>
      <c r="F11" s="300">
        <f>Verokompensaatiot[[#This Row],[Korvaukset vuosilta 2010-2023, €]]+Verokompensaatiot[[#This Row],[Veromenetysten korvaus 2024]]+Verokompensaatiot[[#This Row],[Veromenetysten korvaus 2025]]</f>
        <v>1382016.7520994574</v>
      </c>
    </row>
    <row r="12" spans="1:6">
      <c r="A12" s="32">
        <v>46</v>
      </c>
      <c r="B12" s="13" t="s">
        <v>19</v>
      </c>
      <c r="C12" s="164">
        <v>299258.7460745069</v>
      </c>
      <c r="D12" s="164">
        <v>-1059.9879670155156</v>
      </c>
      <c r="E12" s="164">
        <v>-67447.033442884</v>
      </c>
      <c r="F12" s="300">
        <f>Verokompensaatiot[[#This Row],[Korvaukset vuosilta 2010-2023, €]]+Verokompensaatiot[[#This Row],[Veromenetysten korvaus 2024]]+Verokompensaatiot[[#This Row],[Veromenetysten korvaus 2025]]</f>
        <v>230751.72466460738</v>
      </c>
    </row>
    <row r="13" spans="1:6">
      <c r="A13" s="32">
        <v>47</v>
      </c>
      <c r="B13" s="13" t="s">
        <v>20</v>
      </c>
      <c r="C13" s="164">
        <v>388613.91736976686</v>
      </c>
      <c r="D13" s="164">
        <v>214.58720829088975</v>
      </c>
      <c r="E13" s="164">
        <v>-112443.32075509874</v>
      </c>
      <c r="F13" s="300">
        <f>Verokompensaatiot[[#This Row],[Korvaukset vuosilta 2010-2023, €]]+Verokompensaatiot[[#This Row],[Veromenetysten korvaus 2024]]+Verokompensaatiot[[#This Row],[Veromenetysten korvaus 2025]]</f>
        <v>276385.18382295896</v>
      </c>
    </row>
    <row r="14" spans="1:6">
      <c r="A14" s="32">
        <v>49</v>
      </c>
      <c r="B14" s="13" t="s">
        <v>21</v>
      </c>
      <c r="C14" s="164">
        <v>30593192.016809568</v>
      </c>
      <c r="D14" s="164">
        <v>256709.25596878759</v>
      </c>
      <c r="E14" s="164">
        <v>-9042403.859765416</v>
      </c>
      <c r="F14" s="300">
        <f>Verokompensaatiot[[#This Row],[Korvaukset vuosilta 2010-2023, €]]+Verokompensaatiot[[#This Row],[Veromenetysten korvaus 2024]]+Verokompensaatiot[[#This Row],[Veromenetysten korvaus 2025]]</f>
        <v>21807497.413012937</v>
      </c>
    </row>
    <row r="15" spans="1:6">
      <c r="A15" s="32">
        <v>50</v>
      </c>
      <c r="B15" s="13" t="s">
        <v>22</v>
      </c>
      <c r="C15" s="164">
        <v>2090451.7902924223</v>
      </c>
      <c r="D15" s="164">
        <v>-41616.654817366471</v>
      </c>
      <c r="E15" s="164">
        <v>-798826.69562980824</v>
      </c>
      <c r="F15" s="300">
        <f>Verokompensaatiot[[#This Row],[Korvaukset vuosilta 2010-2023, €]]+Verokompensaatiot[[#This Row],[Veromenetysten korvaus 2024]]+Verokompensaatiot[[#This Row],[Veromenetysten korvaus 2025]]</f>
        <v>1250008.4398452477</v>
      </c>
    </row>
    <row r="16" spans="1:6">
      <c r="A16" s="32">
        <v>51</v>
      </c>
      <c r="B16" s="13" t="s">
        <v>23</v>
      </c>
      <c r="C16" s="164">
        <v>1803744.0505200345</v>
      </c>
      <c r="D16" s="164">
        <v>-20371.966430214528</v>
      </c>
      <c r="E16" s="164">
        <v>-343436.46689661953</v>
      </c>
      <c r="F16" s="300">
        <f>Verokompensaatiot[[#This Row],[Korvaukset vuosilta 2010-2023, €]]+Verokompensaatiot[[#This Row],[Veromenetysten korvaus 2024]]+Verokompensaatiot[[#This Row],[Veromenetysten korvaus 2025]]</f>
        <v>1439935.6171932006</v>
      </c>
    </row>
    <row r="17" spans="1:6">
      <c r="A17" s="32">
        <v>52</v>
      </c>
      <c r="B17" s="13" t="s">
        <v>24</v>
      </c>
      <c r="C17" s="164">
        <v>548990.38673231238</v>
      </c>
      <c r="D17" s="164">
        <v>-2911.492499777406</v>
      </c>
      <c r="E17" s="164">
        <v>-175662.00741632745</v>
      </c>
      <c r="F17" s="300">
        <f>Verokompensaatiot[[#This Row],[Korvaukset vuosilta 2010-2023, €]]+Verokompensaatiot[[#This Row],[Veromenetysten korvaus 2024]]+Verokompensaatiot[[#This Row],[Veromenetysten korvaus 2025]]</f>
        <v>370416.88681620755</v>
      </c>
    </row>
    <row r="18" spans="1:6">
      <c r="A18" s="32">
        <v>61</v>
      </c>
      <c r="B18" s="13" t="s">
        <v>25</v>
      </c>
      <c r="C18" s="164">
        <v>3033193.7414299296</v>
      </c>
      <c r="D18" s="164">
        <v>-5565.1227767796081</v>
      </c>
      <c r="E18" s="164">
        <v>-944918.12870514102</v>
      </c>
      <c r="F18" s="300">
        <f>Verokompensaatiot[[#This Row],[Korvaukset vuosilta 2010-2023, €]]+Verokompensaatiot[[#This Row],[Veromenetysten korvaus 2024]]+Verokompensaatiot[[#This Row],[Veromenetysten korvaus 2025]]</f>
        <v>2082710.4899480087</v>
      </c>
    </row>
    <row r="19" spans="1:6">
      <c r="A19" s="32">
        <v>69</v>
      </c>
      <c r="B19" s="13" t="s">
        <v>26</v>
      </c>
      <c r="C19" s="164">
        <v>1358836.9357966036</v>
      </c>
      <c r="D19" s="164">
        <v>1873.121967449817</v>
      </c>
      <c r="E19" s="164">
        <v>-533654.14649553294</v>
      </c>
      <c r="F19" s="300">
        <f>Verokompensaatiot[[#This Row],[Korvaukset vuosilta 2010-2023, €]]+Verokompensaatiot[[#This Row],[Veromenetysten korvaus 2024]]+Verokompensaatiot[[#This Row],[Veromenetysten korvaus 2025]]</f>
        <v>827055.9112685204</v>
      </c>
    </row>
    <row r="20" spans="1:6">
      <c r="A20" s="32">
        <v>71</v>
      </c>
      <c r="B20" s="13" t="s">
        <v>27</v>
      </c>
      <c r="C20" s="164">
        <v>1381039.5184965217</v>
      </c>
      <c r="D20" s="164">
        <v>1833.9800033458559</v>
      </c>
      <c r="E20" s="164">
        <v>-455972.72815153137</v>
      </c>
      <c r="F20" s="300">
        <f>Verokompensaatiot[[#This Row],[Korvaukset vuosilta 2010-2023, €]]+Verokompensaatiot[[#This Row],[Veromenetysten korvaus 2024]]+Verokompensaatiot[[#This Row],[Veromenetysten korvaus 2025]]</f>
        <v>926900.77034833608</v>
      </c>
    </row>
    <row r="21" spans="1:6">
      <c r="A21" s="32">
        <v>72</v>
      </c>
      <c r="B21" s="13" t="s">
        <v>28</v>
      </c>
      <c r="C21" s="164">
        <v>170460.73771434132</v>
      </c>
      <c r="D21" s="164">
        <v>177.07913371267523</v>
      </c>
      <c r="E21" s="164">
        <v>-50204.982517997494</v>
      </c>
      <c r="F21" s="300">
        <f>Verokompensaatiot[[#This Row],[Korvaukset vuosilta 2010-2023, €]]+Verokompensaatiot[[#This Row],[Veromenetysten korvaus 2024]]+Verokompensaatiot[[#This Row],[Veromenetysten korvaus 2025]]</f>
        <v>120432.8343300565</v>
      </c>
    </row>
    <row r="22" spans="1:6">
      <c r="A22" s="32">
        <v>74</v>
      </c>
      <c r="B22" s="13" t="s">
        <v>29</v>
      </c>
      <c r="C22" s="164">
        <v>286522.37275305961</v>
      </c>
      <c r="D22" s="164">
        <v>1297.8568536715866</v>
      </c>
      <c r="E22" s="164">
        <v>-82702.352156226974</v>
      </c>
      <c r="F22" s="300">
        <f>Verokompensaatiot[[#This Row],[Korvaukset vuosilta 2010-2023, €]]+Verokompensaatiot[[#This Row],[Veromenetysten korvaus 2024]]+Verokompensaatiot[[#This Row],[Veromenetysten korvaus 2025]]</f>
        <v>205117.87745050422</v>
      </c>
    </row>
    <row r="23" spans="1:6">
      <c r="A23" s="32">
        <v>75</v>
      </c>
      <c r="B23" s="13" t="s">
        <v>30</v>
      </c>
      <c r="C23" s="164">
        <v>3237145.3558460632</v>
      </c>
      <c r="D23" s="164">
        <v>-62269.166173174111</v>
      </c>
      <c r="E23" s="164">
        <v>-1314524.4087135009</v>
      </c>
      <c r="F23" s="300">
        <f>Verokompensaatiot[[#This Row],[Korvaukset vuosilta 2010-2023, €]]+Verokompensaatiot[[#This Row],[Veromenetysten korvaus 2024]]+Verokompensaatiot[[#This Row],[Veromenetysten korvaus 2025]]</f>
        <v>1860351.7809593882</v>
      </c>
    </row>
    <row r="24" spans="1:6">
      <c r="A24" s="32">
        <v>77</v>
      </c>
      <c r="B24" s="13" t="s">
        <v>31</v>
      </c>
      <c r="C24" s="164">
        <v>1062975.310328146</v>
      </c>
      <c r="D24" s="164">
        <v>-15869.574127233285</v>
      </c>
      <c r="E24" s="164">
        <v>-276122.97138996021</v>
      </c>
      <c r="F24" s="300">
        <f>Verokompensaatiot[[#This Row],[Korvaukset vuosilta 2010-2023, €]]+Verokompensaatiot[[#This Row],[Veromenetysten korvaus 2024]]+Verokompensaatiot[[#This Row],[Veromenetysten korvaus 2025]]</f>
        <v>770982.76481095259</v>
      </c>
    </row>
    <row r="25" spans="1:6">
      <c r="A25" s="32">
        <v>78</v>
      </c>
      <c r="B25" s="13" t="s">
        <v>32</v>
      </c>
      <c r="C25" s="164">
        <v>1250756.2643230706</v>
      </c>
      <c r="D25" s="164">
        <v>-7940.970779633657</v>
      </c>
      <c r="E25" s="164">
        <v>-535547.71754375938</v>
      </c>
      <c r="F25" s="300">
        <f>Verokompensaatiot[[#This Row],[Korvaukset vuosilta 2010-2023, €]]+Verokompensaatiot[[#This Row],[Veromenetysten korvaus 2024]]+Verokompensaatiot[[#This Row],[Veromenetysten korvaus 2025]]</f>
        <v>707267.57599967765</v>
      </c>
    </row>
    <row r="26" spans="1:6">
      <c r="A26" s="32">
        <v>79</v>
      </c>
      <c r="B26" s="13" t="s">
        <v>33</v>
      </c>
      <c r="C26" s="164">
        <v>1086400.6993279201</v>
      </c>
      <c r="D26" s="164">
        <v>-22170.345703692783</v>
      </c>
      <c r="E26" s="164">
        <v>-418809.27122309082</v>
      </c>
      <c r="F26" s="300">
        <f>Verokompensaatiot[[#This Row],[Korvaukset vuosilta 2010-2023, €]]+Verokompensaatiot[[#This Row],[Veromenetysten korvaus 2024]]+Verokompensaatiot[[#This Row],[Veromenetysten korvaus 2025]]</f>
        <v>645421.0824011364</v>
      </c>
    </row>
    <row r="27" spans="1:6">
      <c r="A27" s="32">
        <v>81</v>
      </c>
      <c r="B27" s="13" t="s">
        <v>34</v>
      </c>
      <c r="C27" s="164">
        <v>628569.95055504865</v>
      </c>
      <c r="D27" s="164">
        <v>-8466.3149361640935</v>
      </c>
      <c r="E27" s="164">
        <v>-126484.52435863401</v>
      </c>
      <c r="F27" s="300">
        <f>Verokompensaatiot[[#This Row],[Korvaukset vuosilta 2010-2023, €]]+Verokompensaatiot[[#This Row],[Veromenetysten korvaus 2024]]+Verokompensaatiot[[#This Row],[Veromenetysten korvaus 2025]]</f>
        <v>493619.11126025056</v>
      </c>
    </row>
    <row r="28" spans="1:6">
      <c r="A28" s="32">
        <v>82</v>
      </c>
      <c r="B28" s="36" t="s">
        <v>35</v>
      </c>
      <c r="C28" s="164">
        <v>1420815.5510925855</v>
      </c>
      <c r="D28" s="164">
        <v>-31462.21124120017</v>
      </c>
      <c r="E28" s="164">
        <v>-603865.69799992035</v>
      </c>
      <c r="F28" s="300">
        <f>Verokompensaatiot[[#This Row],[Korvaukset vuosilta 2010-2023, €]]+Verokompensaatiot[[#This Row],[Veromenetysten korvaus 2024]]+Verokompensaatiot[[#This Row],[Veromenetysten korvaus 2025]]</f>
        <v>785487.6418514651</v>
      </c>
    </row>
    <row r="29" spans="1:6">
      <c r="A29" s="32">
        <v>86</v>
      </c>
      <c r="B29" s="13" t="s">
        <v>36</v>
      </c>
      <c r="C29" s="164">
        <v>1438485.8113037464</v>
      </c>
      <c r="D29" s="164">
        <v>-46787.881045552524</v>
      </c>
      <c r="E29" s="164">
        <v>-590003.57932705455</v>
      </c>
      <c r="F29" s="300">
        <f>Verokompensaatiot[[#This Row],[Korvaukset vuosilta 2010-2023, €]]+Verokompensaatiot[[#This Row],[Veromenetysten korvaus 2024]]+Verokompensaatiot[[#This Row],[Veromenetysten korvaus 2025]]</f>
        <v>801694.35093113943</v>
      </c>
    </row>
    <row r="30" spans="1:6">
      <c r="A30" s="32">
        <v>90</v>
      </c>
      <c r="B30" s="13" t="s">
        <v>37</v>
      </c>
      <c r="C30" s="164">
        <v>713124.3294630067</v>
      </c>
      <c r="D30" s="164">
        <v>-9095.1327604986145</v>
      </c>
      <c r="E30" s="164">
        <v>-159671.72846320091</v>
      </c>
      <c r="F30" s="300">
        <f>Verokompensaatiot[[#This Row],[Korvaukset vuosilta 2010-2023, €]]+Verokompensaatiot[[#This Row],[Veromenetysten korvaus 2024]]+Verokompensaatiot[[#This Row],[Veromenetysten korvaus 2025]]</f>
        <v>544357.46823930717</v>
      </c>
    </row>
    <row r="31" spans="1:6">
      <c r="A31" s="32">
        <v>91</v>
      </c>
      <c r="B31" s="13" t="s">
        <v>38</v>
      </c>
      <c r="C31" s="164">
        <v>88279488.98038578</v>
      </c>
      <c r="D31" s="164">
        <v>864623.90791999176</v>
      </c>
      <c r="E31" s="164">
        <v>-22151055.87325478</v>
      </c>
      <c r="F31" s="300">
        <f>Verokompensaatiot[[#This Row],[Korvaukset vuosilta 2010-2023, €]]+Verokompensaatiot[[#This Row],[Veromenetysten korvaus 2024]]+Verokompensaatiot[[#This Row],[Veromenetysten korvaus 2025]]</f>
        <v>66993057.015050992</v>
      </c>
    </row>
    <row r="32" spans="1:6">
      <c r="A32" s="32">
        <v>92</v>
      </c>
      <c r="B32" s="13" t="s">
        <v>39</v>
      </c>
      <c r="C32" s="164">
        <v>30036233.761776581</v>
      </c>
      <c r="D32" s="164">
        <v>262043.73591744184</v>
      </c>
      <c r="E32" s="164">
        <v>-11557859.645320889</v>
      </c>
      <c r="F32" s="300">
        <f>Verokompensaatiot[[#This Row],[Korvaukset vuosilta 2010-2023, €]]+Verokompensaatiot[[#This Row],[Veromenetysten korvaus 2024]]+Verokompensaatiot[[#This Row],[Veromenetysten korvaus 2025]]</f>
        <v>18740417.852373134</v>
      </c>
    </row>
    <row r="33" spans="1:6">
      <c r="A33" s="32">
        <v>97</v>
      </c>
      <c r="B33" s="13" t="s">
        <v>40</v>
      </c>
      <c r="C33" s="164">
        <v>454103.4057926219</v>
      </c>
      <c r="D33" s="164">
        <v>-5420.4505482063032</v>
      </c>
      <c r="E33" s="164">
        <v>-84937.223094590008</v>
      </c>
      <c r="F33" s="300">
        <f>Verokompensaatiot[[#This Row],[Korvaukset vuosilta 2010-2023, €]]+Verokompensaatiot[[#This Row],[Veromenetysten korvaus 2024]]+Verokompensaatiot[[#This Row],[Veromenetysten korvaus 2025]]</f>
        <v>363745.73214982561</v>
      </c>
    </row>
    <row r="34" spans="1:6">
      <c r="A34" s="32">
        <v>98</v>
      </c>
      <c r="B34" s="13" t="s">
        <v>41</v>
      </c>
      <c r="C34" s="164">
        <v>3487316.6869670535</v>
      </c>
      <c r="D34" s="164">
        <v>-69957.278490511992</v>
      </c>
      <c r="E34" s="164">
        <v>-1415833.9705463301</v>
      </c>
      <c r="F34" s="300">
        <f>Verokompensaatiot[[#This Row],[Korvaukset vuosilta 2010-2023, €]]+Verokompensaatiot[[#This Row],[Veromenetysten korvaus 2024]]+Verokompensaatiot[[#This Row],[Veromenetysten korvaus 2025]]</f>
        <v>2001525.4379302112</v>
      </c>
    </row>
    <row r="35" spans="1:6">
      <c r="A35" s="32">
        <v>102</v>
      </c>
      <c r="B35" s="13" t="s">
        <v>42</v>
      </c>
      <c r="C35" s="164">
        <v>2161681.9961973326</v>
      </c>
      <c r="D35" s="164">
        <v>-21125.583266550253</v>
      </c>
      <c r="E35" s="164">
        <v>-700234.55077597022</v>
      </c>
      <c r="F35" s="300">
        <f>Verokompensaatiot[[#This Row],[Korvaukset vuosilta 2010-2023, €]]+Verokompensaatiot[[#This Row],[Veromenetysten korvaus 2024]]+Verokompensaatiot[[#This Row],[Veromenetysten korvaus 2025]]</f>
        <v>1440321.8621548121</v>
      </c>
    </row>
    <row r="36" spans="1:6">
      <c r="A36" s="32">
        <v>103</v>
      </c>
      <c r="B36" s="13" t="s">
        <v>43</v>
      </c>
      <c r="C36" s="164">
        <v>497462.0541783215</v>
      </c>
      <c r="D36" s="164">
        <v>-8575.700025051141</v>
      </c>
      <c r="E36" s="164">
        <v>-150772.92285233401</v>
      </c>
      <c r="F36" s="300">
        <f>Verokompensaatiot[[#This Row],[Korvaukset vuosilta 2010-2023, €]]+Verokompensaatiot[[#This Row],[Veromenetysten korvaus 2024]]+Verokompensaatiot[[#This Row],[Veromenetysten korvaus 2025]]</f>
        <v>338113.43130093638</v>
      </c>
    </row>
    <row r="37" spans="1:6">
      <c r="A37" s="32">
        <v>105</v>
      </c>
      <c r="B37" s="13" t="s">
        <v>44</v>
      </c>
      <c r="C37" s="164">
        <v>501643.3981361636</v>
      </c>
      <c r="D37" s="164">
        <v>-1219.6400483971347</v>
      </c>
      <c r="E37" s="164">
        <v>-111800.10661101284</v>
      </c>
      <c r="F37" s="300">
        <f>Verokompensaatiot[[#This Row],[Korvaukset vuosilta 2010-2023, €]]+Verokompensaatiot[[#This Row],[Veromenetysten korvaus 2024]]+Verokompensaatiot[[#This Row],[Veromenetysten korvaus 2025]]</f>
        <v>388623.65147675364</v>
      </c>
    </row>
    <row r="38" spans="1:6">
      <c r="A38" s="32">
        <v>106</v>
      </c>
      <c r="B38" s="13" t="s">
        <v>45</v>
      </c>
      <c r="C38" s="164">
        <v>6711225.9388995431</v>
      </c>
      <c r="D38" s="164">
        <v>-100130.58104322977</v>
      </c>
      <c r="E38" s="164">
        <v>-2627576.211993685</v>
      </c>
      <c r="F38" s="300">
        <f>Verokompensaatiot[[#This Row],[Korvaukset vuosilta 2010-2023, €]]+Verokompensaatiot[[#This Row],[Veromenetysten korvaus 2024]]+Verokompensaatiot[[#This Row],[Veromenetysten korvaus 2025]]</f>
        <v>3983519.1458626287</v>
      </c>
    </row>
    <row r="39" spans="1:6">
      <c r="A39" s="32">
        <v>108</v>
      </c>
      <c r="B39" s="13" t="s">
        <v>46</v>
      </c>
      <c r="C39" s="164">
        <v>1764880.517693779</v>
      </c>
      <c r="D39" s="164">
        <v>-51325.121760581576</v>
      </c>
      <c r="E39" s="164">
        <v>-737446.74689275282</v>
      </c>
      <c r="F39" s="300">
        <f>Verokompensaatiot[[#This Row],[Korvaukset vuosilta 2010-2023, €]]+Verokompensaatiot[[#This Row],[Veromenetysten korvaus 2024]]+Verokompensaatiot[[#This Row],[Veromenetysten korvaus 2025]]</f>
        <v>976108.64904044452</v>
      </c>
    </row>
    <row r="40" spans="1:6">
      <c r="A40" s="32">
        <v>109</v>
      </c>
      <c r="B40" s="36" t="s">
        <v>47</v>
      </c>
      <c r="C40" s="164">
        <v>10510009.629210036</v>
      </c>
      <c r="D40" s="164">
        <v>-106987.82768813119</v>
      </c>
      <c r="E40" s="164">
        <v>-4145757.2078618235</v>
      </c>
      <c r="F40" s="300">
        <f>Verokompensaatiot[[#This Row],[Korvaukset vuosilta 2010-2023, €]]+Verokompensaatiot[[#This Row],[Veromenetysten korvaus 2024]]+Verokompensaatiot[[#This Row],[Veromenetysten korvaus 2025]]</f>
        <v>6257264.5936600808</v>
      </c>
    </row>
    <row r="41" spans="1:6">
      <c r="A41" s="32">
        <v>111</v>
      </c>
      <c r="B41" s="36" t="s">
        <v>48</v>
      </c>
      <c r="C41" s="164">
        <v>3115929.416874825</v>
      </c>
      <c r="D41" s="164">
        <v>-43032.664248994748</v>
      </c>
      <c r="E41" s="164">
        <v>-973889.60004905297</v>
      </c>
      <c r="F41" s="300">
        <f>Verokompensaatiot[[#This Row],[Korvaukset vuosilta 2010-2023, €]]+Verokompensaatiot[[#This Row],[Veromenetysten korvaus 2024]]+Verokompensaatiot[[#This Row],[Veromenetysten korvaus 2025]]</f>
        <v>2099007.1525767776</v>
      </c>
    </row>
    <row r="42" spans="1:6">
      <c r="A42" s="32">
        <v>139</v>
      </c>
      <c r="B42" s="36" t="s">
        <v>49</v>
      </c>
      <c r="C42" s="164">
        <v>1480868.7365664411</v>
      </c>
      <c r="D42" s="164">
        <v>-31671.882484217636</v>
      </c>
      <c r="E42" s="164">
        <v>-642716.08756963362</v>
      </c>
      <c r="F42" s="300">
        <f>Verokompensaatiot[[#This Row],[Korvaukset vuosilta 2010-2023, €]]+Verokompensaatiot[[#This Row],[Veromenetysten korvaus 2024]]+Verokompensaatiot[[#This Row],[Veromenetysten korvaus 2025]]</f>
        <v>806480.76651258988</v>
      </c>
    </row>
    <row r="43" spans="1:6">
      <c r="A43" s="32">
        <v>140</v>
      </c>
      <c r="B43" s="36" t="s">
        <v>50</v>
      </c>
      <c r="C43" s="164">
        <v>3680626.5974915642</v>
      </c>
      <c r="D43" s="164">
        <v>-1209.9344271720656</v>
      </c>
      <c r="E43" s="164">
        <v>-1239244.0233074853</v>
      </c>
      <c r="F43" s="300">
        <f>Verokompensaatiot[[#This Row],[Korvaukset vuosilta 2010-2023, €]]+Verokompensaatiot[[#This Row],[Veromenetysten korvaus 2024]]+Verokompensaatiot[[#This Row],[Veromenetysten korvaus 2025]]</f>
        <v>2440172.6397569068</v>
      </c>
    </row>
    <row r="44" spans="1:6">
      <c r="A44" s="32">
        <v>142</v>
      </c>
      <c r="B44" s="36" t="s">
        <v>51</v>
      </c>
      <c r="C44" s="164">
        <v>1192204.6543184984</v>
      </c>
      <c r="D44" s="164">
        <v>-23240.354477863897</v>
      </c>
      <c r="E44" s="164">
        <v>-387309.13897923741</v>
      </c>
      <c r="F44" s="300">
        <f>Verokompensaatiot[[#This Row],[Korvaukset vuosilta 2010-2023, €]]+Verokompensaatiot[[#This Row],[Veromenetysten korvaus 2024]]+Verokompensaatiot[[#This Row],[Veromenetysten korvaus 2025]]</f>
        <v>781655.16086139705</v>
      </c>
    </row>
    <row r="45" spans="1:6">
      <c r="A45" s="32">
        <v>143</v>
      </c>
      <c r="B45" s="13" t="s">
        <v>52</v>
      </c>
      <c r="C45" s="164">
        <v>1376624.8416008945</v>
      </c>
      <c r="D45" s="164">
        <v>-22604.627406575411</v>
      </c>
      <c r="E45" s="164">
        <v>-425299.82029495155</v>
      </c>
      <c r="F45" s="300">
        <f>Verokompensaatiot[[#This Row],[Korvaukset vuosilta 2010-2023, €]]+Verokompensaatiot[[#This Row],[Veromenetysten korvaus 2024]]+Verokompensaatiot[[#This Row],[Veromenetysten korvaus 2025]]</f>
        <v>928720.39389936742</v>
      </c>
    </row>
    <row r="46" spans="1:6">
      <c r="A46" s="32">
        <v>145</v>
      </c>
      <c r="B46" s="13" t="s">
        <v>53</v>
      </c>
      <c r="C46" s="164">
        <v>2214616.8171209665</v>
      </c>
      <c r="D46" s="164">
        <v>-35743.902947357696</v>
      </c>
      <c r="E46" s="164">
        <v>-866781.67964715778</v>
      </c>
      <c r="F46" s="300">
        <f>Verokompensaatiot[[#This Row],[Korvaukset vuosilta 2010-2023, €]]+Verokompensaatiot[[#This Row],[Veromenetysten korvaus 2024]]+Verokompensaatiot[[#This Row],[Veromenetysten korvaus 2025]]</f>
        <v>1312091.2345264507</v>
      </c>
    </row>
    <row r="47" spans="1:6">
      <c r="A47" s="32">
        <v>146</v>
      </c>
      <c r="B47" s="13" t="s">
        <v>54</v>
      </c>
      <c r="C47" s="164">
        <v>1027671.2188625727</v>
      </c>
      <c r="D47" s="164">
        <v>-712.4371671934905</v>
      </c>
      <c r="E47" s="164">
        <v>-221410.00133768874</v>
      </c>
      <c r="F47" s="300">
        <f>Verokompensaatiot[[#This Row],[Korvaukset vuosilta 2010-2023, €]]+Verokompensaatiot[[#This Row],[Veromenetysten korvaus 2024]]+Verokompensaatiot[[#This Row],[Veromenetysten korvaus 2025]]</f>
        <v>805548.78035769041</v>
      </c>
    </row>
    <row r="48" spans="1:6">
      <c r="A48" s="32">
        <v>148</v>
      </c>
      <c r="B48" s="13" t="s">
        <v>55</v>
      </c>
      <c r="C48" s="164">
        <v>1158727.0007333471</v>
      </c>
      <c r="D48" s="164">
        <v>4167.097592062124</v>
      </c>
      <c r="E48" s="164">
        <v>-363927.62359801424</v>
      </c>
      <c r="F48" s="300">
        <f>Verokompensaatiot[[#This Row],[Korvaukset vuosilta 2010-2023, €]]+Verokompensaatiot[[#This Row],[Veromenetysten korvaus 2024]]+Verokompensaatiot[[#This Row],[Veromenetysten korvaus 2025]]</f>
        <v>798966.47472739499</v>
      </c>
    </row>
    <row r="49" spans="1:6">
      <c r="A49" s="32">
        <v>149</v>
      </c>
      <c r="B49" s="13" t="s">
        <v>56</v>
      </c>
      <c r="C49" s="164">
        <v>894655.11603372497</v>
      </c>
      <c r="D49" s="164">
        <v>-32224.288829976264</v>
      </c>
      <c r="E49" s="164">
        <v>-305371.23469080718</v>
      </c>
      <c r="F49" s="300">
        <f>Verokompensaatiot[[#This Row],[Korvaukset vuosilta 2010-2023, €]]+Verokompensaatiot[[#This Row],[Veromenetysten korvaus 2024]]+Verokompensaatiot[[#This Row],[Veromenetysten korvaus 2025]]</f>
        <v>557059.59251294157</v>
      </c>
    </row>
    <row r="50" spans="1:6">
      <c r="A50" s="32">
        <v>151</v>
      </c>
      <c r="B50" s="13" t="s">
        <v>57</v>
      </c>
      <c r="C50" s="164">
        <v>502072.84695007186</v>
      </c>
      <c r="D50" s="164">
        <v>-2635.8584675075663</v>
      </c>
      <c r="E50" s="164">
        <v>-131345.22886693003</v>
      </c>
      <c r="F50" s="300">
        <f>Verokompensaatiot[[#This Row],[Korvaukset vuosilta 2010-2023, €]]+Verokompensaatiot[[#This Row],[Veromenetysten korvaus 2024]]+Verokompensaatiot[[#This Row],[Veromenetysten korvaus 2025]]</f>
        <v>368091.75961563422</v>
      </c>
    </row>
    <row r="51" spans="1:6">
      <c r="A51" s="32">
        <v>152</v>
      </c>
      <c r="B51" s="13" t="s">
        <v>58</v>
      </c>
      <c r="C51" s="164">
        <v>939656.42120935954</v>
      </c>
      <c r="D51" s="164">
        <v>-12019.920498620108</v>
      </c>
      <c r="E51" s="164">
        <v>-323315.41711573879</v>
      </c>
      <c r="F51" s="300">
        <f>Verokompensaatiot[[#This Row],[Korvaukset vuosilta 2010-2023, €]]+Verokompensaatiot[[#This Row],[Veromenetysten korvaus 2024]]+Verokompensaatiot[[#This Row],[Veromenetysten korvaus 2025]]</f>
        <v>604321.08359500067</v>
      </c>
    </row>
    <row r="52" spans="1:6">
      <c r="A52" s="32">
        <v>153</v>
      </c>
      <c r="B52" s="13" t="s">
        <v>59</v>
      </c>
      <c r="C52" s="164">
        <v>3918225.3298471756</v>
      </c>
      <c r="D52" s="164">
        <v>-52268.085566149122</v>
      </c>
      <c r="E52" s="164">
        <v>-1502324.2970632787</v>
      </c>
      <c r="F52" s="300">
        <f>Verokompensaatiot[[#This Row],[Korvaukset vuosilta 2010-2023, €]]+Verokompensaatiot[[#This Row],[Veromenetysten korvaus 2024]]+Verokompensaatiot[[#This Row],[Veromenetysten korvaus 2025]]</f>
        <v>2363632.9472177476</v>
      </c>
    </row>
    <row r="53" spans="1:6">
      <c r="A53" s="32">
        <v>165</v>
      </c>
      <c r="B53" s="13" t="s">
        <v>60</v>
      </c>
      <c r="C53" s="164">
        <v>2578411.4744891906</v>
      </c>
      <c r="D53" s="164">
        <v>-65662.161854742211</v>
      </c>
      <c r="E53" s="164">
        <v>-1070006.7499661415</v>
      </c>
      <c r="F53" s="300">
        <f>Verokompensaatiot[[#This Row],[Korvaukset vuosilta 2010-2023, €]]+Verokompensaatiot[[#This Row],[Veromenetysten korvaus 2024]]+Verokompensaatiot[[#This Row],[Veromenetysten korvaus 2025]]</f>
        <v>1442742.562668307</v>
      </c>
    </row>
    <row r="54" spans="1:6">
      <c r="A54" s="32">
        <v>167</v>
      </c>
      <c r="B54" s="13" t="s">
        <v>61</v>
      </c>
      <c r="C54" s="164">
        <v>12599686.028364584</v>
      </c>
      <c r="D54" s="164">
        <v>73193.443997824288</v>
      </c>
      <c r="E54" s="164">
        <v>-4494681.6404393334</v>
      </c>
      <c r="F54" s="300">
        <f>Verokompensaatiot[[#This Row],[Korvaukset vuosilta 2010-2023, €]]+Verokompensaatiot[[#This Row],[Veromenetysten korvaus 2024]]+Verokompensaatiot[[#This Row],[Veromenetysten korvaus 2025]]</f>
        <v>8178197.831923075</v>
      </c>
    </row>
    <row r="55" spans="1:6">
      <c r="A55" s="32">
        <v>169</v>
      </c>
      <c r="B55" s="13" t="s">
        <v>62</v>
      </c>
      <c r="C55" s="164">
        <v>915355.61309493193</v>
      </c>
      <c r="D55" s="164">
        <v>-11822.327550822249</v>
      </c>
      <c r="E55" s="164">
        <v>-362378.51473056362</v>
      </c>
      <c r="F55" s="300">
        <f>Verokompensaatiot[[#This Row],[Korvaukset vuosilta 2010-2023, €]]+Verokompensaatiot[[#This Row],[Veromenetysten korvaus 2024]]+Verokompensaatiot[[#This Row],[Veromenetysten korvaus 2025]]</f>
        <v>541154.77081354603</v>
      </c>
    </row>
    <row r="56" spans="1:6">
      <c r="A56" s="32">
        <v>171</v>
      </c>
      <c r="B56" s="13" t="s">
        <v>63</v>
      </c>
      <c r="C56" s="164">
        <v>946112.66206561215</v>
      </c>
      <c r="D56" s="164">
        <v>-6841.1614095781597</v>
      </c>
      <c r="E56" s="164">
        <v>-278771.00715458125</v>
      </c>
      <c r="F56" s="300">
        <f>Verokompensaatiot[[#This Row],[Korvaukset vuosilta 2010-2023, €]]+Verokompensaatiot[[#This Row],[Veromenetysten korvaus 2024]]+Verokompensaatiot[[#This Row],[Veromenetysten korvaus 2025]]</f>
        <v>660500.49350145273</v>
      </c>
    </row>
    <row r="57" spans="1:6">
      <c r="A57" s="32">
        <v>172</v>
      </c>
      <c r="B57" s="13" t="s">
        <v>64</v>
      </c>
      <c r="C57" s="164">
        <v>943783.46906109573</v>
      </c>
      <c r="D57" s="164">
        <v>-13801.466014616803</v>
      </c>
      <c r="E57" s="164">
        <v>-222017.79070381119</v>
      </c>
      <c r="F57" s="300">
        <f>Verokompensaatiot[[#This Row],[Korvaukset vuosilta 2010-2023, €]]+Verokompensaatiot[[#This Row],[Veromenetysten korvaus 2024]]+Verokompensaatiot[[#This Row],[Veromenetysten korvaus 2025]]</f>
        <v>707964.21234266774</v>
      </c>
    </row>
    <row r="58" spans="1:6">
      <c r="A58" s="32">
        <v>176</v>
      </c>
      <c r="B58" s="13" t="s">
        <v>65</v>
      </c>
      <c r="C58" s="164">
        <v>997650.35001855297</v>
      </c>
      <c r="D58" s="164">
        <v>-940.68110962621267</v>
      </c>
      <c r="E58" s="164">
        <v>-225027.54703620516</v>
      </c>
      <c r="F58" s="300">
        <f>Verokompensaatiot[[#This Row],[Korvaukset vuosilta 2010-2023, €]]+Verokompensaatiot[[#This Row],[Veromenetysten korvaus 2024]]+Verokompensaatiot[[#This Row],[Veromenetysten korvaus 2025]]</f>
        <v>771682.12187272159</v>
      </c>
    </row>
    <row r="59" spans="1:6">
      <c r="A59" s="32">
        <v>177</v>
      </c>
      <c r="B59" s="13" t="s">
        <v>66</v>
      </c>
      <c r="C59" s="164">
        <v>378838.24359697849</v>
      </c>
      <c r="D59" s="164">
        <v>-6150.712737367302</v>
      </c>
      <c r="E59" s="164">
        <v>-99935.964755587062</v>
      </c>
      <c r="F59" s="300">
        <f>Verokompensaatiot[[#This Row],[Korvaukset vuosilta 2010-2023, €]]+Verokompensaatiot[[#This Row],[Veromenetysten korvaus 2024]]+Verokompensaatiot[[#This Row],[Veromenetysten korvaus 2025]]</f>
        <v>272751.56610402412</v>
      </c>
    </row>
    <row r="60" spans="1:6">
      <c r="A60" s="32">
        <v>178</v>
      </c>
      <c r="B60" s="13" t="s">
        <v>67</v>
      </c>
      <c r="C60" s="164">
        <v>1352222.9635741962</v>
      </c>
      <c r="D60" s="164">
        <v>-8208.1533091010642</v>
      </c>
      <c r="E60" s="164">
        <v>-304018.59953348647</v>
      </c>
      <c r="F60" s="300">
        <f>Verokompensaatiot[[#This Row],[Korvaukset vuosilta 2010-2023, €]]+Verokompensaatiot[[#This Row],[Veromenetysten korvaus 2024]]+Verokompensaatiot[[#This Row],[Veromenetysten korvaus 2025]]</f>
        <v>1039996.2107316088</v>
      </c>
    </row>
    <row r="61" spans="1:6">
      <c r="A61" s="32">
        <v>179</v>
      </c>
      <c r="B61" s="13" t="s">
        <v>68</v>
      </c>
      <c r="C61" s="164">
        <v>21122633.565577343</v>
      </c>
      <c r="D61" s="164">
        <v>98855.513757516979</v>
      </c>
      <c r="E61" s="164">
        <v>-8747292.5746830329</v>
      </c>
      <c r="F61" s="300">
        <f>Verokompensaatiot[[#This Row],[Korvaukset vuosilta 2010-2023, €]]+Verokompensaatiot[[#This Row],[Veromenetysten korvaus 2024]]+Verokompensaatiot[[#This Row],[Veromenetysten korvaus 2025]]</f>
        <v>12474196.504651826</v>
      </c>
    </row>
    <row r="62" spans="1:6">
      <c r="A62" s="32">
        <v>181</v>
      </c>
      <c r="B62" s="13" t="s">
        <v>69</v>
      </c>
      <c r="C62" s="164">
        <v>431797.35128548706</v>
      </c>
      <c r="D62" s="164">
        <v>-5436.04570398958</v>
      </c>
      <c r="E62" s="164">
        <v>-128780.77110698287</v>
      </c>
      <c r="F62" s="300">
        <f>Verokompensaatiot[[#This Row],[Korvaukset vuosilta 2010-2023, €]]+Verokompensaatiot[[#This Row],[Veromenetysten korvaus 2024]]+Verokompensaatiot[[#This Row],[Veromenetysten korvaus 2025]]</f>
        <v>297580.53447451466</v>
      </c>
    </row>
    <row r="63" spans="1:6">
      <c r="A63" s="32">
        <v>182</v>
      </c>
      <c r="B63" s="13" t="s">
        <v>70</v>
      </c>
      <c r="C63" s="164">
        <v>3333770.6346947895</v>
      </c>
      <c r="D63" s="164">
        <v>-58381.046861065261</v>
      </c>
      <c r="E63" s="164">
        <v>-1277676.2867602261</v>
      </c>
      <c r="F63" s="300">
        <f>Verokompensaatiot[[#This Row],[Korvaukset vuosilta 2010-2023, €]]+Verokompensaatiot[[#This Row],[Veromenetysten korvaus 2024]]+Verokompensaatiot[[#This Row],[Veromenetysten korvaus 2025]]</f>
        <v>1997713.3010734983</v>
      </c>
    </row>
    <row r="64" spans="1:6">
      <c r="A64" s="32">
        <v>186</v>
      </c>
      <c r="B64" s="13" t="s">
        <v>71</v>
      </c>
      <c r="C64" s="164">
        <v>5476934.4101341143</v>
      </c>
      <c r="D64" s="164">
        <v>-78069.60294812551</v>
      </c>
      <c r="E64" s="164">
        <v>-2607996.0152040375</v>
      </c>
      <c r="F64" s="300">
        <f>Verokompensaatiot[[#This Row],[Korvaukset vuosilta 2010-2023, €]]+Verokompensaatiot[[#This Row],[Veromenetysten korvaus 2024]]+Verokompensaatiot[[#This Row],[Veromenetysten korvaus 2025]]</f>
        <v>2790868.7919819513</v>
      </c>
    </row>
    <row r="65" spans="1:6">
      <c r="A65" s="32">
        <v>202</v>
      </c>
      <c r="B65" s="13" t="s">
        <v>72</v>
      </c>
      <c r="C65" s="164">
        <v>3823613.8257266618</v>
      </c>
      <c r="D65" s="164">
        <v>-84699.916626238351</v>
      </c>
      <c r="E65" s="164">
        <v>-2024147.276602156</v>
      </c>
      <c r="F65" s="300">
        <f>Verokompensaatiot[[#This Row],[Korvaukset vuosilta 2010-2023, €]]+Verokompensaatiot[[#This Row],[Veromenetysten korvaus 2024]]+Verokompensaatiot[[#This Row],[Veromenetysten korvaus 2025]]</f>
        <v>1714766.6324982676</v>
      </c>
    </row>
    <row r="66" spans="1:6">
      <c r="A66" s="32">
        <v>204</v>
      </c>
      <c r="B66" s="13" t="s">
        <v>73</v>
      </c>
      <c r="C66" s="164">
        <v>625921.38121557003</v>
      </c>
      <c r="D66" s="164">
        <v>-7622.9627569143486</v>
      </c>
      <c r="E66" s="164">
        <v>-168765.13734373092</v>
      </c>
      <c r="F66" s="300">
        <f>Verokompensaatiot[[#This Row],[Korvaukset vuosilta 2010-2023, €]]+Verokompensaatiot[[#This Row],[Veromenetysten korvaus 2024]]+Verokompensaatiot[[#This Row],[Veromenetysten korvaus 2025]]</f>
        <v>449533.28111492482</v>
      </c>
    </row>
    <row r="67" spans="1:6">
      <c r="A67" s="32">
        <v>205</v>
      </c>
      <c r="B67" s="13" t="s">
        <v>74</v>
      </c>
      <c r="C67" s="164">
        <v>5725031.784805065</v>
      </c>
      <c r="D67" s="164">
        <v>-6910.8818579301087</v>
      </c>
      <c r="E67" s="164">
        <v>-2424163.8388664927</v>
      </c>
      <c r="F67" s="300">
        <f>Verokompensaatiot[[#This Row],[Korvaukset vuosilta 2010-2023, €]]+Verokompensaatiot[[#This Row],[Veromenetysten korvaus 2024]]+Verokompensaatiot[[#This Row],[Veromenetysten korvaus 2025]]</f>
        <v>3293957.0640806425</v>
      </c>
    </row>
    <row r="68" spans="1:6">
      <c r="A68" s="32">
        <v>208</v>
      </c>
      <c r="B68" s="13" t="s">
        <v>75</v>
      </c>
      <c r="C68" s="164">
        <v>2430519.1975263674</v>
      </c>
      <c r="D68" s="164">
        <v>-7376.2791315075774</v>
      </c>
      <c r="E68" s="164">
        <v>-776848.657006911</v>
      </c>
      <c r="F68" s="300">
        <f>Verokompensaatiot[[#This Row],[Korvaukset vuosilta 2010-2023, €]]+Verokompensaatiot[[#This Row],[Veromenetysten korvaus 2024]]+Verokompensaatiot[[#This Row],[Veromenetysten korvaus 2025]]</f>
        <v>1646294.2613879489</v>
      </c>
    </row>
    <row r="69" spans="1:6">
      <c r="A69" s="32">
        <v>211</v>
      </c>
      <c r="B69" s="13" t="s">
        <v>76</v>
      </c>
      <c r="C69" s="164">
        <v>4309006.4312020615</v>
      </c>
      <c r="D69" s="164">
        <v>-86875.951082001819</v>
      </c>
      <c r="E69" s="164">
        <v>-2406286.196939473</v>
      </c>
      <c r="F69" s="300">
        <f>Verokompensaatiot[[#This Row],[Korvaukset vuosilta 2010-2023, €]]+Verokompensaatiot[[#This Row],[Veromenetysten korvaus 2024]]+Verokompensaatiot[[#This Row],[Veromenetysten korvaus 2025]]</f>
        <v>1815844.283180587</v>
      </c>
    </row>
    <row r="70" spans="1:6">
      <c r="A70" s="32">
        <v>213</v>
      </c>
      <c r="B70" s="13" t="s">
        <v>77</v>
      </c>
      <c r="C70" s="164">
        <v>1126664.5288037318</v>
      </c>
      <c r="D70" s="164">
        <v>-16368.791765506567</v>
      </c>
      <c r="E70" s="164">
        <v>-312247.51106053521</v>
      </c>
      <c r="F70" s="300">
        <f>Verokompensaatiot[[#This Row],[Korvaukset vuosilta 2010-2023, €]]+Verokompensaatiot[[#This Row],[Veromenetysten korvaus 2024]]+Verokompensaatiot[[#This Row],[Veromenetysten korvaus 2025]]</f>
        <v>798048.22597768996</v>
      </c>
    </row>
    <row r="71" spans="1:6">
      <c r="A71" s="32">
        <v>214</v>
      </c>
      <c r="B71" s="13" t="s">
        <v>78</v>
      </c>
      <c r="C71" s="164">
        <v>2642332.2678220179</v>
      </c>
      <c r="D71" s="164">
        <v>4609.9258001460439</v>
      </c>
      <c r="E71" s="164">
        <v>-847991.64156447072</v>
      </c>
      <c r="F71" s="300">
        <f>Verokompensaatiot[[#This Row],[Korvaukset vuosilta 2010-2023, €]]+Verokompensaatiot[[#This Row],[Veromenetysten korvaus 2024]]+Verokompensaatiot[[#This Row],[Veromenetysten korvaus 2025]]</f>
        <v>1798950.5520576932</v>
      </c>
    </row>
    <row r="72" spans="1:6">
      <c r="A72" s="32">
        <v>216</v>
      </c>
      <c r="B72" s="13" t="s">
        <v>79</v>
      </c>
      <c r="C72" s="164">
        <v>301479.03133509611</v>
      </c>
      <c r="D72" s="164">
        <v>-687.33554110710202</v>
      </c>
      <c r="E72" s="164">
        <v>-71168.31899405703</v>
      </c>
      <c r="F72" s="300">
        <f>Verokompensaatiot[[#This Row],[Korvaukset vuosilta 2010-2023, €]]+Verokompensaatiot[[#This Row],[Veromenetysten korvaus 2024]]+Verokompensaatiot[[#This Row],[Veromenetysten korvaus 2025]]</f>
        <v>229623.37679993198</v>
      </c>
    </row>
    <row r="73" spans="1:6">
      <c r="A73" s="32">
        <v>217</v>
      </c>
      <c r="B73" s="13" t="s">
        <v>80</v>
      </c>
      <c r="C73" s="164">
        <v>1064158.2011571038</v>
      </c>
      <c r="D73" s="164">
        <v>-12654.128782342796</v>
      </c>
      <c r="E73" s="164">
        <v>-386181.45259207528</v>
      </c>
      <c r="F73" s="300">
        <f>Verokompensaatiot[[#This Row],[Korvaukset vuosilta 2010-2023, €]]+Verokompensaatiot[[#This Row],[Veromenetysten korvaus 2024]]+Verokompensaatiot[[#This Row],[Veromenetysten korvaus 2025]]</f>
        <v>665322.61978268554</v>
      </c>
    </row>
    <row r="74" spans="1:6">
      <c r="A74" s="32">
        <v>218</v>
      </c>
      <c r="B74" s="13" t="s">
        <v>81</v>
      </c>
      <c r="C74" s="164">
        <v>340927.93071164901</v>
      </c>
      <c r="D74" s="164">
        <v>-4156.5162519142486</v>
      </c>
      <c r="E74" s="164">
        <v>-86052.860702988415</v>
      </c>
      <c r="F74" s="300">
        <f>Verokompensaatiot[[#This Row],[Korvaukset vuosilta 2010-2023, €]]+Verokompensaatiot[[#This Row],[Veromenetysten korvaus 2024]]+Verokompensaatiot[[#This Row],[Veromenetysten korvaus 2025]]</f>
        <v>250718.55375674635</v>
      </c>
    </row>
    <row r="75" spans="1:6">
      <c r="A75" s="32">
        <v>224</v>
      </c>
      <c r="B75" s="13" t="s">
        <v>82</v>
      </c>
      <c r="C75" s="164">
        <v>1484090.8745698924</v>
      </c>
      <c r="D75" s="164">
        <v>-49414.161021954918</v>
      </c>
      <c r="E75" s="164">
        <v>-565050.19038391265</v>
      </c>
      <c r="F75" s="300">
        <f>Verokompensaatiot[[#This Row],[Korvaukset vuosilta 2010-2023, €]]+Verokompensaatiot[[#This Row],[Veromenetysten korvaus 2024]]+Verokompensaatiot[[#This Row],[Veromenetysten korvaus 2025]]</f>
        <v>869626.52316402493</v>
      </c>
    </row>
    <row r="76" spans="1:6">
      <c r="A76" s="32">
        <v>226</v>
      </c>
      <c r="B76" s="13" t="s">
        <v>83</v>
      </c>
      <c r="C76" s="164">
        <v>806360.18822150188</v>
      </c>
      <c r="D76" s="164">
        <v>-3052.0547335777237</v>
      </c>
      <c r="E76" s="164">
        <v>-216369.56490700025</v>
      </c>
      <c r="F76" s="300">
        <f>Verokompensaatiot[[#This Row],[Korvaukset vuosilta 2010-2023, €]]+Verokompensaatiot[[#This Row],[Veromenetysten korvaus 2024]]+Verokompensaatiot[[#This Row],[Veromenetysten korvaus 2025]]</f>
        <v>586938.56858092383</v>
      </c>
    </row>
    <row r="77" spans="1:6">
      <c r="A77" s="32">
        <v>230</v>
      </c>
      <c r="B77" s="13" t="s">
        <v>84</v>
      </c>
      <c r="C77" s="164">
        <v>591678.54719004012</v>
      </c>
      <c r="D77" s="164">
        <v>2846.7097255042809</v>
      </c>
      <c r="E77" s="164">
        <v>-136052.9938823042</v>
      </c>
      <c r="F77" s="300">
        <f>Verokompensaatiot[[#This Row],[Korvaukset vuosilta 2010-2023, €]]+Verokompensaatiot[[#This Row],[Veromenetysten korvaus 2024]]+Verokompensaatiot[[#This Row],[Veromenetysten korvaus 2025]]</f>
        <v>458472.26303324022</v>
      </c>
    </row>
    <row r="78" spans="1:6">
      <c r="A78" s="32">
        <v>231</v>
      </c>
      <c r="B78" s="13" t="s">
        <v>85</v>
      </c>
      <c r="C78" s="164">
        <v>224270.99566541263</v>
      </c>
      <c r="D78" s="164">
        <v>-1246.3639410380288</v>
      </c>
      <c r="E78" s="164">
        <v>-86959.310421063681</v>
      </c>
      <c r="F78" s="300">
        <f>Verokompensaatiot[[#This Row],[Korvaukset vuosilta 2010-2023, €]]+Verokompensaatiot[[#This Row],[Veromenetysten korvaus 2024]]+Verokompensaatiot[[#This Row],[Veromenetysten korvaus 2025]]</f>
        <v>136065.32130331092</v>
      </c>
    </row>
    <row r="79" spans="1:6">
      <c r="A79" s="32">
        <v>232</v>
      </c>
      <c r="B79" s="13" t="s">
        <v>86</v>
      </c>
      <c r="C79" s="164">
        <v>2831877.4419475589</v>
      </c>
      <c r="D79" s="164">
        <v>1967.1027031883168</v>
      </c>
      <c r="E79" s="164">
        <v>-933485.46679450828</v>
      </c>
      <c r="F79" s="300">
        <f>Verokompensaatiot[[#This Row],[Korvaukset vuosilta 2010-2023, €]]+Verokompensaatiot[[#This Row],[Veromenetysten korvaus 2024]]+Verokompensaatiot[[#This Row],[Veromenetysten korvaus 2025]]</f>
        <v>1900359.0778562392</v>
      </c>
    </row>
    <row r="80" spans="1:6">
      <c r="A80" s="32">
        <v>233</v>
      </c>
      <c r="B80" s="13" t="s">
        <v>87</v>
      </c>
      <c r="C80" s="164">
        <v>3403075.8114378415</v>
      </c>
      <c r="D80" s="164">
        <v>-11068.960172852014</v>
      </c>
      <c r="E80" s="164">
        <v>-1060605.275151344</v>
      </c>
      <c r="F80" s="300">
        <f>Verokompensaatiot[[#This Row],[Korvaukset vuosilta 2010-2023, €]]+Verokompensaatiot[[#This Row],[Veromenetysten korvaus 2024]]+Verokompensaatiot[[#This Row],[Veromenetysten korvaus 2025]]</f>
        <v>2331401.5761136455</v>
      </c>
    </row>
    <row r="81" spans="1:6">
      <c r="A81" s="32">
        <v>235</v>
      </c>
      <c r="B81" s="13" t="s">
        <v>88</v>
      </c>
      <c r="C81" s="164">
        <v>662205.84094886249</v>
      </c>
      <c r="D81" s="164">
        <v>-6729.8321869220408</v>
      </c>
      <c r="E81" s="164">
        <v>-181118.77659392238</v>
      </c>
      <c r="F81" s="300">
        <f>Verokompensaatiot[[#This Row],[Korvaukset vuosilta 2010-2023, €]]+Verokompensaatiot[[#This Row],[Veromenetysten korvaus 2024]]+Verokompensaatiot[[#This Row],[Veromenetysten korvaus 2025]]</f>
        <v>474357.232168018</v>
      </c>
    </row>
    <row r="82" spans="1:6">
      <c r="A82" s="32">
        <v>236</v>
      </c>
      <c r="B82" s="13" t="s">
        <v>89</v>
      </c>
      <c r="C82" s="164">
        <v>896489.68078274722</v>
      </c>
      <c r="D82" s="164">
        <v>-8636.7222732605333</v>
      </c>
      <c r="E82" s="164">
        <v>-336707.02934847248</v>
      </c>
      <c r="F82" s="300">
        <f>Verokompensaatiot[[#This Row],[Korvaukset vuosilta 2010-2023, €]]+Verokompensaatiot[[#This Row],[Veromenetysten korvaus 2024]]+Verokompensaatiot[[#This Row],[Veromenetysten korvaus 2025]]</f>
        <v>551145.92916101415</v>
      </c>
    </row>
    <row r="83" spans="1:6">
      <c r="A83" s="32">
        <v>239</v>
      </c>
      <c r="B83" s="13" t="s">
        <v>90</v>
      </c>
      <c r="C83" s="164">
        <v>464543.67246879428</v>
      </c>
      <c r="D83" s="164">
        <v>-2243.5300380938052</v>
      </c>
      <c r="E83" s="164">
        <v>-109202.62877697207</v>
      </c>
      <c r="F83" s="300">
        <f>Verokompensaatiot[[#This Row],[Korvaukset vuosilta 2010-2023, €]]+Verokompensaatiot[[#This Row],[Veromenetysten korvaus 2024]]+Verokompensaatiot[[#This Row],[Veromenetysten korvaus 2025]]</f>
        <v>353097.51365372841</v>
      </c>
    </row>
    <row r="84" spans="1:6">
      <c r="A84" s="32">
        <v>240</v>
      </c>
      <c r="B84" s="13" t="s">
        <v>91</v>
      </c>
      <c r="C84" s="164">
        <v>3195185.7131914506</v>
      </c>
      <c r="D84" s="164">
        <v>19632.211339547281</v>
      </c>
      <c r="E84" s="164">
        <v>-1380718.3222816258</v>
      </c>
      <c r="F84" s="300">
        <f>Verokompensaatiot[[#This Row],[Korvaukset vuosilta 2010-2023, €]]+Verokompensaatiot[[#This Row],[Veromenetysten korvaus 2024]]+Verokompensaatiot[[#This Row],[Veromenetysten korvaus 2025]]</f>
        <v>1834099.6022493721</v>
      </c>
    </row>
    <row r="85" spans="1:6">
      <c r="A85" s="32">
        <v>241</v>
      </c>
      <c r="B85" s="13" t="s">
        <v>92</v>
      </c>
      <c r="C85" s="164">
        <v>1149668.2692131842</v>
      </c>
      <c r="D85" s="164">
        <v>-17125.707925909752</v>
      </c>
      <c r="E85" s="164">
        <v>-515974.26069734164</v>
      </c>
      <c r="F85" s="300">
        <f>Verokompensaatiot[[#This Row],[Korvaukset vuosilta 2010-2023, €]]+Verokompensaatiot[[#This Row],[Veromenetysten korvaus 2024]]+Verokompensaatiot[[#This Row],[Veromenetysten korvaus 2025]]</f>
        <v>616568.30058993294</v>
      </c>
    </row>
    <row r="86" spans="1:6">
      <c r="A86" s="32">
        <v>244</v>
      </c>
      <c r="B86" s="13" t="s">
        <v>93</v>
      </c>
      <c r="C86" s="164">
        <v>2097985.6613888899</v>
      </c>
      <c r="D86" s="164">
        <v>-22608.691577213824</v>
      </c>
      <c r="E86" s="164">
        <v>-1151694.3340722579</v>
      </c>
      <c r="F86" s="300">
        <f>Verokompensaatiot[[#This Row],[Korvaukset vuosilta 2010-2023, €]]+Verokompensaatiot[[#This Row],[Veromenetysten korvaus 2024]]+Verokompensaatiot[[#This Row],[Veromenetysten korvaus 2025]]</f>
        <v>923682.63573941821</v>
      </c>
    </row>
    <row r="87" spans="1:6">
      <c r="A87" s="32">
        <v>245</v>
      </c>
      <c r="B87" s="13" t="s">
        <v>94</v>
      </c>
      <c r="C87" s="164">
        <v>4834905.5185733456</v>
      </c>
      <c r="D87" s="164">
        <v>-10611.50260146337</v>
      </c>
      <c r="E87" s="164">
        <v>-1944412.3483906817</v>
      </c>
      <c r="F87" s="300">
        <f>Verokompensaatiot[[#This Row],[Korvaukset vuosilta 2010-2023, €]]+Verokompensaatiot[[#This Row],[Veromenetysten korvaus 2024]]+Verokompensaatiot[[#This Row],[Veromenetysten korvaus 2025]]</f>
        <v>2879881.6675812006</v>
      </c>
    </row>
    <row r="88" spans="1:6">
      <c r="A88" s="32">
        <v>249</v>
      </c>
      <c r="B88" s="13" t="s">
        <v>95</v>
      </c>
      <c r="C88" s="164">
        <v>1689805.5154613359</v>
      </c>
      <c r="D88" s="164">
        <v>-24391.308529651425</v>
      </c>
      <c r="E88" s="164">
        <v>-583825.35888682795</v>
      </c>
      <c r="F88" s="300">
        <f>Verokompensaatiot[[#This Row],[Korvaukset vuosilta 2010-2023, €]]+Verokompensaatiot[[#This Row],[Veromenetysten korvaus 2024]]+Verokompensaatiot[[#This Row],[Veromenetysten korvaus 2025]]</f>
        <v>1081588.8480448565</v>
      </c>
    </row>
    <row r="89" spans="1:6">
      <c r="A89" s="32">
        <v>250</v>
      </c>
      <c r="B89" s="13" t="s">
        <v>96</v>
      </c>
      <c r="C89" s="164">
        <v>443555.78617089614</v>
      </c>
      <c r="D89" s="164">
        <v>-2263.6174868858229</v>
      </c>
      <c r="E89" s="164">
        <v>-103631.22461382966</v>
      </c>
      <c r="F89" s="300">
        <f>Verokompensaatiot[[#This Row],[Korvaukset vuosilta 2010-2023, €]]+Verokompensaatiot[[#This Row],[Veromenetysten korvaus 2024]]+Verokompensaatiot[[#This Row],[Veromenetysten korvaus 2025]]</f>
        <v>337660.94407018065</v>
      </c>
    </row>
    <row r="90" spans="1:6">
      <c r="A90" s="32">
        <v>256</v>
      </c>
      <c r="B90" s="13" t="s">
        <v>97</v>
      </c>
      <c r="C90" s="164">
        <v>342078.91533434647</v>
      </c>
      <c r="D90" s="164">
        <v>1236.29663379463</v>
      </c>
      <c r="E90" s="164">
        <v>-85267.45639982952</v>
      </c>
      <c r="F90" s="300">
        <f>Verokompensaatiot[[#This Row],[Korvaukset vuosilta 2010-2023, €]]+Verokompensaatiot[[#This Row],[Veromenetysten korvaus 2024]]+Verokompensaatiot[[#This Row],[Veromenetysten korvaus 2025]]</f>
        <v>258047.75556831155</v>
      </c>
    </row>
    <row r="91" spans="1:6">
      <c r="A91" s="32">
        <v>257</v>
      </c>
      <c r="B91" s="13" t="s">
        <v>98</v>
      </c>
      <c r="C91" s="164">
        <v>4555795.7102231998</v>
      </c>
      <c r="D91" s="164">
        <v>-55408.148760037038</v>
      </c>
      <c r="E91" s="164">
        <v>-1942196.8293466647</v>
      </c>
      <c r="F91" s="300">
        <f>Verokompensaatiot[[#This Row],[Korvaukset vuosilta 2010-2023, €]]+Verokompensaatiot[[#This Row],[Veromenetysten korvaus 2024]]+Verokompensaatiot[[#This Row],[Veromenetysten korvaus 2025]]</f>
        <v>2558190.7321164976</v>
      </c>
    </row>
    <row r="92" spans="1:6">
      <c r="A92" s="32">
        <v>260</v>
      </c>
      <c r="B92" s="13" t="s">
        <v>99</v>
      </c>
      <c r="C92" s="164">
        <v>2114261.2532293946</v>
      </c>
      <c r="D92" s="164">
        <v>-9740.3396751202472</v>
      </c>
      <c r="E92" s="164">
        <v>-460116.46877199662</v>
      </c>
      <c r="F92" s="300">
        <f>Verokompensaatiot[[#This Row],[Korvaukset vuosilta 2010-2023, €]]+Verokompensaatiot[[#This Row],[Veromenetysten korvaus 2024]]+Verokompensaatiot[[#This Row],[Veromenetysten korvaus 2025]]</f>
        <v>1644404.4447822778</v>
      </c>
    </row>
    <row r="93" spans="1:6">
      <c r="A93" s="32">
        <v>261</v>
      </c>
      <c r="B93" s="13" t="s">
        <v>100</v>
      </c>
      <c r="C93" s="164">
        <v>1227445.6298316219</v>
      </c>
      <c r="D93" s="164">
        <v>-20274.40309299302</v>
      </c>
      <c r="E93" s="164">
        <v>-439833.55907499127</v>
      </c>
      <c r="F93" s="300">
        <f>Verokompensaatiot[[#This Row],[Korvaukset vuosilta 2010-2023, €]]+Verokompensaatiot[[#This Row],[Veromenetysten korvaus 2024]]+Verokompensaatiot[[#This Row],[Veromenetysten korvaus 2025]]</f>
        <v>767337.66766363767</v>
      </c>
    </row>
    <row r="94" spans="1:6">
      <c r="A94" s="32">
        <v>263</v>
      </c>
      <c r="B94" s="13" t="s">
        <v>101</v>
      </c>
      <c r="C94" s="164">
        <v>1812826.8815624351</v>
      </c>
      <c r="D94" s="164">
        <v>-6899.877684535455</v>
      </c>
      <c r="E94" s="164">
        <v>-514124.76323082682</v>
      </c>
      <c r="F94" s="300">
        <f>Verokompensaatiot[[#This Row],[Korvaukset vuosilta 2010-2023, €]]+Verokompensaatiot[[#This Row],[Veromenetysten korvaus 2024]]+Verokompensaatiot[[#This Row],[Veromenetysten korvaus 2025]]</f>
        <v>1291802.2406470729</v>
      </c>
    </row>
    <row r="95" spans="1:6">
      <c r="A95" s="32">
        <v>265</v>
      </c>
      <c r="B95" s="13" t="s">
        <v>102</v>
      </c>
      <c r="C95" s="164">
        <v>246432.62327001279</v>
      </c>
      <c r="D95" s="164">
        <v>-2238.0091572978954</v>
      </c>
      <c r="E95" s="164">
        <v>-59122.479895080869</v>
      </c>
      <c r="F95" s="300">
        <f>Verokompensaatiot[[#This Row],[Korvaukset vuosilta 2010-2023, €]]+Verokompensaatiot[[#This Row],[Veromenetysten korvaus 2024]]+Verokompensaatiot[[#This Row],[Veromenetysten korvaus 2025]]</f>
        <v>185072.13421763401</v>
      </c>
    </row>
    <row r="96" spans="1:6">
      <c r="A96" s="32">
        <v>271</v>
      </c>
      <c r="B96" s="13" t="s">
        <v>103</v>
      </c>
      <c r="C96" s="164">
        <v>1428589.0970270741</v>
      </c>
      <c r="D96" s="164">
        <v>-17662.989862291393</v>
      </c>
      <c r="E96" s="164">
        <v>-462815.45002418821</v>
      </c>
      <c r="F96" s="300">
        <f>Verokompensaatiot[[#This Row],[Korvaukset vuosilta 2010-2023, €]]+Verokompensaatiot[[#This Row],[Veromenetysten korvaus 2024]]+Verokompensaatiot[[#This Row],[Veromenetysten korvaus 2025]]</f>
        <v>948110.65714059444</v>
      </c>
    </row>
    <row r="97" spans="1:6">
      <c r="A97" s="32">
        <v>272</v>
      </c>
      <c r="B97" s="13" t="s">
        <v>104</v>
      </c>
      <c r="C97" s="164">
        <v>7554623.8483991884</v>
      </c>
      <c r="D97" s="164">
        <v>24511.701197499409</v>
      </c>
      <c r="E97" s="164">
        <v>-3328219.3879711349</v>
      </c>
      <c r="F97" s="300">
        <f>Verokompensaatiot[[#This Row],[Korvaukset vuosilta 2010-2023, €]]+Verokompensaatiot[[#This Row],[Veromenetysten korvaus 2024]]+Verokompensaatiot[[#This Row],[Veromenetysten korvaus 2025]]</f>
        <v>4250916.1616255529</v>
      </c>
    </row>
    <row r="98" spans="1:6">
      <c r="A98" s="32">
        <v>273</v>
      </c>
      <c r="B98" s="13" t="s">
        <v>105</v>
      </c>
      <c r="C98" s="164">
        <v>755593.04019599035</v>
      </c>
      <c r="D98" s="164">
        <v>-10277.745878527101</v>
      </c>
      <c r="E98" s="164">
        <v>-264498.08609951515</v>
      </c>
      <c r="F98" s="300">
        <f>Verokompensaatiot[[#This Row],[Korvaukset vuosilta 2010-2023, €]]+Verokompensaatiot[[#This Row],[Veromenetysten korvaus 2024]]+Verokompensaatiot[[#This Row],[Veromenetysten korvaus 2025]]</f>
        <v>480817.20821794815</v>
      </c>
    </row>
    <row r="99" spans="1:6">
      <c r="A99" s="32">
        <v>275</v>
      </c>
      <c r="B99" s="13" t="s">
        <v>106</v>
      </c>
      <c r="C99" s="164">
        <v>533578.40248448518</v>
      </c>
      <c r="D99" s="164">
        <v>-11265.619631695183</v>
      </c>
      <c r="E99" s="164">
        <v>-162179.09629863614</v>
      </c>
      <c r="F99" s="300">
        <f>Verokompensaatiot[[#This Row],[Korvaukset vuosilta 2010-2023, €]]+Verokompensaatiot[[#This Row],[Veromenetysten korvaus 2024]]+Verokompensaatiot[[#This Row],[Veromenetysten korvaus 2025]]</f>
        <v>360133.6865541538</v>
      </c>
    </row>
    <row r="100" spans="1:6">
      <c r="A100" s="32">
        <v>276</v>
      </c>
      <c r="B100" s="13" t="s">
        <v>107</v>
      </c>
      <c r="C100" s="164">
        <v>2027800.9120636731</v>
      </c>
      <c r="D100" s="164">
        <v>-35380.710403282828</v>
      </c>
      <c r="E100" s="164">
        <v>-1069062.9999747928</v>
      </c>
      <c r="F100" s="300">
        <f>Verokompensaatiot[[#This Row],[Korvaukset vuosilta 2010-2023, €]]+Verokompensaatiot[[#This Row],[Veromenetysten korvaus 2024]]+Verokompensaatiot[[#This Row],[Veromenetysten korvaus 2025]]</f>
        <v>923357.20168559742</v>
      </c>
    </row>
    <row r="101" spans="1:6">
      <c r="A101" s="32">
        <v>280</v>
      </c>
      <c r="B101" s="13" t="s">
        <v>108</v>
      </c>
      <c r="C101" s="164">
        <v>505168.02661108016</v>
      </c>
      <c r="D101" s="164">
        <v>-7961.2831847093257</v>
      </c>
      <c r="E101" s="164">
        <v>-152560.77615222608</v>
      </c>
      <c r="F101" s="300">
        <f>Verokompensaatiot[[#This Row],[Korvaukset vuosilta 2010-2023, €]]+Verokompensaatiot[[#This Row],[Veromenetysten korvaus 2024]]+Verokompensaatiot[[#This Row],[Veromenetysten korvaus 2025]]</f>
        <v>344645.96727414476</v>
      </c>
    </row>
    <row r="102" spans="1:6">
      <c r="A102" s="32">
        <v>284</v>
      </c>
      <c r="B102" s="13" t="s">
        <v>109</v>
      </c>
      <c r="C102" s="164">
        <v>510917.09850622597</v>
      </c>
      <c r="D102" s="164">
        <v>-3742.2347966200286</v>
      </c>
      <c r="E102" s="164">
        <v>-111684.77698179592</v>
      </c>
      <c r="F102" s="300">
        <f>Verokompensaatiot[[#This Row],[Korvaukset vuosilta 2010-2023, €]]+Verokompensaatiot[[#This Row],[Veromenetysten korvaus 2024]]+Verokompensaatiot[[#This Row],[Veromenetysten korvaus 2025]]</f>
        <v>395490.08672781003</v>
      </c>
    </row>
    <row r="103" spans="1:6">
      <c r="A103" s="32">
        <v>285</v>
      </c>
      <c r="B103" s="13" t="s">
        <v>110</v>
      </c>
      <c r="C103" s="164">
        <v>7795134.9180065207</v>
      </c>
      <c r="D103" s="164">
        <v>-19201.476207810745</v>
      </c>
      <c r="E103" s="164">
        <v>-3382028.469826526</v>
      </c>
      <c r="F103" s="300">
        <f>Verokompensaatiot[[#This Row],[Korvaukset vuosilta 2010-2023, €]]+Verokompensaatiot[[#This Row],[Veromenetysten korvaus 2024]]+Verokompensaatiot[[#This Row],[Veromenetysten korvaus 2025]]</f>
        <v>4393904.9719721843</v>
      </c>
    </row>
    <row r="104" spans="1:6">
      <c r="A104" s="32">
        <v>286</v>
      </c>
      <c r="B104" s="13" t="s">
        <v>111</v>
      </c>
      <c r="C104" s="164">
        <v>13075249.793361761</v>
      </c>
      <c r="D104" s="164">
        <v>-161472.9118287848</v>
      </c>
      <c r="E104" s="164">
        <v>-5178852.405199117</v>
      </c>
      <c r="F104" s="300">
        <f>Verokompensaatiot[[#This Row],[Korvaukset vuosilta 2010-2023, €]]+Verokompensaatiot[[#This Row],[Veromenetysten korvaus 2024]]+Verokompensaatiot[[#This Row],[Veromenetysten korvaus 2025]]</f>
        <v>7734924.4763338594</v>
      </c>
    </row>
    <row r="105" spans="1:6">
      <c r="A105" s="32">
        <v>287</v>
      </c>
      <c r="B105" s="13" t="s">
        <v>112</v>
      </c>
      <c r="C105" s="164">
        <v>1442594.627989911</v>
      </c>
      <c r="D105" s="164">
        <v>-4716.0736271819642</v>
      </c>
      <c r="E105" s="164">
        <v>-406579.53343551315</v>
      </c>
      <c r="F105" s="300">
        <f>Verokompensaatiot[[#This Row],[Korvaukset vuosilta 2010-2023, €]]+Verokompensaatiot[[#This Row],[Veromenetysten korvaus 2024]]+Verokompensaatiot[[#This Row],[Veromenetysten korvaus 2025]]</f>
        <v>1031299.0209272158</v>
      </c>
    </row>
    <row r="106" spans="1:6">
      <c r="A106" s="32">
        <v>288</v>
      </c>
      <c r="B106" s="13" t="s">
        <v>113</v>
      </c>
      <c r="C106" s="164">
        <v>1335863.8451157999</v>
      </c>
      <c r="D106" s="164">
        <v>-11030.540760471424</v>
      </c>
      <c r="E106" s="164">
        <v>-468507.11597254017</v>
      </c>
      <c r="F106" s="300">
        <f>Verokompensaatiot[[#This Row],[Korvaukset vuosilta 2010-2023, €]]+Verokompensaatiot[[#This Row],[Veromenetysten korvaus 2024]]+Verokompensaatiot[[#This Row],[Veromenetysten korvaus 2025]]</f>
        <v>856326.18838278833</v>
      </c>
    </row>
    <row r="107" spans="1:6">
      <c r="A107" s="32">
        <v>290</v>
      </c>
      <c r="B107" s="13" t="s">
        <v>114</v>
      </c>
      <c r="C107" s="164">
        <v>1696306.0079607312</v>
      </c>
      <c r="D107" s="164">
        <v>5948.0713953219629</v>
      </c>
      <c r="E107" s="164">
        <v>-496255.13602936058</v>
      </c>
      <c r="F107" s="300">
        <f>Verokompensaatiot[[#This Row],[Korvaukset vuosilta 2010-2023, €]]+Verokompensaatiot[[#This Row],[Veromenetysten korvaus 2024]]+Verokompensaatiot[[#This Row],[Veromenetysten korvaus 2025]]</f>
        <v>1205998.9433266926</v>
      </c>
    </row>
    <row r="108" spans="1:6">
      <c r="A108" s="32">
        <v>291</v>
      </c>
      <c r="B108" s="36" t="s">
        <v>115</v>
      </c>
      <c r="C108" s="164">
        <v>449064.00983901822</v>
      </c>
      <c r="D108" s="164">
        <v>-10990.4784892385</v>
      </c>
      <c r="E108" s="164">
        <v>-108328.08061591259</v>
      </c>
      <c r="F108" s="300">
        <f>Verokompensaatiot[[#This Row],[Korvaukset vuosilta 2010-2023, €]]+Verokompensaatiot[[#This Row],[Veromenetysten korvaus 2024]]+Verokompensaatiot[[#This Row],[Veromenetysten korvaus 2025]]</f>
        <v>329745.45073386712</v>
      </c>
    </row>
    <row r="109" spans="1:6">
      <c r="A109" s="32">
        <v>297</v>
      </c>
      <c r="B109" s="13" t="s">
        <v>116</v>
      </c>
      <c r="C109" s="164">
        <v>19198097.359689422</v>
      </c>
      <c r="D109" s="164">
        <v>11985.211925024974</v>
      </c>
      <c r="E109" s="164">
        <v>-7604245.3363248436</v>
      </c>
      <c r="F109" s="300">
        <f>Verokompensaatiot[[#This Row],[Korvaukset vuosilta 2010-2023, €]]+Verokompensaatiot[[#This Row],[Veromenetysten korvaus 2024]]+Verokompensaatiot[[#This Row],[Veromenetysten korvaus 2025]]</f>
        <v>11605837.235289603</v>
      </c>
    </row>
    <row r="110" spans="1:6">
      <c r="A110" s="301">
        <v>300</v>
      </c>
      <c r="B110" s="13" t="s">
        <v>117</v>
      </c>
      <c r="C110" s="164">
        <v>777950.7405079694</v>
      </c>
      <c r="D110" s="164">
        <v>-11119.314399482691</v>
      </c>
      <c r="E110" s="164">
        <v>-205627.7240302233</v>
      </c>
      <c r="F110" s="300">
        <f>Verokompensaatiot[[#This Row],[Korvaukset vuosilta 2010-2023, €]]+Verokompensaatiot[[#This Row],[Veromenetysten korvaus 2024]]+Verokompensaatiot[[#This Row],[Veromenetysten korvaus 2025]]</f>
        <v>561203.70207826339</v>
      </c>
    </row>
    <row r="111" spans="1:6">
      <c r="A111" s="32">
        <v>301</v>
      </c>
      <c r="B111" s="13" t="s">
        <v>118</v>
      </c>
      <c r="C111" s="164">
        <v>4466289.7991133537</v>
      </c>
      <c r="D111" s="164">
        <v>-35903.693450620878</v>
      </c>
      <c r="E111" s="164">
        <v>-1248381.7904625721</v>
      </c>
      <c r="F111" s="300">
        <f>Verokompensaatiot[[#This Row],[Korvaukset vuosilta 2010-2023, €]]+Verokompensaatiot[[#This Row],[Veromenetysten korvaus 2024]]+Verokompensaatiot[[#This Row],[Veromenetysten korvaus 2025]]</f>
        <v>3182004.3152001603</v>
      </c>
    </row>
    <row r="112" spans="1:6">
      <c r="A112" s="32">
        <v>304</v>
      </c>
      <c r="B112" s="13" t="s">
        <v>119</v>
      </c>
      <c r="C112" s="164">
        <v>180430.88589154329</v>
      </c>
      <c r="D112" s="164">
        <v>-5408.3362132371767</v>
      </c>
      <c r="E112" s="164">
        <v>-27817.425543898724</v>
      </c>
      <c r="F112" s="300">
        <f>Verokompensaatiot[[#This Row],[Korvaukset vuosilta 2010-2023, €]]+Verokompensaatiot[[#This Row],[Veromenetysten korvaus 2024]]+Verokompensaatiot[[#This Row],[Veromenetysten korvaus 2025]]</f>
        <v>147205.12413440741</v>
      </c>
    </row>
    <row r="113" spans="1:6">
      <c r="A113" s="32">
        <v>305</v>
      </c>
      <c r="B113" s="13" t="s">
        <v>120</v>
      </c>
      <c r="C113" s="164">
        <v>2761083.9066240285</v>
      </c>
      <c r="D113" s="164">
        <v>2089.5919143460214</v>
      </c>
      <c r="E113" s="164">
        <v>-829604.0520971464</v>
      </c>
      <c r="F113" s="300">
        <f>Verokompensaatiot[[#This Row],[Korvaukset vuosilta 2010-2023, €]]+Verokompensaatiot[[#This Row],[Veromenetysten korvaus 2024]]+Verokompensaatiot[[#This Row],[Veromenetysten korvaus 2025]]</f>
        <v>1933569.446441228</v>
      </c>
    </row>
    <row r="114" spans="1:6">
      <c r="A114" s="32">
        <v>309</v>
      </c>
      <c r="B114" s="13" t="s">
        <v>121</v>
      </c>
      <c r="C114" s="164">
        <v>1250746.467831986</v>
      </c>
      <c r="D114" s="164">
        <v>-824.43279710056822</v>
      </c>
      <c r="E114" s="164">
        <v>-369091.09431785659</v>
      </c>
      <c r="F114" s="300">
        <f>Verokompensaatiot[[#This Row],[Korvaukset vuosilta 2010-2023, €]]+Verokompensaatiot[[#This Row],[Veromenetysten korvaus 2024]]+Verokompensaatiot[[#This Row],[Veromenetysten korvaus 2025]]</f>
        <v>880830.9407170288</v>
      </c>
    </row>
    <row r="115" spans="1:6">
      <c r="A115" s="32">
        <v>312</v>
      </c>
      <c r="B115" s="13" t="s">
        <v>122</v>
      </c>
      <c r="C115" s="164">
        <v>292553.94335623621</v>
      </c>
      <c r="D115" s="164">
        <v>53.55695901758736</v>
      </c>
      <c r="E115" s="164">
        <v>-83935.441747761695</v>
      </c>
      <c r="F115" s="300">
        <f>Verokompensaatiot[[#This Row],[Korvaukset vuosilta 2010-2023, €]]+Verokompensaatiot[[#This Row],[Veromenetysten korvaus 2024]]+Verokompensaatiot[[#This Row],[Veromenetysten korvaus 2025]]</f>
        <v>208672.05856749212</v>
      </c>
    </row>
    <row r="116" spans="1:6">
      <c r="A116" s="32">
        <v>316</v>
      </c>
      <c r="B116" s="13" t="s">
        <v>123</v>
      </c>
      <c r="C116" s="164">
        <v>826735.03650535177</v>
      </c>
      <c r="D116" s="164">
        <v>-25967.998022914395</v>
      </c>
      <c r="E116" s="164">
        <v>-301663.88502838882</v>
      </c>
      <c r="F116" s="300">
        <f>Verokompensaatiot[[#This Row],[Korvaukset vuosilta 2010-2023, €]]+Verokompensaatiot[[#This Row],[Veromenetysten korvaus 2024]]+Verokompensaatiot[[#This Row],[Veromenetysten korvaus 2025]]</f>
        <v>499103.15345404856</v>
      </c>
    </row>
    <row r="117" spans="1:6">
      <c r="A117" s="32">
        <v>317</v>
      </c>
      <c r="B117" s="13" t="s">
        <v>124</v>
      </c>
      <c r="C117" s="164">
        <v>594698.73847422237</v>
      </c>
      <c r="D117" s="164">
        <v>2530.8931114943734</v>
      </c>
      <c r="E117" s="164">
        <v>-162246.14112165882</v>
      </c>
      <c r="F117" s="300">
        <f>Verokompensaatiot[[#This Row],[Korvaukset vuosilta 2010-2023, €]]+Verokompensaatiot[[#This Row],[Veromenetysten korvaus 2024]]+Verokompensaatiot[[#This Row],[Veromenetysten korvaus 2025]]</f>
        <v>434983.49046405789</v>
      </c>
    </row>
    <row r="118" spans="1:6">
      <c r="A118" s="32">
        <v>320</v>
      </c>
      <c r="B118" s="13" t="s">
        <v>125</v>
      </c>
      <c r="C118" s="164">
        <v>1333239.8237081533</v>
      </c>
      <c r="D118" s="164">
        <v>585.24565922569718</v>
      </c>
      <c r="E118" s="164">
        <v>-411640.48870797089</v>
      </c>
      <c r="F118" s="300">
        <f>Verokompensaatiot[[#This Row],[Korvaukset vuosilta 2010-2023, €]]+Verokompensaatiot[[#This Row],[Veromenetysten korvaus 2024]]+Verokompensaatiot[[#This Row],[Veromenetysten korvaus 2025]]</f>
        <v>922184.58065940812</v>
      </c>
    </row>
    <row r="119" spans="1:6">
      <c r="A119" s="32">
        <v>322</v>
      </c>
      <c r="B119" s="13" t="s">
        <v>126</v>
      </c>
      <c r="C119" s="164">
        <v>1276403.4791246401</v>
      </c>
      <c r="D119" s="164">
        <v>-11655.337492621484</v>
      </c>
      <c r="E119" s="164">
        <v>-279490.77219374548</v>
      </c>
      <c r="F119" s="300">
        <f>Verokompensaatiot[[#This Row],[Korvaukset vuosilta 2010-2023, €]]+Verokompensaatiot[[#This Row],[Veromenetysten korvaus 2024]]+Verokompensaatiot[[#This Row],[Veromenetysten korvaus 2025]]</f>
        <v>985257.36943827313</v>
      </c>
    </row>
    <row r="120" spans="1:6">
      <c r="A120" s="32">
        <v>398</v>
      </c>
      <c r="B120" s="13" t="s">
        <v>127</v>
      </c>
      <c r="C120" s="164">
        <v>18168313.588099688</v>
      </c>
      <c r="D120" s="164">
        <v>55941.783712439588</v>
      </c>
      <c r="E120" s="164">
        <v>-6887368.6998430239</v>
      </c>
      <c r="F120" s="300">
        <f>Verokompensaatiot[[#This Row],[Korvaukset vuosilta 2010-2023, €]]+Verokompensaatiot[[#This Row],[Veromenetysten korvaus 2024]]+Verokompensaatiot[[#This Row],[Veromenetysten korvaus 2025]]</f>
        <v>11336886.671969105</v>
      </c>
    </row>
    <row r="121" spans="1:6">
      <c r="A121" s="32">
        <v>399</v>
      </c>
      <c r="B121" s="13" t="s">
        <v>128</v>
      </c>
      <c r="C121" s="164">
        <v>1304513.8354180637</v>
      </c>
      <c r="D121" s="164">
        <v>-26726.277443889336</v>
      </c>
      <c r="E121" s="164">
        <v>-598559.18314417254</v>
      </c>
      <c r="F121" s="300">
        <f>Verokompensaatiot[[#This Row],[Korvaukset vuosilta 2010-2023, €]]+Verokompensaatiot[[#This Row],[Veromenetysten korvaus 2024]]+Verokompensaatiot[[#This Row],[Veromenetysten korvaus 2025]]</f>
        <v>679228.37483000185</v>
      </c>
    </row>
    <row r="122" spans="1:6">
      <c r="A122" s="32">
        <v>400</v>
      </c>
      <c r="B122" s="13" t="s">
        <v>129</v>
      </c>
      <c r="C122" s="164">
        <v>1719447.5177456574</v>
      </c>
      <c r="D122" s="164">
        <v>-14883.627261236579</v>
      </c>
      <c r="E122" s="164">
        <v>-560182.40216080914</v>
      </c>
      <c r="F122" s="300">
        <f>Verokompensaatiot[[#This Row],[Korvaukset vuosilta 2010-2023, €]]+Verokompensaatiot[[#This Row],[Veromenetysten korvaus 2024]]+Verokompensaatiot[[#This Row],[Veromenetysten korvaus 2025]]</f>
        <v>1144381.4883236117</v>
      </c>
    </row>
    <row r="123" spans="1:6">
      <c r="A123" s="32">
        <v>402</v>
      </c>
      <c r="B123" s="13" t="s">
        <v>130</v>
      </c>
      <c r="C123" s="164">
        <v>1916903.2441040576</v>
      </c>
      <c r="D123" s="164">
        <v>-21933.384514021083</v>
      </c>
      <c r="E123" s="164">
        <v>-658217.86927738599</v>
      </c>
      <c r="F123" s="300">
        <f>Verokompensaatiot[[#This Row],[Korvaukset vuosilta 2010-2023, €]]+Verokompensaatiot[[#This Row],[Veromenetysten korvaus 2024]]+Verokompensaatiot[[#This Row],[Veromenetysten korvaus 2025]]</f>
        <v>1236751.9903126506</v>
      </c>
    </row>
    <row r="124" spans="1:6">
      <c r="A124" s="32">
        <v>403</v>
      </c>
      <c r="B124" s="13" t="s">
        <v>131</v>
      </c>
      <c r="C124" s="164">
        <v>666115.83031535847</v>
      </c>
      <c r="D124" s="164">
        <v>2059.1615394292821</v>
      </c>
      <c r="E124" s="164">
        <v>-165781.33911777922</v>
      </c>
      <c r="F124" s="300">
        <f>Verokompensaatiot[[#This Row],[Korvaukset vuosilta 2010-2023, €]]+Verokompensaatiot[[#This Row],[Veromenetysten korvaus 2024]]+Verokompensaatiot[[#This Row],[Veromenetysten korvaus 2025]]</f>
        <v>502393.65273700858</v>
      </c>
    </row>
    <row r="125" spans="1:6">
      <c r="A125" s="32">
        <v>405</v>
      </c>
      <c r="B125" s="13" t="s">
        <v>132</v>
      </c>
      <c r="C125" s="164">
        <v>11543595.091604728</v>
      </c>
      <c r="D125" s="164">
        <v>-8570.6138128279563</v>
      </c>
      <c r="E125" s="164">
        <v>-4459128.5399985919</v>
      </c>
      <c r="F125" s="300">
        <f>Verokompensaatiot[[#This Row],[Korvaukset vuosilta 2010-2023, €]]+Verokompensaatiot[[#This Row],[Veromenetysten korvaus 2024]]+Verokompensaatiot[[#This Row],[Veromenetysten korvaus 2025]]</f>
        <v>7075895.9377933079</v>
      </c>
    </row>
    <row r="126" spans="1:6">
      <c r="A126" s="32">
        <v>407</v>
      </c>
      <c r="B126" s="13" t="s">
        <v>133</v>
      </c>
      <c r="C126" s="164">
        <v>646591.11122623389</v>
      </c>
      <c r="D126" s="164">
        <v>-15185.419909886448</v>
      </c>
      <c r="E126" s="164">
        <v>-163665.43585683865</v>
      </c>
      <c r="F126" s="300">
        <f>Verokompensaatiot[[#This Row],[Korvaukset vuosilta 2010-2023, €]]+Verokompensaatiot[[#This Row],[Veromenetysten korvaus 2024]]+Verokompensaatiot[[#This Row],[Veromenetysten korvaus 2025]]</f>
        <v>467740.2554595088</v>
      </c>
    </row>
    <row r="127" spans="1:6">
      <c r="A127" s="32">
        <v>408</v>
      </c>
      <c r="B127" s="13" t="s">
        <v>134</v>
      </c>
      <c r="C127" s="164">
        <v>2563558.6301105171</v>
      </c>
      <c r="D127" s="164">
        <v>-13635.482583164343</v>
      </c>
      <c r="E127" s="164">
        <v>-997351.62615231576</v>
      </c>
      <c r="F127" s="300">
        <f>Verokompensaatiot[[#This Row],[Korvaukset vuosilta 2010-2023, €]]+Verokompensaatiot[[#This Row],[Veromenetysten korvaus 2024]]+Verokompensaatiot[[#This Row],[Veromenetysten korvaus 2025]]</f>
        <v>1552571.5213750373</v>
      </c>
    </row>
    <row r="128" spans="1:6">
      <c r="A128" s="32">
        <v>410</v>
      </c>
      <c r="B128" s="13" t="s">
        <v>135</v>
      </c>
      <c r="C128" s="164">
        <v>2687907.5440148944</v>
      </c>
      <c r="D128" s="164">
        <v>-75178.73120966884</v>
      </c>
      <c r="E128" s="164">
        <v>-1439886.8712773668</v>
      </c>
      <c r="F128" s="300">
        <f>Verokompensaatiot[[#This Row],[Korvaukset vuosilta 2010-2023, €]]+Verokompensaatiot[[#This Row],[Veromenetysten korvaus 2024]]+Verokompensaatiot[[#This Row],[Veromenetysten korvaus 2025]]</f>
        <v>1172841.9415278588</v>
      </c>
    </row>
    <row r="129" spans="1:6">
      <c r="A129" s="32">
        <v>416</v>
      </c>
      <c r="B129" s="13" t="s">
        <v>136</v>
      </c>
      <c r="C129" s="164">
        <v>519339.96942344541</v>
      </c>
      <c r="D129" s="164">
        <v>-15385.331756801676</v>
      </c>
      <c r="E129" s="164">
        <v>-223910.45002521927</v>
      </c>
      <c r="F129" s="300">
        <f>Verokompensaatiot[[#This Row],[Korvaukset vuosilta 2010-2023, €]]+Verokompensaatiot[[#This Row],[Veromenetysten korvaus 2024]]+Verokompensaatiot[[#This Row],[Veromenetysten korvaus 2025]]</f>
        <v>280044.18764142448</v>
      </c>
    </row>
    <row r="130" spans="1:6">
      <c r="A130" s="32">
        <v>418</v>
      </c>
      <c r="B130" s="13" t="s">
        <v>137</v>
      </c>
      <c r="C130" s="164">
        <v>2849189.1177563285</v>
      </c>
      <c r="D130" s="164">
        <v>-50746.312573366748</v>
      </c>
      <c r="E130" s="164">
        <v>-1518810.9302370984</v>
      </c>
      <c r="F130" s="300">
        <f>Verokompensaatiot[[#This Row],[Korvaukset vuosilta 2010-2023, €]]+Verokompensaatiot[[#This Row],[Veromenetysten korvaus 2024]]+Verokompensaatiot[[#This Row],[Veromenetysten korvaus 2025]]</f>
        <v>1279631.8749458634</v>
      </c>
    </row>
    <row r="131" spans="1:6">
      <c r="A131" s="32">
        <v>420</v>
      </c>
      <c r="B131" s="36" t="s">
        <v>138</v>
      </c>
      <c r="C131" s="164">
        <v>1701813.5055073863</v>
      </c>
      <c r="D131" s="164">
        <v>-39407.458802463298</v>
      </c>
      <c r="E131" s="164">
        <v>-543619.24929421267</v>
      </c>
      <c r="F131" s="300">
        <f>Verokompensaatiot[[#This Row],[Korvaukset vuosilta 2010-2023, €]]+Verokompensaatiot[[#This Row],[Veromenetysten korvaus 2024]]+Verokompensaatiot[[#This Row],[Veromenetysten korvaus 2025]]</f>
        <v>1118786.7974107102</v>
      </c>
    </row>
    <row r="132" spans="1:6">
      <c r="A132" s="32">
        <v>421</v>
      </c>
      <c r="B132" s="13" t="s">
        <v>139</v>
      </c>
      <c r="C132" s="164">
        <v>172021.70515941572</v>
      </c>
      <c r="D132" s="164">
        <v>-853.90045146670082</v>
      </c>
      <c r="E132" s="164">
        <v>-42556.328078742219</v>
      </c>
      <c r="F132" s="300">
        <f>Verokompensaatiot[[#This Row],[Korvaukset vuosilta 2010-2023, €]]+Verokompensaatiot[[#This Row],[Veromenetysten korvaus 2024]]+Verokompensaatiot[[#This Row],[Veromenetysten korvaus 2025]]</f>
        <v>128611.47662920679</v>
      </c>
    </row>
    <row r="133" spans="1:6">
      <c r="A133" s="32">
        <v>422</v>
      </c>
      <c r="B133" s="13" t="s">
        <v>140</v>
      </c>
      <c r="C133" s="164">
        <v>2080063.5872202395</v>
      </c>
      <c r="D133" s="164">
        <v>3611.1073542919812</v>
      </c>
      <c r="E133" s="164">
        <v>-513236.15787309298</v>
      </c>
      <c r="F133" s="300">
        <f>Verokompensaatiot[[#This Row],[Korvaukset vuosilta 2010-2023, €]]+Verokompensaatiot[[#This Row],[Veromenetysten korvaus 2024]]+Verokompensaatiot[[#This Row],[Veromenetysten korvaus 2025]]</f>
        <v>1570438.5367014385</v>
      </c>
    </row>
    <row r="134" spans="1:6">
      <c r="A134" s="32">
        <v>423</v>
      </c>
      <c r="B134" s="13" t="s">
        <v>141</v>
      </c>
      <c r="C134" s="164">
        <v>2556494.2962510781</v>
      </c>
      <c r="D134" s="164">
        <v>-58439.409988994579</v>
      </c>
      <c r="E134" s="164">
        <v>-1043351.605783448</v>
      </c>
      <c r="F134" s="300">
        <f>Verokompensaatiot[[#This Row],[Korvaukset vuosilta 2010-2023, €]]+Verokompensaatiot[[#This Row],[Veromenetysten korvaus 2024]]+Verokompensaatiot[[#This Row],[Veromenetysten korvaus 2025]]</f>
        <v>1454703.2804786353</v>
      </c>
    </row>
    <row r="135" spans="1:6">
      <c r="A135" s="301">
        <v>425</v>
      </c>
      <c r="B135" s="13" t="s">
        <v>142</v>
      </c>
      <c r="C135" s="164">
        <v>1174532.8275285391</v>
      </c>
      <c r="D135" s="164">
        <v>-21878.905333113307</v>
      </c>
      <c r="E135" s="164">
        <v>-672912.58534211211</v>
      </c>
      <c r="F135" s="300">
        <f>Verokompensaatiot[[#This Row],[Korvaukset vuosilta 2010-2023, €]]+Verokompensaatiot[[#This Row],[Veromenetysten korvaus 2024]]+Verokompensaatiot[[#This Row],[Veromenetysten korvaus 2025]]</f>
        <v>479741.33685331361</v>
      </c>
    </row>
    <row r="136" spans="1:6">
      <c r="A136" s="32">
        <v>426</v>
      </c>
      <c r="B136" s="13" t="s">
        <v>143</v>
      </c>
      <c r="C136" s="164">
        <v>2102356.0885772733</v>
      </c>
      <c r="D136" s="164">
        <v>-29652.11975363563</v>
      </c>
      <c r="E136" s="164">
        <v>-850914.71585415478</v>
      </c>
      <c r="F136" s="300">
        <f>Verokompensaatiot[[#This Row],[Korvaukset vuosilta 2010-2023, €]]+Verokompensaatiot[[#This Row],[Veromenetysten korvaus 2024]]+Verokompensaatiot[[#This Row],[Veromenetysten korvaus 2025]]</f>
        <v>1221789.2529694829</v>
      </c>
    </row>
    <row r="137" spans="1:6">
      <c r="A137" s="32">
        <v>430</v>
      </c>
      <c r="B137" s="13" t="s">
        <v>144</v>
      </c>
      <c r="C137" s="164">
        <v>3269412.1650267849</v>
      </c>
      <c r="D137" s="164">
        <v>-7391.3179543889637</v>
      </c>
      <c r="E137" s="164">
        <v>-944277.30875900201</v>
      </c>
      <c r="F137" s="300">
        <f>Verokompensaatiot[[#This Row],[Korvaukset vuosilta 2010-2023, €]]+Verokompensaatiot[[#This Row],[Veromenetysten korvaus 2024]]+Verokompensaatiot[[#This Row],[Veromenetysten korvaus 2025]]</f>
        <v>2317743.5383133939</v>
      </c>
    </row>
    <row r="138" spans="1:6">
      <c r="A138" s="32">
        <v>433</v>
      </c>
      <c r="B138" s="13" t="s">
        <v>145</v>
      </c>
      <c r="C138" s="164">
        <v>1451098.149643132</v>
      </c>
      <c r="D138" s="164">
        <v>-47906.995237879455</v>
      </c>
      <c r="E138" s="164">
        <v>-542666.03027920751</v>
      </c>
      <c r="F138" s="300">
        <f>Verokompensaatiot[[#This Row],[Korvaukset vuosilta 2010-2023, €]]+Verokompensaatiot[[#This Row],[Veromenetysten korvaus 2024]]+Verokompensaatiot[[#This Row],[Veromenetysten korvaus 2025]]</f>
        <v>860525.12412604503</v>
      </c>
    </row>
    <row r="139" spans="1:6">
      <c r="A139" s="32">
        <v>434</v>
      </c>
      <c r="B139" s="13" t="s">
        <v>146</v>
      </c>
      <c r="C139" s="164">
        <v>2636959.5445576711</v>
      </c>
      <c r="D139" s="164">
        <v>-54878.757201914239</v>
      </c>
      <c r="E139" s="164">
        <v>-786385.57471454772</v>
      </c>
      <c r="F139" s="300">
        <f>Verokompensaatiot[[#This Row],[Korvaukset vuosilta 2010-2023, €]]+Verokompensaatiot[[#This Row],[Veromenetysten korvaus 2024]]+Verokompensaatiot[[#This Row],[Veromenetysten korvaus 2025]]</f>
        <v>1795695.2126412091</v>
      </c>
    </row>
    <row r="140" spans="1:6">
      <c r="A140" s="32">
        <v>435</v>
      </c>
      <c r="B140" s="13" t="s">
        <v>147</v>
      </c>
      <c r="C140" s="164">
        <v>151925.542487278</v>
      </c>
      <c r="D140" s="164">
        <v>-2150.6495243208856</v>
      </c>
      <c r="E140" s="164">
        <v>-23575.115264236912</v>
      </c>
      <c r="F140" s="300">
        <f>Verokompensaatiot[[#This Row],[Korvaukset vuosilta 2010-2023, €]]+Verokompensaatiot[[#This Row],[Veromenetysten korvaus 2024]]+Verokompensaatiot[[#This Row],[Veromenetysten korvaus 2025]]</f>
        <v>126199.77769872021</v>
      </c>
    </row>
    <row r="141" spans="1:6">
      <c r="A141" s="32">
        <v>436</v>
      </c>
      <c r="B141" s="13" t="s">
        <v>148</v>
      </c>
      <c r="C141" s="164">
        <v>323531.59803770052</v>
      </c>
      <c r="D141" s="164">
        <v>-779.09043938578634</v>
      </c>
      <c r="E141" s="164">
        <v>-127073.75357640408</v>
      </c>
      <c r="F141" s="300">
        <f>Verokompensaatiot[[#This Row],[Korvaukset vuosilta 2010-2023, €]]+Verokompensaatiot[[#This Row],[Veromenetysten korvaus 2024]]+Verokompensaatiot[[#This Row],[Veromenetysten korvaus 2025]]</f>
        <v>195678.75402191066</v>
      </c>
    </row>
    <row r="142" spans="1:6">
      <c r="A142" s="32">
        <v>440</v>
      </c>
      <c r="B142" s="13" t="s">
        <v>149</v>
      </c>
      <c r="C142" s="164">
        <v>755028.9181588958</v>
      </c>
      <c r="D142" s="164">
        <v>3082.2753868955979</v>
      </c>
      <c r="E142" s="164">
        <v>-358681.29079777119</v>
      </c>
      <c r="F142" s="300">
        <f>Verokompensaatiot[[#This Row],[Korvaukset vuosilta 2010-2023, €]]+Verokompensaatiot[[#This Row],[Veromenetysten korvaus 2024]]+Verokompensaatiot[[#This Row],[Veromenetysten korvaus 2025]]</f>
        <v>399429.90274802025</v>
      </c>
    </row>
    <row r="143" spans="1:6">
      <c r="A143" s="32">
        <v>441</v>
      </c>
      <c r="B143" s="13" t="s">
        <v>150</v>
      </c>
      <c r="C143" s="164">
        <v>894431.67918291781</v>
      </c>
      <c r="D143" s="164">
        <v>-18766.248921551349</v>
      </c>
      <c r="E143" s="164">
        <v>-258004.98794179494</v>
      </c>
      <c r="F143" s="300">
        <f>Verokompensaatiot[[#This Row],[Korvaukset vuosilta 2010-2023, €]]+Verokompensaatiot[[#This Row],[Veromenetysten korvaus 2024]]+Verokompensaatiot[[#This Row],[Veromenetysten korvaus 2025]]</f>
        <v>617660.44231957151</v>
      </c>
    </row>
    <row r="144" spans="1:6">
      <c r="A144" s="32">
        <v>444</v>
      </c>
      <c r="B144" s="13" t="s">
        <v>151</v>
      </c>
      <c r="C144" s="164">
        <v>7224175.9161620364</v>
      </c>
      <c r="D144" s="164">
        <v>-200755.5947090371</v>
      </c>
      <c r="E144" s="164">
        <v>-2624771.543478833</v>
      </c>
      <c r="F144" s="300">
        <f>Verokompensaatiot[[#This Row],[Korvaukset vuosilta 2010-2023, €]]+Verokompensaatiot[[#This Row],[Veromenetysten korvaus 2024]]+Verokompensaatiot[[#This Row],[Veromenetysten korvaus 2025]]</f>
        <v>4398648.777974166</v>
      </c>
    </row>
    <row r="145" spans="1:6">
      <c r="A145" s="32">
        <v>445</v>
      </c>
      <c r="B145" s="13" t="s">
        <v>152</v>
      </c>
      <c r="C145" s="164">
        <v>2386424.5004629074</v>
      </c>
      <c r="D145" s="164">
        <v>-27794.871059318764</v>
      </c>
      <c r="E145" s="164">
        <v>-840519.75621793047</v>
      </c>
      <c r="F145" s="300">
        <f>Verokompensaatiot[[#This Row],[Korvaukset vuosilta 2010-2023, €]]+Verokompensaatiot[[#This Row],[Veromenetysten korvaus 2024]]+Verokompensaatiot[[#This Row],[Veromenetysten korvaus 2025]]</f>
        <v>1518109.8731856584</v>
      </c>
    </row>
    <row r="146" spans="1:6">
      <c r="A146" s="32">
        <v>475</v>
      </c>
      <c r="B146" s="13" t="s">
        <v>153</v>
      </c>
      <c r="C146" s="164">
        <v>1105585.6937992242</v>
      </c>
      <c r="D146" s="164">
        <v>-16037.007773504845</v>
      </c>
      <c r="E146" s="164">
        <v>-401570.357757119</v>
      </c>
      <c r="F146" s="300">
        <f>Verokompensaatiot[[#This Row],[Korvaukset vuosilta 2010-2023, €]]+Verokompensaatiot[[#This Row],[Veromenetysten korvaus 2024]]+Verokompensaatiot[[#This Row],[Veromenetysten korvaus 2025]]</f>
        <v>687978.32826860039</v>
      </c>
    </row>
    <row r="147" spans="1:6">
      <c r="A147" s="32">
        <v>480</v>
      </c>
      <c r="B147" s="13" t="s">
        <v>154</v>
      </c>
      <c r="C147" s="164">
        <v>434726.18160574732</v>
      </c>
      <c r="D147" s="164">
        <v>-9697.4929002840217</v>
      </c>
      <c r="E147" s="164">
        <v>-126055.30400896302</v>
      </c>
      <c r="F147" s="300">
        <f>Verokompensaatiot[[#This Row],[Korvaukset vuosilta 2010-2023, €]]+Verokompensaatiot[[#This Row],[Veromenetysten korvaus 2024]]+Verokompensaatiot[[#This Row],[Veromenetysten korvaus 2025]]</f>
        <v>298973.38469650026</v>
      </c>
    </row>
    <row r="148" spans="1:6">
      <c r="A148" s="32">
        <v>481</v>
      </c>
      <c r="B148" s="13" t="s">
        <v>155</v>
      </c>
      <c r="C148" s="164">
        <v>1262495.7103223628</v>
      </c>
      <c r="D148" s="164">
        <v>-52659.810889242472</v>
      </c>
      <c r="E148" s="164">
        <v>-631946.00835037814</v>
      </c>
      <c r="F148" s="300">
        <f>Verokompensaatiot[[#This Row],[Korvaukset vuosilta 2010-2023, €]]+Verokompensaatiot[[#This Row],[Veromenetysten korvaus 2024]]+Verokompensaatiot[[#This Row],[Veromenetysten korvaus 2025]]</f>
        <v>577889.89108274225</v>
      </c>
    </row>
    <row r="149" spans="1:6">
      <c r="A149" s="32">
        <v>483</v>
      </c>
      <c r="B149" s="13" t="s">
        <v>156</v>
      </c>
      <c r="C149" s="164">
        <v>241773.01546562789</v>
      </c>
      <c r="D149" s="164">
        <v>-1837.5395010846091</v>
      </c>
      <c r="E149" s="164">
        <v>-74059.381360288011</v>
      </c>
      <c r="F149" s="300">
        <f>Verokompensaatiot[[#This Row],[Korvaukset vuosilta 2010-2023, €]]+Verokompensaatiot[[#This Row],[Veromenetysten korvaus 2024]]+Verokompensaatiot[[#This Row],[Veromenetysten korvaus 2025]]</f>
        <v>165876.09460425528</v>
      </c>
    </row>
    <row r="150" spans="1:6">
      <c r="A150" s="32">
        <v>484</v>
      </c>
      <c r="B150" s="13" t="s">
        <v>157</v>
      </c>
      <c r="C150" s="164">
        <v>607771.47088380624</v>
      </c>
      <c r="D150" s="164">
        <v>-4137.1949099022768</v>
      </c>
      <c r="E150" s="164">
        <v>-148650.21832827365</v>
      </c>
      <c r="F150" s="300">
        <f>Verokompensaatiot[[#This Row],[Korvaukset vuosilta 2010-2023, €]]+Verokompensaatiot[[#This Row],[Veromenetysten korvaus 2024]]+Verokompensaatiot[[#This Row],[Veromenetysten korvaus 2025]]</f>
        <v>454984.05764563032</v>
      </c>
    </row>
    <row r="151" spans="1:6">
      <c r="A151" s="32">
        <v>489</v>
      </c>
      <c r="B151" s="13" t="s">
        <v>158</v>
      </c>
      <c r="C151" s="164">
        <v>426527.30960735935</v>
      </c>
      <c r="D151" s="164">
        <v>-5361.047714705127</v>
      </c>
      <c r="E151" s="164">
        <v>-93210.074724777776</v>
      </c>
      <c r="F151" s="300">
        <f>Verokompensaatiot[[#This Row],[Korvaukset vuosilta 2010-2023, €]]+Verokompensaatiot[[#This Row],[Veromenetysten korvaus 2024]]+Verokompensaatiot[[#This Row],[Veromenetysten korvaus 2025]]</f>
        <v>327956.18716787646</v>
      </c>
    </row>
    <row r="152" spans="1:6">
      <c r="A152" s="32">
        <v>491</v>
      </c>
      <c r="B152" s="13" t="s">
        <v>159</v>
      </c>
      <c r="C152" s="164">
        <v>8906554.4027713686</v>
      </c>
      <c r="D152" s="164">
        <v>-15286.821555205614</v>
      </c>
      <c r="E152" s="164">
        <v>-3773385.5353679117</v>
      </c>
      <c r="F152" s="300">
        <f>Verokompensaatiot[[#This Row],[Korvaukset vuosilta 2010-2023, €]]+Verokompensaatiot[[#This Row],[Veromenetysten korvaus 2024]]+Verokompensaatiot[[#This Row],[Veromenetysten korvaus 2025]]</f>
        <v>5117882.0458482523</v>
      </c>
    </row>
    <row r="153" spans="1:6">
      <c r="A153" s="32">
        <v>494</v>
      </c>
      <c r="B153" s="13" t="s">
        <v>160</v>
      </c>
      <c r="C153" s="164">
        <v>1357802.8644019193</v>
      </c>
      <c r="D153" s="164">
        <v>-20430.883487994804</v>
      </c>
      <c r="E153" s="164">
        <v>-618756.19691143371</v>
      </c>
      <c r="F153" s="300">
        <f>Verokompensaatiot[[#This Row],[Korvaukset vuosilta 2010-2023, €]]+Verokompensaatiot[[#This Row],[Veromenetysten korvaus 2024]]+Verokompensaatiot[[#This Row],[Veromenetysten korvaus 2025]]</f>
        <v>718615.78400249081</v>
      </c>
    </row>
    <row r="154" spans="1:6">
      <c r="A154" s="32">
        <v>495</v>
      </c>
      <c r="B154" s="13" t="s">
        <v>161</v>
      </c>
      <c r="C154" s="164">
        <v>332971.06142243801</v>
      </c>
      <c r="D154" s="164">
        <v>-4686.876623035384</v>
      </c>
      <c r="E154" s="164">
        <v>-90450.92659048058</v>
      </c>
      <c r="F154" s="300">
        <f>Verokompensaatiot[[#This Row],[Korvaukset vuosilta 2010-2023, €]]+Verokompensaatiot[[#This Row],[Veromenetysten korvaus 2024]]+Verokompensaatiot[[#This Row],[Veromenetysten korvaus 2025]]</f>
        <v>237833.25820892202</v>
      </c>
    </row>
    <row r="155" spans="1:6">
      <c r="A155" s="32">
        <v>498</v>
      </c>
      <c r="B155" s="13" t="s">
        <v>162</v>
      </c>
      <c r="C155" s="164">
        <v>444350.04603458964</v>
      </c>
      <c r="D155" s="164">
        <v>-4769.4856205083097</v>
      </c>
      <c r="E155" s="164">
        <v>-176826.95662348132</v>
      </c>
      <c r="F155" s="300">
        <f>Verokompensaatiot[[#This Row],[Korvaukset vuosilta 2010-2023, €]]+Verokompensaatiot[[#This Row],[Veromenetysten korvaus 2024]]+Verokompensaatiot[[#This Row],[Veromenetysten korvaus 2025]]</f>
        <v>262753.60379059997</v>
      </c>
    </row>
    <row r="156" spans="1:6">
      <c r="A156" s="32">
        <v>499</v>
      </c>
      <c r="B156" s="13" t="s">
        <v>163</v>
      </c>
      <c r="C156" s="164">
        <v>2855979.3655998912</v>
      </c>
      <c r="D156" s="164">
        <v>-31875.361735449093</v>
      </c>
      <c r="E156" s="164">
        <v>-1336683.144864318</v>
      </c>
      <c r="F156" s="300">
        <f>Verokompensaatiot[[#This Row],[Korvaukset vuosilta 2010-2023, €]]+Verokompensaatiot[[#This Row],[Veromenetysten korvaus 2024]]+Verokompensaatiot[[#This Row],[Veromenetysten korvaus 2025]]</f>
        <v>1487420.859000124</v>
      </c>
    </row>
    <row r="157" spans="1:6">
      <c r="A157" s="32">
        <v>500</v>
      </c>
      <c r="B157" s="13" t="s">
        <v>164</v>
      </c>
      <c r="C157" s="164">
        <v>1064618.4075359539</v>
      </c>
      <c r="D157" s="164">
        <v>-31843.846745599138</v>
      </c>
      <c r="E157" s="164">
        <v>-528615.99904882908</v>
      </c>
      <c r="F157" s="300">
        <f>Verokompensaatiot[[#This Row],[Korvaukset vuosilta 2010-2023, €]]+Verokompensaatiot[[#This Row],[Veromenetysten korvaus 2024]]+Verokompensaatiot[[#This Row],[Veromenetysten korvaus 2025]]</f>
        <v>504158.56174152566</v>
      </c>
    </row>
    <row r="158" spans="1:6">
      <c r="A158" s="32">
        <v>503</v>
      </c>
      <c r="B158" s="13" t="s">
        <v>165</v>
      </c>
      <c r="C158" s="164">
        <v>1432956.3497235579</v>
      </c>
      <c r="D158" s="164">
        <v>-44648.210936948133</v>
      </c>
      <c r="E158" s="164">
        <v>-565356.78695681808</v>
      </c>
      <c r="F158" s="300">
        <f>Verokompensaatiot[[#This Row],[Korvaukset vuosilta 2010-2023, €]]+Verokompensaatiot[[#This Row],[Veromenetysten korvaus 2024]]+Verokompensaatiot[[#This Row],[Veromenetysten korvaus 2025]]</f>
        <v>822951.35182979167</v>
      </c>
    </row>
    <row r="159" spans="1:6">
      <c r="A159" s="32">
        <v>504</v>
      </c>
      <c r="B159" s="13" t="s">
        <v>166</v>
      </c>
      <c r="C159" s="164">
        <v>394743.52792224649</v>
      </c>
      <c r="D159" s="164">
        <v>-12790.221832791169</v>
      </c>
      <c r="E159" s="164">
        <v>-141771.19917272788</v>
      </c>
      <c r="F159" s="300">
        <f>Verokompensaatiot[[#This Row],[Korvaukset vuosilta 2010-2023, €]]+Verokompensaatiot[[#This Row],[Veromenetysten korvaus 2024]]+Verokompensaatiot[[#This Row],[Veromenetysten korvaus 2025]]</f>
        <v>240182.10691672744</v>
      </c>
    </row>
    <row r="160" spans="1:6">
      <c r="A160" s="32">
        <v>505</v>
      </c>
      <c r="B160" s="13" t="s">
        <v>167</v>
      </c>
      <c r="C160" s="164">
        <v>3199902.0564645678</v>
      </c>
      <c r="D160" s="164">
        <v>-122787.08451824253</v>
      </c>
      <c r="E160" s="164">
        <v>-1352621.107416861</v>
      </c>
      <c r="F160" s="300">
        <f>Verokompensaatiot[[#This Row],[Korvaukset vuosilta 2010-2023, €]]+Verokompensaatiot[[#This Row],[Veromenetysten korvaus 2024]]+Verokompensaatiot[[#This Row],[Veromenetysten korvaus 2025]]</f>
        <v>1724493.8645294642</v>
      </c>
    </row>
    <row r="161" spans="1:6">
      <c r="A161" s="32">
        <v>507</v>
      </c>
      <c r="B161" s="13" t="s">
        <v>168</v>
      </c>
      <c r="C161" s="164">
        <v>1498470.0555959286</v>
      </c>
      <c r="D161" s="164">
        <v>-11787.65540520819</v>
      </c>
      <c r="E161" s="164">
        <v>-370340.72524213768</v>
      </c>
      <c r="F161" s="300">
        <f>Verokompensaatiot[[#This Row],[Korvaukset vuosilta 2010-2023, €]]+Verokompensaatiot[[#This Row],[Veromenetysten korvaus 2024]]+Verokompensaatiot[[#This Row],[Veromenetysten korvaus 2025]]</f>
        <v>1116341.6749485827</v>
      </c>
    </row>
    <row r="162" spans="1:6">
      <c r="A162" s="32">
        <v>508</v>
      </c>
      <c r="B162" s="13" t="s">
        <v>169</v>
      </c>
      <c r="C162" s="164">
        <v>1678386.8842173759</v>
      </c>
      <c r="D162" s="164">
        <v>-16030.781562754757</v>
      </c>
      <c r="E162" s="164">
        <v>-634041.23555472423</v>
      </c>
      <c r="F162" s="300">
        <f>Verokompensaatiot[[#This Row],[Korvaukset vuosilta 2010-2023, €]]+Verokompensaatiot[[#This Row],[Veromenetysten korvaus 2024]]+Verokompensaatiot[[#This Row],[Veromenetysten korvaus 2025]]</f>
        <v>1028314.867099897</v>
      </c>
    </row>
    <row r="163" spans="1:6">
      <c r="A163" s="32">
        <v>529</v>
      </c>
      <c r="B163" s="13" t="s">
        <v>170</v>
      </c>
      <c r="C163" s="164">
        <v>2330134.0337805543</v>
      </c>
      <c r="D163" s="164">
        <v>-28491.15669390139</v>
      </c>
      <c r="E163" s="164">
        <v>-850448.69426109712</v>
      </c>
      <c r="F163" s="300">
        <f>Verokompensaatiot[[#This Row],[Korvaukset vuosilta 2010-2023, €]]+Verokompensaatiot[[#This Row],[Veromenetysten korvaus 2024]]+Verokompensaatiot[[#This Row],[Veromenetysten korvaus 2025]]</f>
        <v>1451194.1828255558</v>
      </c>
    </row>
    <row r="164" spans="1:6">
      <c r="A164" s="32">
        <v>531</v>
      </c>
      <c r="B164" s="13" t="s">
        <v>171</v>
      </c>
      <c r="C164" s="164">
        <v>894507.61685186625</v>
      </c>
      <c r="D164" s="164">
        <v>-15378.816319427751</v>
      </c>
      <c r="E164" s="164">
        <v>-346426.57096662064</v>
      </c>
      <c r="F164" s="300">
        <f>Verokompensaatiot[[#This Row],[Korvaukset vuosilta 2010-2023, €]]+Verokompensaatiot[[#This Row],[Veromenetysten korvaus 2024]]+Verokompensaatiot[[#This Row],[Veromenetysten korvaus 2025]]</f>
        <v>532702.22956581786</v>
      </c>
    </row>
    <row r="165" spans="1:6">
      <c r="A165" s="32">
        <v>535</v>
      </c>
      <c r="B165" s="13" t="s">
        <v>172</v>
      </c>
      <c r="C165" s="164">
        <v>1996875.6162195159</v>
      </c>
      <c r="D165" s="164">
        <v>18.435731047280569</v>
      </c>
      <c r="E165" s="164">
        <v>-805817.43466072204</v>
      </c>
      <c r="F165" s="300">
        <f>Verokompensaatiot[[#This Row],[Korvaukset vuosilta 2010-2023, €]]+Verokompensaatiot[[#This Row],[Veromenetysten korvaus 2024]]+Verokompensaatiot[[#This Row],[Veromenetysten korvaus 2025]]</f>
        <v>1191076.6172898412</v>
      </c>
    </row>
    <row r="166" spans="1:6">
      <c r="A166" s="32">
        <v>536</v>
      </c>
      <c r="B166" s="13" t="s">
        <v>173</v>
      </c>
      <c r="C166" s="164">
        <v>4319910.8290714007</v>
      </c>
      <c r="D166" s="164">
        <v>-76116.852190959442</v>
      </c>
      <c r="E166" s="164">
        <v>-2259238.0436436241</v>
      </c>
      <c r="F166" s="300">
        <f>Verokompensaatiot[[#This Row],[Korvaukset vuosilta 2010-2023, €]]+Verokompensaatiot[[#This Row],[Veromenetysten korvaus 2024]]+Verokompensaatiot[[#This Row],[Veromenetysten korvaus 2025]]</f>
        <v>1984555.9332368174</v>
      </c>
    </row>
    <row r="167" spans="1:6">
      <c r="A167" s="32">
        <v>538</v>
      </c>
      <c r="B167" s="13" t="s">
        <v>174</v>
      </c>
      <c r="C167" s="164">
        <v>803528.66794922063</v>
      </c>
      <c r="D167" s="164">
        <v>-25039.86487755222</v>
      </c>
      <c r="E167" s="164">
        <v>-353614.78172242601</v>
      </c>
      <c r="F167" s="300">
        <f>Verokompensaatiot[[#This Row],[Korvaukset vuosilta 2010-2023, €]]+Verokompensaatiot[[#This Row],[Veromenetysten korvaus 2024]]+Verokompensaatiot[[#This Row],[Veromenetysten korvaus 2025]]</f>
        <v>424874.02134924236</v>
      </c>
    </row>
    <row r="168" spans="1:6">
      <c r="A168" s="32">
        <v>541</v>
      </c>
      <c r="B168" s="13" t="s">
        <v>175</v>
      </c>
      <c r="C168" s="164">
        <v>2019208.9214752344</v>
      </c>
      <c r="D168" s="164">
        <v>11408.968739092546</v>
      </c>
      <c r="E168" s="164">
        <v>-568595.07183605514</v>
      </c>
      <c r="F168" s="300">
        <f>Verokompensaatiot[[#This Row],[Korvaukset vuosilta 2010-2023, €]]+Verokompensaatiot[[#This Row],[Veromenetysten korvaus 2024]]+Verokompensaatiot[[#This Row],[Veromenetysten korvaus 2025]]</f>
        <v>1462022.818378272</v>
      </c>
    </row>
    <row r="169" spans="1:6">
      <c r="A169" s="32">
        <v>543</v>
      </c>
      <c r="B169" s="13" t="s">
        <v>176</v>
      </c>
      <c r="C169" s="164">
        <v>5312251.0396160055</v>
      </c>
      <c r="D169" s="164">
        <v>-168028.78775858571</v>
      </c>
      <c r="E169" s="164">
        <v>-2487489.6108216261</v>
      </c>
      <c r="F169" s="300">
        <f>Verokompensaatiot[[#This Row],[Korvaukset vuosilta 2010-2023, €]]+Verokompensaatiot[[#This Row],[Veromenetysten korvaus 2024]]+Verokompensaatiot[[#This Row],[Veromenetysten korvaus 2025]]</f>
        <v>2656732.6410357933</v>
      </c>
    </row>
    <row r="170" spans="1:6">
      <c r="A170" s="32">
        <v>545</v>
      </c>
      <c r="B170" s="13" t="s">
        <v>177</v>
      </c>
      <c r="C170" s="164">
        <v>2169459.5671574911</v>
      </c>
      <c r="D170" s="164">
        <v>3930.8259780094231</v>
      </c>
      <c r="E170" s="164">
        <v>-661706.61467812245</v>
      </c>
      <c r="F170" s="300">
        <f>Verokompensaatiot[[#This Row],[Korvaukset vuosilta 2010-2023, €]]+Verokompensaatiot[[#This Row],[Veromenetysten korvaus 2024]]+Verokompensaatiot[[#This Row],[Veromenetysten korvaus 2025]]</f>
        <v>1511683.778457378</v>
      </c>
    </row>
    <row r="171" spans="1:6">
      <c r="A171" s="32">
        <v>560</v>
      </c>
      <c r="B171" s="13" t="s">
        <v>178</v>
      </c>
      <c r="C171" s="164">
        <v>2807763.6069482872</v>
      </c>
      <c r="D171" s="164">
        <v>-55272.018292399785</v>
      </c>
      <c r="E171" s="164">
        <v>-1027219.5364199601</v>
      </c>
      <c r="F171" s="300">
        <f>Verokompensaatiot[[#This Row],[Korvaukset vuosilta 2010-2023, €]]+Verokompensaatiot[[#This Row],[Veromenetysten korvaus 2024]]+Verokompensaatiot[[#This Row],[Veromenetysten korvaus 2025]]</f>
        <v>1725272.0522359274</v>
      </c>
    </row>
    <row r="172" spans="1:6">
      <c r="A172" s="32">
        <v>561</v>
      </c>
      <c r="B172" s="13" t="s">
        <v>179</v>
      </c>
      <c r="C172" s="164">
        <v>342227.01655398041</v>
      </c>
      <c r="D172" s="164">
        <v>-2142.8697999763526</v>
      </c>
      <c r="E172" s="164">
        <v>-83980.070571425895</v>
      </c>
      <c r="F172" s="300">
        <f>Verokompensaatiot[[#This Row],[Korvaukset vuosilta 2010-2023, €]]+Verokompensaatiot[[#This Row],[Veromenetysten korvaus 2024]]+Verokompensaatiot[[#This Row],[Veromenetysten korvaus 2025]]</f>
        <v>256104.07618257817</v>
      </c>
    </row>
    <row r="173" spans="1:6">
      <c r="A173" s="32">
        <v>562</v>
      </c>
      <c r="B173" s="13" t="s">
        <v>180</v>
      </c>
      <c r="C173" s="164">
        <v>1707001.9478384415</v>
      </c>
      <c r="D173" s="164">
        <v>-48276.357160384076</v>
      </c>
      <c r="E173" s="164">
        <v>-598663.32758610649</v>
      </c>
      <c r="F173" s="300">
        <f>Verokompensaatiot[[#This Row],[Korvaukset vuosilta 2010-2023, €]]+Verokompensaatiot[[#This Row],[Veromenetysten korvaus 2024]]+Verokompensaatiot[[#This Row],[Veromenetysten korvaus 2025]]</f>
        <v>1060062.2630919509</v>
      </c>
    </row>
    <row r="174" spans="1:6">
      <c r="A174" s="32">
        <v>563</v>
      </c>
      <c r="B174" s="13" t="s">
        <v>181</v>
      </c>
      <c r="C174" s="164">
        <v>1307424.8951470982</v>
      </c>
      <c r="D174" s="164">
        <v>-10251.256780378637</v>
      </c>
      <c r="E174" s="164">
        <v>-538569.51447258855</v>
      </c>
      <c r="F174" s="300">
        <f>Verokompensaatiot[[#This Row],[Korvaukset vuosilta 2010-2023, €]]+Verokompensaatiot[[#This Row],[Veromenetysten korvaus 2024]]+Verokompensaatiot[[#This Row],[Veromenetysten korvaus 2025]]</f>
        <v>758604.12389413116</v>
      </c>
    </row>
    <row r="175" spans="1:6">
      <c r="A175" s="32">
        <v>564</v>
      </c>
      <c r="B175" s="13" t="s">
        <v>182</v>
      </c>
      <c r="C175" s="164">
        <v>29128493.766056716</v>
      </c>
      <c r="D175" s="164">
        <v>270795.43636430189</v>
      </c>
      <c r="E175" s="164">
        <v>-12283195.748643389</v>
      </c>
      <c r="F175" s="300">
        <f>Verokompensaatiot[[#This Row],[Korvaukset vuosilta 2010-2023, €]]+Verokompensaatiot[[#This Row],[Veromenetysten korvaus 2024]]+Verokompensaatiot[[#This Row],[Veromenetysten korvaus 2025]]</f>
        <v>17116093.453777626</v>
      </c>
    </row>
    <row r="176" spans="1:6">
      <c r="A176" s="32">
        <v>576</v>
      </c>
      <c r="B176" s="13" t="s">
        <v>183</v>
      </c>
      <c r="C176" s="164">
        <v>626308.25840280904</v>
      </c>
      <c r="D176" s="164">
        <v>-10515.611798564159</v>
      </c>
      <c r="E176" s="164">
        <v>-130650.12761243171</v>
      </c>
      <c r="F176" s="300">
        <f>Verokompensaatiot[[#This Row],[Korvaukset vuosilta 2010-2023, €]]+Verokompensaatiot[[#This Row],[Veromenetysten korvaus 2024]]+Verokompensaatiot[[#This Row],[Veromenetysten korvaus 2025]]</f>
        <v>485142.51899181312</v>
      </c>
    </row>
    <row r="177" spans="1:6">
      <c r="A177" s="32">
        <v>577</v>
      </c>
      <c r="B177" s="13" t="s">
        <v>184</v>
      </c>
      <c r="C177" s="164">
        <v>1619753.7953696446</v>
      </c>
      <c r="D177" s="164">
        <v>-46012.36310920972</v>
      </c>
      <c r="E177" s="164">
        <v>-733817.12946324435</v>
      </c>
      <c r="F177" s="300">
        <f>Verokompensaatiot[[#This Row],[Korvaukset vuosilta 2010-2023, €]]+Verokompensaatiot[[#This Row],[Veromenetysten korvaus 2024]]+Verokompensaatiot[[#This Row],[Veromenetysten korvaus 2025]]</f>
        <v>839924.3027971905</v>
      </c>
    </row>
    <row r="178" spans="1:6">
      <c r="A178" s="32">
        <v>578</v>
      </c>
      <c r="B178" s="13" t="s">
        <v>185</v>
      </c>
      <c r="C178" s="164">
        <v>676025.78812674666</v>
      </c>
      <c r="D178" s="164">
        <v>-11829.880050511338</v>
      </c>
      <c r="E178" s="164">
        <v>-200067.34442075956</v>
      </c>
      <c r="F178" s="300">
        <f>Verokompensaatiot[[#This Row],[Korvaukset vuosilta 2010-2023, €]]+Verokompensaatiot[[#This Row],[Veromenetysten korvaus 2024]]+Verokompensaatiot[[#This Row],[Veromenetysten korvaus 2025]]</f>
        <v>464128.56365547574</v>
      </c>
    </row>
    <row r="179" spans="1:6">
      <c r="A179" s="32">
        <v>580</v>
      </c>
      <c r="B179" s="13" t="s">
        <v>186</v>
      </c>
      <c r="C179" s="164">
        <v>1033549.7310828343</v>
      </c>
      <c r="D179" s="164">
        <v>-8083.8061279057129</v>
      </c>
      <c r="E179" s="164">
        <v>-263531.69534431549</v>
      </c>
      <c r="F179" s="300">
        <f>Verokompensaatiot[[#This Row],[Korvaukset vuosilta 2010-2023, €]]+Verokompensaatiot[[#This Row],[Veromenetysten korvaus 2024]]+Verokompensaatiot[[#This Row],[Veromenetysten korvaus 2025]]</f>
        <v>761934.22961061308</v>
      </c>
    </row>
    <row r="180" spans="1:6">
      <c r="A180" s="32">
        <v>581</v>
      </c>
      <c r="B180" s="13" t="s">
        <v>187</v>
      </c>
      <c r="C180" s="164">
        <v>1238202.8315967713</v>
      </c>
      <c r="D180" s="164">
        <v>-13725.337588587807</v>
      </c>
      <c r="E180" s="164">
        <v>-419230.94940207107</v>
      </c>
      <c r="F180" s="300">
        <f>Verokompensaatiot[[#This Row],[Korvaukset vuosilta 2010-2023, €]]+Verokompensaatiot[[#This Row],[Veromenetysten korvaus 2024]]+Verokompensaatiot[[#This Row],[Veromenetysten korvaus 2025]]</f>
        <v>805246.54460611241</v>
      </c>
    </row>
    <row r="181" spans="1:6">
      <c r="A181" s="32">
        <v>583</v>
      </c>
      <c r="B181" s="13" t="s">
        <v>188</v>
      </c>
      <c r="C181" s="164">
        <v>191959.12275273213</v>
      </c>
      <c r="D181" s="164">
        <v>-441.03565210003239</v>
      </c>
      <c r="E181" s="164">
        <v>-60697.965010053107</v>
      </c>
      <c r="F181" s="300">
        <f>Verokompensaatiot[[#This Row],[Korvaukset vuosilta 2010-2023, €]]+Verokompensaatiot[[#This Row],[Veromenetysten korvaus 2024]]+Verokompensaatiot[[#This Row],[Veromenetysten korvaus 2025]]</f>
        <v>130820.12209057901</v>
      </c>
    </row>
    <row r="182" spans="1:6">
      <c r="A182" s="32">
        <v>584</v>
      </c>
      <c r="B182" s="13" t="s">
        <v>189</v>
      </c>
      <c r="C182" s="164">
        <v>544264.87358014286</v>
      </c>
      <c r="D182" s="164">
        <v>3381.729380000952</v>
      </c>
      <c r="E182" s="164">
        <v>-162845.94696495103</v>
      </c>
      <c r="F182" s="300">
        <f>Verokompensaatiot[[#This Row],[Korvaukset vuosilta 2010-2023, €]]+Verokompensaatiot[[#This Row],[Veromenetysten korvaus 2024]]+Verokompensaatiot[[#This Row],[Veromenetysten korvaus 2025]]</f>
        <v>384800.65599519282</v>
      </c>
    </row>
    <row r="183" spans="1:6">
      <c r="A183" s="32">
        <v>592</v>
      </c>
      <c r="B183" s="13" t="s">
        <v>191</v>
      </c>
      <c r="C183" s="164">
        <v>694864.69179638941</v>
      </c>
      <c r="D183" s="164">
        <v>-21109.301594785644</v>
      </c>
      <c r="E183" s="164">
        <v>-278722.72304571583</v>
      </c>
      <c r="F183" s="300">
        <f>Verokompensaatiot[[#This Row],[Korvaukset vuosilta 2010-2023, €]]+Verokompensaatiot[[#This Row],[Veromenetysten korvaus 2024]]+Verokompensaatiot[[#This Row],[Veromenetysten korvaus 2025]]</f>
        <v>395032.66715588793</v>
      </c>
    </row>
    <row r="184" spans="1:6">
      <c r="A184" s="32">
        <v>593</v>
      </c>
      <c r="B184" s="13" t="s">
        <v>192</v>
      </c>
      <c r="C184" s="164">
        <v>3330180.2490723021</v>
      </c>
      <c r="D184" s="164">
        <v>-7996.8048801974837</v>
      </c>
      <c r="E184" s="164">
        <v>-1153437.4298405629</v>
      </c>
      <c r="F184" s="300">
        <f>Verokompensaatiot[[#This Row],[Korvaukset vuosilta 2010-2023, €]]+Verokompensaatiot[[#This Row],[Veromenetysten korvaus 2024]]+Verokompensaatiot[[#This Row],[Veromenetysten korvaus 2025]]</f>
        <v>2168746.0143515416</v>
      </c>
    </row>
    <row r="185" spans="1:6">
      <c r="A185" s="32">
        <v>595</v>
      </c>
      <c r="B185" s="13" t="s">
        <v>193</v>
      </c>
      <c r="C185" s="164">
        <v>972282.43669580948</v>
      </c>
      <c r="D185" s="164">
        <v>-6780.1428213591535</v>
      </c>
      <c r="E185" s="164">
        <v>-223796.03484187124</v>
      </c>
      <c r="F185" s="300">
        <f>Verokompensaatiot[[#This Row],[Korvaukset vuosilta 2010-2023, €]]+Verokompensaatiot[[#This Row],[Veromenetysten korvaus 2024]]+Verokompensaatiot[[#This Row],[Veromenetysten korvaus 2025]]</f>
        <v>741706.25903257914</v>
      </c>
    </row>
    <row r="186" spans="1:6">
      <c r="A186" s="32">
        <v>598</v>
      </c>
      <c r="B186" s="13" t="s">
        <v>194</v>
      </c>
      <c r="C186" s="164">
        <v>3057466.6288290229</v>
      </c>
      <c r="D186" s="164">
        <v>18968.423896229855</v>
      </c>
      <c r="E186" s="164">
        <v>-1345750.4474481617</v>
      </c>
      <c r="F186" s="300">
        <f>Verokompensaatiot[[#This Row],[Korvaukset vuosilta 2010-2023, €]]+Verokompensaatiot[[#This Row],[Veromenetysten korvaus 2024]]+Verokompensaatiot[[#This Row],[Veromenetysten korvaus 2025]]</f>
        <v>1730684.605277091</v>
      </c>
    </row>
    <row r="187" spans="1:6">
      <c r="A187" s="32">
        <v>599</v>
      </c>
      <c r="B187" s="13" t="s">
        <v>195</v>
      </c>
      <c r="C187" s="164">
        <v>2039832.4276491953</v>
      </c>
      <c r="D187" s="164">
        <v>763.41020902849777</v>
      </c>
      <c r="E187" s="164">
        <v>-860918.42916177167</v>
      </c>
      <c r="F187" s="300">
        <f>Verokompensaatiot[[#This Row],[Korvaukset vuosilta 2010-2023, €]]+Verokompensaatiot[[#This Row],[Veromenetysten korvaus 2024]]+Verokompensaatiot[[#This Row],[Veromenetysten korvaus 2025]]</f>
        <v>1179677.4086964522</v>
      </c>
    </row>
    <row r="188" spans="1:6">
      <c r="A188" s="32">
        <v>601</v>
      </c>
      <c r="B188" s="13" t="s">
        <v>196</v>
      </c>
      <c r="C188" s="164">
        <v>858001.98963607987</v>
      </c>
      <c r="D188" s="164">
        <v>-147.54206033757691</v>
      </c>
      <c r="E188" s="164">
        <v>-215197.20033506758</v>
      </c>
      <c r="F188" s="300">
        <f>Verokompensaatiot[[#This Row],[Korvaukset vuosilta 2010-2023, €]]+Verokompensaatiot[[#This Row],[Veromenetysten korvaus 2024]]+Verokompensaatiot[[#This Row],[Veromenetysten korvaus 2025]]</f>
        <v>642657.24724067468</v>
      </c>
    </row>
    <row r="189" spans="1:6">
      <c r="A189" s="32">
        <v>604</v>
      </c>
      <c r="B189" s="13" t="s">
        <v>197</v>
      </c>
      <c r="C189" s="164">
        <v>2135859.3612966966</v>
      </c>
      <c r="D189" s="164">
        <v>-16198.816704595545</v>
      </c>
      <c r="E189" s="164">
        <v>-1186074.979831269</v>
      </c>
      <c r="F189" s="300">
        <f>Verokompensaatiot[[#This Row],[Korvaukset vuosilta 2010-2023, €]]+Verokompensaatiot[[#This Row],[Veromenetysten korvaus 2024]]+Verokompensaatiot[[#This Row],[Veromenetysten korvaus 2025]]</f>
        <v>933585.56476083212</v>
      </c>
    </row>
    <row r="190" spans="1:6">
      <c r="A190" s="32">
        <v>607</v>
      </c>
      <c r="B190" s="13" t="s">
        <v>198</v>
      </c>
      <c r="C190" s="164">
        <v>938647.58690160885</v>
      </c>
      <c r="D190" s="164">
        <v>-5764.2108516378266</v>
      </c>
      <c r="E190" s="164">
        <v>-221207.6868679894</v>
      </c>
      <c r="F190" s="300">
        <f>Verokompensaatiot[[#This Row],[Korvaukset vuosilta 2010-2023, €]]+Verokompensaatiot[[#This Row],[Veromenetysten korvaus 2024]]+Verokompensaatiot[[#This Row],[Veromenetysten korvaus 2025]]</f>
        <v>711675.68918198161</v>
      </c>
    </row>
    <row r="191" spans="1:6">
      <c r="A191" s="32">
        <v>608</v>
      </c>
      <c r="B191" s="13" t="s">
        <v>199</v>
      </c>
      <c r="C191" s="164">
        <v>418388.12446064875</v>
      </c>
      <c r="D191" s="164">
        <v>-5103.6667095825051</v>
      </c>
      <c r="E191" s="164">
        <v>-137980.64022679479</v>
      </c>
      <c r="F191" s="300">
        <f>Verokompensaatiot[[#This Row],[Korvaukset vuosilta 2010-2023, €]]+Verokompensaatiot[[#This Row],[Veromenetysten korvaus 2024]]+Verokompensaatiot[[#This Row],[Veromenetysten korvaus 2025]]</f>
        <v>275303.81752427144</v>
      </c>
    </row>
    <row r="192" spans="1:6">
      <c r="A192" s="32">
        <v>609</v>
      </c>
      <c r="B192" s="13" t="s">
        <v>200</v>
      </c>
      <c r="C192" s="164">
        <v>13537031.482079029</v>
      </c>
      <c r="D192" s="164">
        <v>5330.3636550249103</v>
      </c>
      <c r="E192" s="164">
        <v>-5239483.2475358918</v>
      </c>
      <c r="F192" s="300">
        <f>Verokompensaatiot[[#This Row],[Korvaukset vuosilta 2010-2023, €]]+Verokompensaatiot[[#This Row],[Veromenetysten korvaus 2024]]+Verokompensaatiot[[#This Row],[Veromenetysten korvaus 2025]]</f>
        <v>8302878.5981981624</v>
      </c>
    </row>
    <row r="193" spans="1:6">
      <c r="A193" s="301">
        <v>611</v>
      </c>
      <c r="B193" s="13" t="s">
        <v>201</v>
      </c>
      <c r="C193" s="164">
        <v>758884.41692466103</v>
      </c>
      <c r="D193" s="164">
        <v>-39242.977017067096</v>
      </c>
      <c r="E193" s="164">
        <v>-320611.73378184217</v>
      </c>
      <c r="F193" s="300">
        <f>Verokompensaatiot[[#This Row],[Korvaukset vuosilta 2010-2023, €]]+Verokompensaatiot[[#This Row],[Veromenetysten korvaus 2024]]+Verokompensaatiot[[#This Row],[Veromenetysten korvaus 2025]]</f>
        <v>399029.70612575172</v>
      </c>
    </row>
    <row r="194" spans="1:6">
      <c r="A194" s="32">
        <v>614</v>
      </c>
      <c r="B194" s="13" t="s">
        <v>202</v>
      </c>
      <c r="C194" s="164">
        <v>765773.22457206785</v>
      </c>
      <c r="D194" s="164">
        <v>3227.7093184630639</v>
      </c>
      <c r="E194" s="164">
        <v>-164996.9487985216</v>
      </c>
      <c r="F194" s="300">
        <f>Verokompensaatiot[[#This Row],[Korvaukset vuosilta 2010-2023, €]]+Verokompensaatiot[[#This Row],[Veromenetysten korvaus 2024]]+Verokompensaatiot[[#This Row],[Veromenetysten korvaus 2025]]</f>
        <v>604003.98509200942</v>
      </c>
    </row>
    <row r="195" spans="1:6">
      <c r="A195" s="32">
        <v>615</v>
      </c>
      <c r="B195" s="13" t="s">
        <v>203</v>
      </c>
      <c r="C195" s="164">
        <v>1559906.3044823692</v>
      </c>
      <c r="D195" s="164">
        <v>-2839.2779425589997</v>
      </c>
      <c r="E195" s="164">
        <v>-444443.75186507095</v>
      </c>
      <c r="F195" s="300">
        <f>Verokompensaatiot[[#This Row],[Korvaukset vuosilta 2010-2023, €]]+Verokompensaatiot[[#This Row],[Veromenetysten korvaus 2024]]+Verokompensaatiot[[#This Row],[Veromenetysten korvaus 2025]]</f>
        <v>1112623.2746747392</v>
      </c>
    </row>
    <row r="196" spans="1:6">
      <c r="A196" s="32">
        <v>616</v>
      </c>
      <c r="B196" s="13" t="s">
        <v>204</v>
      </c>
      <c r="C196" s="164">
        <v>391264.80938673951</v>
      </c>
      <c r="D196" s="164">
        <v>-11116.095694455018</v>
      </c>
      <c r="E196" s="164">
        <v>-126555.76161642658</v>
      </c>
      <c r="F196" s="300">
        <f>Verokompensaatiot[[#This Row],[Korvaukset vuosilta 2010-2023, €]]+Verokompensaatiot[[#This Row],[Veromenetysten korvaus 2024]]+Verokompensaatiot[[#This Row],[Veromenetysten korvaus 2025]]</f>
        <v>253592.9520758579</v>
      </c>
    </row>
    <row r="197" spans="1:6">
      <c r="A197" s="32">
        <v>619</v>
      </c>
      <c r="B197" s="13" t="s">
        <v>205</v>
      </c>
      <c r="C197" s="164">
        <v>692332.35488204192</v>
      </c>
      <c r="D197" s="164">
        <v>-3520.836632194194</v>
      </c>
      <c r="E197" s="164">
        <v>-150458.888442558</v>
      </c>
      <c r="F197" s="300">
        <f>Verokompensaatiot[[#This Row],[Korvaukset vuosilta 2010-2023, €]]+Verokompensaatiot[[#This Row],[Veromenetysten korvaus 2024]]+Verokompensaatiot[[#This Row],[Veromenetysten korvaus 2025]]</f>
        <v>538352.62980728969</v>
      </c>
    </row>
    <row r="198" spans="1:6">
      <c r="A198" s="32">
        <v>620</v>
      </c>
      <c r="B198" s="13" t="s">
        <v>206</v>
      </c>
      <c r="C198" s="164">
        <v>592880.19126909296</v>
      </c>
      <c r="D198" s="164">
        <v>-1875.5753370449092</v>
      </c>
      <c r="E198" s="164">
        <v>-117296.39075136482</v>
      </c>
      <c r="F198" s="300">
        <f>Verokompensaatiot[[#This Row],[Korvaukset vuosilta 2010-2023, €]]+Verokompensaatiot[[#This Row],[Veromenetysten korvaus 2024]]+Verokompensaatiot[[#This Row],[Veromenetysten korvaus 2025]]</f>
        <v>473708.22518068325</v>
      </c>
    </row>
    <row r="199" spans="1:6">
      <c r="A199" s="32">
        <v>623</v>
      </c>
      <c r="B199" s="13" t="s">
        <v>207</v>
      </c>
      <c r="C199" s="164">
        <v>477548.71115935524</v>
      </c>
      <c r="D199" s="164">
        <v>-3011.6420900786516</v>
      </c>
      <c r="E199" s="164">
        <v>-77514.934526289435</v>
      </c>
      <c r="F199" s="300">
        <f>Verokompensaatiot[[#This Row],[Korvaukset vuosilta 2010-2023, €]]+Verokompensaatiot[[#This Row],[Veromenetysten korvaus 2024]]+Verokompensaatiot[[#This Row],[Veromenetysten korvaus 2025]]</f>
        <v>397022.1345429871</v>
      </c>
    </row>
    <row r="200" spans="1:6">
      <c r="A200" s="32">
        <v>624</v>
      </c>
      <c r="B200" s="13" t="s">
        <v>208</v>
      </c>
      <c r="C200" s="164">
        <v>739756.86131195817</v>
      </c>
      <c r="D200" s="164">
        <v>-25112.735155243034</v>
      </c>
      <c r="E200" s="164">
        <v>-284363.46786022739</v>
      </c>
      <c r="F200" s="300">
        <f>Verokompensaatiot[[#This Row],[Korvaukset vuosilta 2010-2023, €]]+Verokompensaatiot[[#This Row],[Veromenetysten korvaus 2024]]+Verokompensaatiot[[#This Row],[Veromenetysten korvaus 2025]]</f>
        <v>430280.6582964877</v>
      </c>
    </row>
    <row r="201" spans="1:6">
      <c r="A201" s="32">
        <v>625</v>
      </c>
      <c r="B201" s="13" t="s">
        <v>209</v>
      </c>
      <c r="C201" s="164">
        <v>563298.79902610555</v>
      </c>
      <c r="D201" s="164">
        <v>-6041.3908384857286</v>
      </c>
      <c r="E201" s="164">
        <v>-167826.70045613157</v>
      </c>
      <c r="F201" s="300">
        <f>Verokompensaatiot[[#This Row],[Korvaukset vuosilta 2010-2023, €]]+Verokompensaatiot[[#This Row],[Veromenetysten korvaus 2024]]+Verokompensaatiot[[#This Row],[Veromenetysten korvaus 2025]]</f>
        <v>389430.70773148828</v>
      </c>
    </row>
    <row r="202" spans="1:6">
      <c r="A202" s="32">
        <v>626</v>
      </c>
      <c r="B202" s="13" t="s">
        <v>210</v>
      </c>
      <c r="C202" s="164">
        <v>958856.20401978446</v>
      </c>
      <c r="D202" s="164">
        <v>-913.8016317605834</v>
      </c>
      <c r="E202" s="164">
        <v>-272081.03792137344</v>
      </c>
      <c r="F202" s="300">
        <f>Verokompensaatiot[[#This Row],[Korvaukset vuosilta 2010-2023, €]]+Verokompensaatiot[[#This Row],[Veromenetysten korvaus 2024]]+Verokompensaatiot[[#This Row],[Veromenetysten korvaus 2025]]</f>
        <v>685861.36446665041</v>
      </c>
    </row>
    <row r="203" spans="1:6">
      <c r="A203" s="32">
        <v>630</v>
      </c>
      <c r="B203" s="13" t="s">
        <v>211</v>
      </c>
      <c r="C203" s="164">
        <v>293457.79005564051</v>
      </c>
      <c r="D203" s="164">
        <v>1582.1644145842192</v>
      </c>
      <c r="E203" s="164">
        <v>-102154.16653783497</v>
      </c>
      <c r="F203" s="300">
        <f>Verokompensaatiot[[#This Row],[Korvaukset vuosilta 2010-2023, €]]+Verokompensaatiot[[#This Row],[Veromenetysten korvaus 2024]]+Verokompensaatiot[[#This Row],[Veromenetysten korvaus 2025]]</f>
        <v>192885.78793238977</v>
      </c>
    </row>
    <row r="204" spans="1:6">
      <c r="A204" s="32">
        <v>631</v>
      </c>
      <c r="B204" s="13" t="s">
        <v>212</v>
      </c>
      <c r="C204" s="164">
        <v>344417.13611322758</v>
      </c>
      <c r="D204" s="164">
        <v>-11167.013262571138</v>
      </c>
      <c r="E204" s="164">
        <v>-142512.27486449742</v>
      </c>
      <c r="F204" s="300">
        <f>Verokompensaatiot[[#This Row],[Korvaukset vuosilta 2010-2023, €]]+Verokompensaatiot[[#This Row],[Veromenetysten korvaus 2024]]+Verokompensaatiot[[#This Row],[Veromenetysten korvaus 2025]]</f>
        <v>190737.84798615903</v>
      </c>
    </row>
    <row r="205" spans="1:6">
      <c r="A205" s="32">
        <v>635</v>
      </c>
      <c r="B205" s="13" t="s">
        <v>213</v>
      </c>
      <c r="C205" s="164">
        <v>1272187.3641265314</v>
      </c>
      <c r="D205" s="164">
        <v>-33444.399860024489</v>
      </c>
      <c r="E205" s="164">
        <v>-416758.90319640568</v>
      </c>
      <c r="F205" s="300">
        <f>Verokompensaatiot[[#This Row],[Korvaukset vuosilta 2010-2023, €]]+Verokompensaatiot[[#This Row],[Veromenetysten korvaus 2024]]+Verokompensaatiot[[#This Row],[Veromenetysten korvaus 2025]]</f>
        <v>821984.06107010134</v>
      </c>
    </row>
    <row r="206" spans="1:6">
      <c r="A206" s="32">
        <v>636</v>
      </c>
      <c r="B206" s="13" t="s">
        <v>214</v>
      </c>
      <c r="C206" s="164">
        <v>1772192.3552646744</v>
      </c>
      <c r="D206" s="164">
        <v>-33709.773266676566</v>
      </c>
      <c r="E206" s="164">
        <v>-538968.42039364891</v>
      </c>
      <c r="F206" s="300">
        <f>Verokompensaatiot[[#This Row],[Korvaukset vuosilta 2010-2023, €]]+Verokompensaatiot[[#This Row],[Veromenetysten korvaus 2024]]+Verokompensaatiot[[#This Row],[Veromenetysten korvaus 2025]]</f>
        <v>1199514.161604349</v>
      </c>
    </row>
    <row r="207" spans="1:6">
      <c r="A207" s="32">
        <v>638</v>
      </c>
      <c r="B207" s="13" t="s">
        <v>215</v>
      </c>
      <c r="C207" s="164">
        <v>7464233.6631018911</v>
      </c>
      <c r="D207" s="164">
        <v>-139313.11942067801</v>
      </c>
      <c r="E207" s="164">
        <v>-2559868.3176723532</v>
      </c>
      <c r="F207" s="300">
        <f>Verokompensaatiot[[#This Row],[Korvaukset vuosilta 2010-2023, €]]+Verokompensaatiot[[#This Row],[Veromenetysten korvaus 2024]]+Verokompensaatiot[[#This Row],[Veromenetysten korvaus 2025]]</f>
        <v>4765052.2260088595</v>
      </c>
    </row>
    <row r="208" spans="1:6">
      <c r="A208" s="32">
        <v>678</v>
      </c>
      <c r="B208" s="13" t="s">
        <v>216</v>
      </c>
      <c r="C208" s="164">
        <v>3472366.0037305513</v>
      </c>
      <c r="D208" s="164">
        <v>-17280.547611528971</v>
      </c>
      <c r="E208" s="164">
        <v>-1500087.1561062774</v>
      </c>
      <c r="F208" s="300">
        <f>Verokompensaatiot[[#This Row],[Korvaukset vuosilta 2010-2023, €]]+Verokompensaatiot[[#This Row],[Veromenetysten korvaus 2024]]+Verokompensaatiot[[#This Row],[Veromenetysten korvaus 2025]]</f>
        <v>1954998.300012745</v>
      </c>
    </row>
    <row r="209" spans="1:6">
      <c r="A209" s="32">
        <v>680</v>
      </c>
      <c r="B209" s="13" t="s">
        <v>217</v>
      </c>
      <c r="C209" s="164">
        <v>3437295.6144646946</v>
      </c>
      <c r="D209" s="164">
        <v>-8876.3631779418429</v>
      </c>
      <c r="E209" s="164">
        <v>-1510204.8043940458</v>
      </c>
      <c r="F209" s="300">
        <f>Verokompensaatiot[[#This Row],[Korvaukset vuosilta 2010-2023, €]]+Verokompensaatiot[[#This Row],[Veromenetysten korvaus 2024]]+Verokompensaatiot[[#This Row],[Veromenetysten korvaus 2025]]</f>
        <v>1918214.4468927071</v>
      </c>
    </row>
    <row r="210" spans="1:6">
      <c r="A210" s="32">
        <v>681</v>
      </c>
      <c r="B210" s="13" t="s">
        <v>218</v>
      </c>
      <c r="C210" s="164">
        <v>805669.3802147815</v>
      </c>
      <c r="D210" s="164">
        <v>-3647.2257864315234</v>
      </c>
      <c r="E210" s="164">
        <v>-205412.21541264307</v>
      </c>
      <c r="F210" s="300">
        <f>Verokompensaatiot[[#This Row],[Korvaukset vuosilta 2010-2023, €]]+Verokompensaatiot[[#This Row],[Veromenetysten korvaus 2024]]+Verokompensaatiot[[#This Row],[Veromenetysten korvaus 2025]]</f>
        <v>596609.93901570688</v>
      </c>
    </row>
    <row r="211" spans="1:6">
      <c r="A211" s="32">
        <v>683</v>
      </c>
      <c r="B211" s="13" t="s">
        <v>219</v>
      </c>
      <c r="C211" s="164">
        <v>759963.97848509136</v>
      </c>
      <c r="D211" s="164">
        <v>2195.8263855824698</v>
      </c>
      <c r="E211" s="164">
        <v>-138035.27892804085</v>
      </c>
      <c r="F211" s="300">
        <f>Verokompensaatiot[[#This Row],[Korvaukset vuosilta 2010-2023, €]]+Verokompensaatiot[[#This Row],[Veromenetysten korvaus 2024]]+Verokompensaatiot[[#This Row],[Veromenetysten korvaus 2025]]</f>
        <v>624124.52594263293</v>
      </c>
    </row>
    <row r="212" spans="1:6">
      <c r="A212" s="32">
        <v>684</v>
      </c>
      <c r="B212" s="13" t="s">
        <v>220</v>
      </c>
      <c r="C212" s="164">
        <v>7040812.967825627</v>
      </c>
      <c r="D212" s="164">
        <v>-46326.868723353313</v>
      </c>
      <c r="E212" s="164">
        <v>-2272410.6182920584</v>
      </c>
      <c r="F212" s="300">
        <f>Verokompensaatiot[[#This Row],[Korvaukset vuosilta 2010-2023, €]]+Verokompensaatiot[[#This Row],[Veromenetysten korvaus 2024]]+Verokompensaatiot[[#This Row],[Veromenetysten korvaus 2025]]</f>
        <v>4722075.4808102157</v>
      </c>
    </row>
    <row r="213" spans="1:6">
      <c r="A213" s="32">
        <v>686</v>
      </c>
      <c r="B213" s="13" t="s">
        <v>221</v>
      </c>
      <c r="C213" s="164">
        <v>672707.59369978006</v>
      </c>
      <c r="D213" s="164">
        <v>-5763.5498863852827</v>
      </c>
      <c r="E213" s="164">
        <v>-198166.6113702213</v>
      </c>
      <c r="F213" s="300">
        <f>Verokompensaatiot[[#This Row],[Korvaukset vuosilta 2010-2023, €]]+Verokompensaatiot[[#This Row],[Veromenetysten korvaus 2024]]+Verokompensaatiot[[#This Row],[Veromenetysten korvaus 2025]]</f>
        <v>468777.43244317343</v>
      </c>
    </row>
    <row r="214" spans="1:6">
      <c r="A214" s="32">
        <v>687</v>
      </c>
      <c r="B214" s="13" t="s">
        <v>222</v>
      </c>
      <c r="C214" s="164">
        <v>376032.70872593054</v>
      </c>
      <c r="D214" s="164">
        <v>997.98261103500727</v>
      </c>
      <c r="E214" s="164">
        <v>-78319.316487466407</v>
      </c>
      <c r="F214" s="300">
        <f>Verokompensaatiot[[#This Row],[Korvaukset vuosilta 2010-2023, €]]+Verokompensaatiot[[#This Row],[Veromenetysten korvaus 2024]]+Verokompensaatiot[[#This Row],[Veromenetysten korvaus 2025]]</f>
        <v>298711.37484949915</v>
      </c>
    </row>
    <row r="215" spans="1:6">
      <c r="A215" s="32">
        <v>689</v>
      </c>
      <c r="B215" s="13" t="s">
        <v>223</v>
      </c>
      <c r="C215" s="164">
        <v>595411.99035538943</v>
      </c>
      <c r="D215" s="164">
        <v>-6980.7495428664679</v>
      </c>
      <c r="E215" s="164">
        <v>-132886.94684052636</v>
      </c>
      <c r="F215" s="300">
        <f>Verokompensaatiot[[#This Row],[Korvaukset vuosilta 2010-2023, €]]+Verokompensaatiot[[#This Row],[Veromenetysten korvaus 2024]]+Verokompensaatiot[[#This Row],[Veromenetysten korvaus 2025]]</f>
        <v>455544.29397199658</v>
      </c>
    </row>
    <row r="216" spans="1:6">
      <c r="A216" s="32">
        <v>691</v>
      </c>
      <c r="B216" s="13" t="s">
        <v>224</v>
      </c>
      <c r="C216" s="164">
        <v>640960.05842737365</v>
      </c>
      <c r="D216" s="164">
        <v>889.16465889832762</v>
      </c>
      <c r="E216" s="164">
        <v>-183593.42524559205</v>
      </c>
      <c r="F216" s="300">
        <f>Verokompensaatiot[[#This Row],[Korvaukset vuosilta 2010-2023, €]]+Verokompensaatiot[[#This Row],[Veromenetysten korvaus 2024]]+Verokompensaatiot[[#This Row],[Veromenetysten korvaus 2025]]</f>
        <v>458255.79784068</v>
      </c>
    </row>
    <row r="217" spans="1:6">
      <c r="A217" s="32">
        <v>694</v>
      </c>
      <c r="B217" s="13" t="s">
        <v>225</v>
      </c>
      <c r="C217" s="164">
        <v>4328850.2716077119</v>
      </c>
      <c r="D217" s="164">
        <v>-65207.639687632676</v>
      </c>
      <c r="E217" s="164">
        <v>-1714135.41863124</v>
      </c>
      <c r="F217" s="300">
        <f>Verokompensaatiot[[#This Row],[Korvaukset vuosilta 2010-2023, €]]+Verokompensaatiot[[#This Row],[Veromenetysten korvaus 2024]]+Verokompensaatiot[[#This Row],[Veromenetysten korvaus 2025]]</f>
        <v>2549507.213288839</v>
      </c>
    </row>
    <row r="218" spans="1:6">
      <c r="A218" s="32">
        <v>697</v>
      </c>
      <c r="B218" s="13" t="s">
        <v>226</v>
      </c>
      <c r="C218" s="164">
        <v>294418.19818171416</v>
      </c>
      <c r="D218" s="164">
        <v>-4717.5566931582398</v>
      </c>
      <c r="E218" s="164">
        <v>-71461.583779181616</v>
      </c>
      <c r="F218" s="300">
        <f>Verokompensaatiot[[#This Row],[Korvaukset vuosilta 2010-2023, €]]+Verokompensaatiot[[#This Row],[Veromenetysten korvaus 2024]]+Verokompensaatiot[[#This Row],[Veromenetysten korvaus 2025]]</f>
        <v>218239.05770937432</v>
      </c>
    </row>
    <row r="219" spans="1:6">
      <c r="A219" s="32">
        <v>698</v>
      </c>
      <c r="B219" s="13" t="s">
        <v>227</v>
      </c>
      <c r="C219" s="164">
        <v>9602704.4680333622</v>
      </c>
      <c r="D219" s="164">
        <v>61591.119052694317</v>
      </c>
      <c r="E219" s="164">
        <v>-4712489.2592264414</v>
      </c>
      <c r="F219" s="300">
        <f>Verokompensaatiot[[#This Row],[Korvaukset vuosilta 2010-2023, €]]+Verokompensaatiot[[#This Row],[Veromenetysten korvaus 2024]]+Verokompensaatiot[[#This Row],[Veromenetysten korvaus 2025]]</f>
        <v>4951806.3278596159</v>
      </c>
    </row>
    <row r="220" spans="1:6">
      <c r="A220" s="32">
        <v>700</v>
      </c>
      <c r="B220" s="13" t="s">
        <v>228</v>
      </c>
      <c r="C220" s="164">
        <v>815623.78408988658</v>
      </c>
      <c r="D220" s="164">
        <v>-25084.569847599741</v>
      </c>
      <c r="E220" s="164">
        <v>-260032.80416820614</v>
      </c>
      <c r="F220" s="300">
        <f>Verokompensaatiot[[#This Row],[Korvaukset vuosilta 2010-2023, €]]+Verokompensaatiot[[#This Row],[Veromenetysten korvaus 2024]]+Verokompensaatiot[[#This Row],[Veromenetysten korvaus 2025]]</f>
        <v>530506.41007408069</v>
      </c>
    </row>
    <row r="221" spans="1:6">
      <c r="A221" s="32">
        <v>702</v>
      </c>
      <c r="B221" s="13" t="s">
        <v>229</v>
      </c>
      <c r="C221" s="164">
        <v>910151.59470414324</v>
      </c>
      <c r="D221" s="164">
        <v>-12482.508347875468</v>
      </c>
      <c r="E221" s="164">
        <v>-252355.04569357182</v>
      </c>
      <c r="F221" s="300">
        <f>Verokompensaatiot[[#This Row],[Korvaukset vuosilta 2010-2023, €]]+Verokompensaatiot[[#This Row],[Veromenetysten korvaus 2024]]+Verokompensaatiot[[#This Row],[Veromenetysten korvaus 2025]]</f>
        <v>645314.040662696</v>
      </c>
    </row>
    <row r="222" spans="1:6">
      <c r="A222" s="32">
        <v>704</v>
      </c>
      <c r="B222" s="13" t="s">
        <v>230</v>
      </c>
      <c r="C222" s="164">
        <v>871842.56580709014</v>
      </c>
      <c r="D222" s="164">
        <v>-24726.130465027702</v>
      </c>
      <c r="E222" s="164">
        <v>-355119.38255484856</v>
      </c>
      <c r="F222" s="300">
        <f>Verokompensaatiot[[#This Row],[Korvaukset vuosilta 2010-2023, €]]+Verokompensaatiot[[#This Row],[Veromenetysten korvaus 2024]]+Verokompensaatiot[[#This Row],[Veromenetysten korvaus 2025]]</f>
        <v>491997.05278721394</v>
      </c>
    </row>
    <row r="223" spans="1:6">
      <c r="A223" s="32">
        <v>707</v>
      </c>
      <c r="B223" s="13" t="s">
        <v>231</v>
      </c>
      <c r="C223" s="164">
        <v>524427.44226363301</v>
      </c>
      <c r="D223" s="164">
        <v>-44.61667030094759</v>
      </c>
      <c r="E223" s="164">
        <v>-94640.145758959319</v>
      </c>
      <c r="F223" s="300">
        <f>Verokompensaatiot[[#This Row],[Korvaukset vuosilta 2010-2023, €]]+Verokompensaatiot[[#This Row],[Veromenetysten korvaus 2024]]+Verokompensaatiot[[#This Row],[Veromenetysten korvaus 2025]]</f>
        <v>429742.67983437271</v>
      </c>
    </row>
    <row r="224" spans="1:6">
      <c r="A224" s="32">
        <v>710</v>
      </c>
      <c r="B224" s="13" t="s">
        <v>232</v>
      </c>
      <c r="C224" s="164">
        <v>4902020.8825135343</v>
      </c>
      <c r="D224" s="164">
        <v>-93203.810375645218</v>
      </c>
      <c r="E224" s="164">
        <v>-1926449.9830202295</v>
      </c>
      <c r="F224" s="300">
        <f>Verokompensaatiot[[#This Row],[Korvaukset vuosilta 2010-2023, €]]+Verokompensaatiot[[#This Row],[Veromenetysten korvaus 2024]]+Verokompensaatiot[[#This Row],[Veromenetysten korvaus 2025]]</f>
        <v>2882367.0891176602</v>
      </c>
    </row>
    <row r="225" spans="1:6">
      <c r="A225" s="32">
        <v>729</v>
      </c>
      <c r="B225" s="13" t="s">
        <v>233</v>
      </c>
      <c r="C225" s="164">
        <v>1905196.3208219288</v>
      </c>
      <c r="D225" s="164">
        <v>-22058.211785798332</v>
      </c>
      <c r="E225" s="164">
        <v>-553722.24776395026</v>
      </c>
      <c r="F225" s="300">
        <f>Verokompensaatiot[[#This Row],[Korvaukset vuosilta 2010-2023, €]]+Verokompensaatiot[[#This Row],[Veromenetysten korvaus 2024]]+Verokompensaatiot[[#This Row],[Veromenetysten korvaus 2025]]</f>
        <v>1329415.86127218</v>
      </c>
    </row>
    <row r="226" spans="1:6">
      <c r="A226" s="32">
        <v>732</v>
      </c>
      <c r="B226" s="13" t="s">
        <v>234</v>
      </c>
      <c r="C226" s="164">
        <v>755675.73850250035</v>
      </c>
      <c r="D226" s="164">
        <v>1465.7189432671148</v>
      </c>
      <c r="E226" s="164">
        <v>-182231.75031742232</v>
      </c>
      <c r="F226" s="300">
        <f>Verokompensaatiot[[#This Row],[Korvaukset vuosilta 2010-2023, €]]+Verokompensaatiot[[#This Row],[Veromenetysten korvaus 2024]]+Verokompensaatiot[[#This Row],[Veromenetysten korvaus 2025]]</f>
        <v>574909.70712834515</v>
      </c>
    </row>
    <row r="227" spans="1:6">
      <c r="A227" s="32">
        <v>734</v>
      </c>
      <c r="B227" s="13" t="s">
        <v>235</v>
      </c>
      <c r="C227" s="164">
        <v>9273826.570309896</v>
      </c>
      <c r="D227" s="164">
        <v>-140622.93085031488</v>
      </c>
      <c r="E227" s="164">
        <v>-3069170.1082269107</v>
      </c>
      <c r="F227" s="300">
        <f>Verokompensaatiot[[#This Row],[Korvaukset vuosilta 2010-2023, €]]+Verokompensaatiot[[#This Row],[Veromenetysten korvaus 2024]]+Verokompensaatiot[[#This Row],[Veromenetysten korvaus 2025]]</f>
        <v>6064033.5312326718</v>
      </c>
    </row>
    <row r="228" spans="1:6">
      <c r="A228" s="32">
        <v>738</v>
      </c>
      <c r="B228" s="13" t="s">
        <v>236</v>
      </c>
      <c r="C228" s="164">
        <v>584899.15882966924</v>
      </c>
      <c r="D228" s="164">
        <v>-15128.506439010893</v>
      </c>
      <c r="E228" s="164">
        <v>-197017.10266478988</v>
      </c>
      <c r="F228" s="300">
        <f>Verokompensaatiot[[#This Row],[Korvaukset vuosilta 2010-2023, €]]+Verokompensaatiot[[#This Row],[Veromenetysten korvaus 2024]]+Verokompensaatiot[[#This Row],[Veromenetysten korvaus 2025]]</f>
        <v>372753.54972586851</v>
      </c>
    </row>
    <row r="229" spans="1:6">
      <c r="A229" s="32">
        <v>739</v>
      </c>
      <c r="B229" s="13" t="s">
        <v>237</v>
      </c>
      <c r="C229" s="164">
        <v>719684.4299765157</v>
      </c>
      <c r="D229" s="164">
        <v>-15399.730164890145</v>
      </c>
      <c r="E229" s="164">
        <v>-179052.10401449315</v>
      </c>
      <c r="F229" s="300">
        <f>Verokompensaatiot[[#This Row],[Korvaukset vuosilta 2010-2023, €]]+Verokompensaatiot[[#This Row],[Veromenetysten korvaus 2024]]+Verokompensaatiot[[#This Row],[Veromenetysten korvaus 2025]]</f>
        <v>525232.59579713235</v>
      </c>
    </row>
    <row r="230" spans="1:6">
      <c r="A230" s="32">
        <v>740</v>
      </c>
      <c r="B230" s="13" t="s">
        <v>238</v>
      </c>
      <c r="C230" s="164">
        <v>6155499.2061898317</v>
      </c>
      <c r="D230" s="164">
        <v>-3462.5217500497383</v>
      </c>
      <c r="E230" s="164">
        <v>-2165636.9388432801</v>
      </c>
      <c r="F230" s="300">
        <f>Verokompensaatiot[[#This Row],[Korvaukset vuosilta 2010-2023, €]]+Verokompensaatiot[[#This Row],[Veromenetysten korvaus 2024]]+Verokompensaatiot[[#This Row],[Veromenetysten korvaus 2025]]</f>
        <v>3986399.745596502</v>
      </c>
    </row>
    <row r="231" spans="1:6">
      <c r="A231" s="32">
        <v>742</v>
      </c>
      <c r="B231" s="13" t="s">
        <v>239</v>
      </c>
      <c r="C231" s="164">
        <v>225038.02043149644</v>
      </c>
      <c r="D231" s="164">
        <v>2775.6352535470601</v>
      </c>
      <c r="E231" s="164">
        <v>-59515.237519362629</v>
      </c>
      <c r="F231" s="300">
        <f>Verokompensaatiot[[#This Row],[Korvaukset vuosilta 2010-2023, €]]+Verokompensaatiot[[#This Row],[Veromenetysten korvaus 2024]]+Verokompensaatiot[[#This Row],[Veromenetysten korvaus 2025]]</f>
        <v>168298.41816568087</v>
      </c>
    </row>
    <row r="232" spans="1:6">
      <c r="A232" s="32">
        <v>743</v>
      </c>
      <c r="B232" s="13" t="s">
        <v>240</v>
      </c>
      <c r="C232" s="164">
        <v>9945565.9278010912</v>
      </c>
      <c r="D232" s="164">
        <v>-53755.976626312869</v>
      </c>
      <c r="E232" s="164">
        <v>-4587863.8824005574</v>
      </c>
      <c r="F232" s="300">
        <f>Verokompensaatiot[[#This Row],[Korvaukset vuosilta 2010-2023, €]]+Verokompensaatiot[[#This Row],[Veromenetysten korvaus 2024]]+Verokompensaatiot[[#This Row],[Veromenetysten korvaus 2025]]</f>
        <v>5303946.0687742215</v>
      </c>
    </row>
    <row r="233" spans="1:6">
      <c r="A233" s="32">
        <v>746</v>
      </c>
      <c r="B233" s="13" t="s">
        <v>241</v>
      </c>
      <c r="C233" s="164">
        <v>923550.17904456658</v>
      </c>
      <c r="D233" s="164">
        <v>3487.6826948098169</v>
      </c>
      <c r="E233" s="164">
        <v>-341297.52363100345</v>
      </c>
      <c r="F233" s="300">
        <f>Verokompensaatiot[[#This Row],[Korvaukset vuosilta 2010-2023, €]]+Verokompensaatiot[[#This Row],[Veromenetysten korvaus 2024]]+Verokompensaatiot[[#This Row],[Veromenetysten korvaus 2025]]</f>
        <v>585740.33810837299</v>
      </c>
    </row>
    <row r="234" spans="1:6">
      <c r="A234" s="32">
        <v>747</v>
      </c>
      <c r="B234" s="13" t="s">
        <v>242</v>
      </c>
      <c r="C234" s="164">
        <v>336015.46016985853</v>
      </c>
      <c r="D234" s="164">
        <v>-923.87301867191536</v>
      </c>
      <c r="E234" s="164">
        <v>-71931.505060068201</v>
      </c>
      <c r="F234" s="300">
        <f>Verokompensaatiot[[#This Row],[Korvaukset vuosilta 2010-2023, €]]+Verokompensaatiot[[#This Row],[Veromenetysten korvaus 2024]]+Verokompensaatiot[[#This Row],[Veromenetysten korvaus 2025]]</f>
        <v>263160.08209111838</v>
      </c>
    </row>
    <row r="235" spans="1:6">
      <c r="A235" s="32">
        <v>748</v>
      </c>
      <c r="B235" s="13" t="s">
        <v>243</v>
      </c>
      <c r="C235" s="164">
        <v>1025424.8215553551</v>
      </c>
      <c r="D235" s="164">
        <v>-9744.5270485501187</v>
      </c>
      <c r="E235" s="164">
        <v>-329435.82715803321</v>
      </c>
      <c r="F235" s="300">
        <f>Verokompensaatiot[[#This Row],[Korvaukset vuosilta 2010-2023, €]]+Verokompensaatiot[[#This Row],[Veromenetysten korvaus 2024]]+Verokompensaatiot[[#This Row],[Veromenetysten korvaus 2025]]</f>
        <v>686244.46734877187</v>
      </c>
    </row>
    <row r="236" spans="1:6">
      <c r="A236" s="32">
        <v>749</v>
      </c>
      <c r="B236" s="13" t="s">
        <v>244</v>
      </c>
      <c r="C236" s="164">
        <v>3085504.7920736158</v>
      </c>
      <c r="D236" s="164">
        <v>-65483.638688530249</v>
      </c>
      <c r="E236" s="164">
        <v>-1625651.8338754359</v>
      </c>
      <c r="F236" s="300">
        <f>Verokompensaatiot[[#This Row],[Korvaukset vuosilta 2010-2023, €]]+Verokompensaatiot[[#This Row],[Veromenetysten korvaus 2024]]+Verokompensaatiot[[#This Row],[Veromenetysten korvaus 2025]]</f>
        <v>1394369.3195096496</v>
      </c>
    </row>
    <row r="237" spans="1:6">
      <c r="A237" s="32">
        <v>751</v>
      </c>
      <c r="B237" s="13" t="s">
        <v>245</v>
      </c>
      <c r="C237" s="164">
        <v>521520.347331553</v>
      </c>
      <c r="D237" s="164">
        <v>-16143.542302261176</v>
      </c>
      <c r="E237" s="164">
        <v>-179457.87077164726</v>
      </c>
      <c r="F237" s="300">
        <f>Verokompensaatiot[[#This Row],[Korvaukset vuosilta 2010-2023, €]]+Verokompensaatiot[[#This Row],[Veromenetysten korvaus 2024]]+Verokompensaatiot[[#This Row],[Veromenetysten korvaus 2025]]</f>
        <v>325918.93425764458</v>
      </c>
    </row>
    <row r="238" spans="1:6">
      <c r="A238" s="32">
        <v>753</v>
      </c>
      <c r="B238" s="13" t="s">
        <v>246</v>
      </c>
      <c r="C238" s="164">
        <v>2530377.8872347632</v>
      </c>
      <c r="D238" s="164">
        <v>-54785.270209304406</v>
      </c>
      <c r="E238" s="164">
        <v>-1030207.2072847823</v>
      </c>
      <c r="F238" s="300">
        <f>Verokompensaatiot[[#This Row],[Korvaukset vuosilta 2010-2023, €]]+Verokompensaatiot[[#This Row],[Veromenetysten korvaus 2024]]+Verokompensaatiot[[#This Row],[Veromenetysten korvaus 2025]]</f>
        <v>1445385.4097406764</v>
      </c>
    </row>
    <row r="239" spans="1:6">
      <c r="A239" s="32">
        <v>755</v>
      </c>
      <c r="B239" s="13" t="s">
        <v>247</v>
      </c>
      <c r="C239" s="164">
        <v>912800.49977479735</v>
      </c>
      <c r="D239" s="164">
        <v>-43903.329861416343</v>
      </c>
      <c r="E239" s="164">
        <v>-394769.32103705069</v>
      </c>
      <c r="F239" s="300">
        <f>Verokompensaatiot[[#This Row],[Korvaukset vuosilta 2010-2023, €]]+Verokompensaatiot[[#This Row],[Veromenetysten korvaus 2024]]+Verokompensaatiot[[#This Row],[Veromenetysten korvaus 2025]]</f>
        <v>474127.8488763303</v>
      </c>
    </row>
    <row r="240" spans="1:6">
      <c r="A240" s="32">
        <v>758</v>
      </c>
      <c r="B240" s="13" t="s">
        <v>248</v>
      </c>
      <c r="C240" s="164">
        <v>1522016.359015387</v>
      </c>
      <c r="D240" s="164">
        <v>-10508.418054106198</v>
      </c>
      <c r="E240" s="164">
        <v>-508546.80687327991</v>
      </c>
      <c r="F240" s="300">
        <f>Verokompensaatiot[[#This Row],[Korvaukset vuosilta 2010-2023, €]]+Verokompensaatiot[[#This Row],[Veromenetysten korvaus 2024]]+Verokompensaatiot[[#This Row],[Veromenetysten korvaus 2025]]</f>
        <v>1002961.134088001</v>
      </c>
    </row>
    <row r="241" spans="1:6">
      <c r="A241" s="32">
        <v>759</v>
      </c>
      <c r="B241" s="13" t="s">
        <v>249</v>
      </c>
      <c r="C241" s="164">
        <v>487637.29880807875</v>
      </c>
      <c r="D241" s="164">
        <v>-665.12050297063706</v>
      </c>
      <c r="E241" s="164">
        <v>-117559.08195127606</v>
      </c>
      <c r="F241" s="300">
        <f>Verokompensaatiot[[#This Row],[Korvaukset vuosilta 2010-2023, €]]+Verokompensaatiot[[#This Row],[Veromenetysten korvaus 2024]]+Verokompensaatiot[[#This Row],[Veromenetysten korvaus 2025]]</f>
        <v>369413.09635383205</v>
      </c>
    </row>
    <row r="242" spans="1:6">
      <c r="A242" s="32">
        <v>761</v>
      </c>
      <c r="B242" s="13" t="s">
        <v>250</v>
      </c>
      <c r="C242" s="164">
        <v>1840449.4381827028</v>
      </c>
      <c r="D242" s="164">
        <v>-14516.78431071965</v>
      </c>
      <c r="E242" s="164">
        <v>-481308.55366260296</v>
      </c>
      <c r="F242" s="300">
        <f>Verokompensaatiot[[#This Row],[Korvaukset vuosilta 2010-2023, €]]+Verokompensaatiot[[#This Row],[Veromenetysten korvaus 2024]]+Verokompensaatiot[[#This Row],[Veromenetysten korvaus 2025]]</f>
        <v>1344624.10020938</v>
      </c>
    </row>
    <row r="243" spans="1:6">
      <c r="A243" s="32">
        <v>762</v>
      </c>
      <c r="B243" s="13" t="s">
        <v>251</v>
      </c>
      <c r="C243" s="164">
        <v>890771.17347844271</v>
      </c>
      <c r="D243" s="164">
        <v>-5539.6239367263152</v>
      </c>
      <c r="E243" s="164">
        <v>-203843.79939483214</v>
      </c>
      <c r="F243" s="300">
        <f>Verokompensaatiot[[#This Row],[Korvaukset vuosilta 2010-2023, €]]+Verokompensaatiot[[#This Row],[Veromenetysten korvaus 2024]]+Verokompensaatiot[[#This Row],[Veromenetysten korvaus 2025]]</f>
        <v>681387.75014688424</v>
      </c>
    </row>
    <row r="244" spans="1:6">
      <c r="A244" s="32">
        <v>765</v>
      </c>
      <c r="B244" s="13" t="s">
        <v>252</v>
      </c>
      <c r="C244" s="164">
        <v>1887722.8527956754</v>
      </c>
      <c r="D244" s="164">
        <v>-25338.82072308183</v>
      </c>
      <c r="E244" s="164">
        <v>-589269.28482269868</v>
      </c>
      <c r="F244" s="300">
        <f>Verokompensaatiot[[#This Row],[Korvaukset vuosilta 2010-2023, €]]+Verokompensaatiot[[#This Row],[Veromenetysten korvaus 2024]]+Verokompensaatiot[[#This Row],[Veromenetysten korvaus 2025]]</f>
        <v>1273114.7472498948</v>
      </c>
    </row>
    <row r="245" spans="1:6">
      <c r="A245" s="32">
        <v>768</v>
      </c>
      <c r="B245" s="13" t="s">
        <v>253</v>
      </c>
      <c r="C245" s="164">
        <v>569415.54148617201</v>
      </c>
      <c r="D245" s="164">
        <v>-2063.4236582368912</v>
      </c>
      <c r="E245" s="164">
        <v>-109452.50876377375</v>
      </c>
      <c r="F245" s="300">
        <f>Verokompensaatiot[[#This Row],[Korvaukset vuosilta 2010-2023, €]]+Verokompensaatiot[[#This Row],[Veromenetysten korvaus 2024]]+Verokompensaatiot[[#This Row],[Veromenetysten korvaus 2025]]</f>
        <v>457899.60906416143</v>
      </c>
    </row>
    <row r="246" spans="1:6">
      <c r="A246" s="32">
        <v>777</v>
      </c>
      <c r="B246" s="13" t="s">
        <v>254</v>
      </c>
      <c r="C246" s="164">
        <v>1559568.3935236624</v>
      </c>
      <c r="D246" s="164">
        <v>-246.56918531909105</v>
      </c>
      <c r="E246" s="164">
        <v>-433845.04971439776</v>
      </c>
      <c r="F246" s="300">
        <f>Verokompensaatiot[[#This Row],[Korvaukset vuosilta 2010-2023, €]]+Verokompensaatiot[[#This Row],[Veromenetysten korvaus 2024]]+Verokompensaatiot[[#This Row],[Veromenetysten korvaus 2025]]</f>
        <v>1125476.7746239454</v>
      </c>
    </row>
    <row r="247" spans="1:6">
      <c r="A247" s="32">
        <v>778</v>
      </c>
      <c r="B247" s="13" t="s">
        <v>255</v>
      </c>
      <c r="C247" s="164">
        <v>1365028.5224604667</v>
      </c>
      <c r="D247" s="164">
        <v>-5890.9047256729646</v>
      </c>
      <c r="E247" s="164">
        <v>-438164.93262288981</v>
      </c>
      <c r="F247" s="300">
        <f>Verokompensaatiot[[#This Row],[Korvaukset vuosilta 2010-2023, €]]+Verokompensaatiot[[#This Row],[Veromenetysten korvaus 2024]]+Verokompensaatiot[[#This Row],[Veromenetysten korvaus 2025]]</f>
        <v>920972.68511190405</v>
      </c>
    </row>
    <row r="248" spans="1:6">
      <c r="A248" s="32">
        <v>781</v>
      </c>
      <c r="B248" s="13" t="s">
        <v>256</v>
      </c>
      <c r="C248" s="164">
        <v>805419.18893994577</v>
      </c>
      <c r="D248" s="164">
        <v>-3269.1115672129708</v>
      </c>
      <c r="E248" s="164">
        <v>-101543.37833462485</v>
      </c>
      <c r="F248" s="300">
        <f>Verokompensaatiot[[#This Row],[Korvaukset vuosilta 2010-2023, €]]+Verokompensaatiot[[#This Row],[Veromenetysten korvaus 2024]]+Verokompensaatiot[[#This Row],[Veromenetysten korvaus 2025]]</f>
        <v>700606.699038108</v>
      </c>
    </row>
    <row r="249" spans="1:6">
      <c r="A249" s="32">
        <v>783</v>
      </c>
      <c r="B249" s="13" t="s">
        <v>257</v>
      </c>
      <c r="C249" s="164">
        <v>1263911.4918444799</v>
      </c>
      <c r="D249" s="164">
        <v>-25297.668876097196</v>
      </c>
      <c r="E249" s="164">
        <v>-447475.59438220807</v>
      </c>
      <c r="F249" s="300">
        <f>Verokompensaatiot[[#This Row],[Korvaukset vuosilta 2010-2023, €]]+Verokompensaatiot[[#This Row],[Veromenetysten korvaus 2024]]+Verokompensaatiot[[#This Row],[Veromenetysten korvaus 2025]]</f>
        <v>791138.22858617455</v>
      </c>
    </row>
    <row r="250" spans="1:6">
      <c r="A250" s="32">
        <v>785</v>
      </c>
      <c r="B250" s="13" t="s">
        <v>258</v>
      </c>
      <c r="C250" s="164">
        <v>638365.88914082851</v>
      </c>
      <c r="D250" s="164">
        <v>-1738.7571173005672</v>
      </c>
      <c r="E250" s="164">
        <v>-128116.53445511423</v>
      </c>
      <c r="F250" s="300">
        <f>Verokompensaatiot[[#This Row],[Korvaukset vuosilta 2010-2023, €]]+Verokompensaatiot[[#This Row],[Veromenetysten korvaus 2024]]+Verokompensaatiot[[#This Row],[Veromenetysten korvaus 2025]]</f>
        <v>508510.59756841377</v>
      </c>
    </row>
    <row r="251" spans="1:6">
      <c r="A251" s="32">
        <v>790</v>
      </c>
      <c r="B251" s="13" t="s">
        <v>259</v>
      </c>
      <c r="C251" s="164">
        <v>4475838.6949382462</v>
      </c>
      <c r="D251" s="164">
        <v>-97637.420714441367</v>
      </c>
      <c r="E251" s="164">
        <v>-1509405.1027923718</v>
      </c>
      <c r="F251" s="300">
        <f>Verokompensaatiot[[#This Row],[Korvaukset vuosilta 2010-2023, €]]+Verokompensaatiot[[#This Row],[Veromenetysten korvaus 2024]]+Verokompensaatiot[[#This Row],[Veromenetysten korvaus 2025]]</f>
        <v>2868796.1714314325</v>
      </c>
    </row>
    <row r="252" spans="1:6">
      <c r="A252" s="32">
        <v>791</v>
      </c>
      <c r="B252" s="13" t="s">
        <v>260</v>
      </c>
      <c r="C252" s="164">
        <v>1262903.4928640015</v>
      </c>
      <c r="D252" s="164">
        <v>-3481.3071575720205</v>
      </c>
      <c r="E252" s="164">
        <v>-312531.99935596</v>
      </c>
      <c r="F252" s="300">
        <f>Verokompensaatiot[[#This Row],[Korvaukset vuosilta 2010-2023, €]]+Verokompensaatiot[[#This Row],[Veromenetysten korvaus 2024]]+Verokompensaatiot[[#This Row],[Veromenetysten korvaus 2025]]</f>
        <v>946890.18635046948</v>
      </c>
    </row>
    <row r="253" spans="1:6">
      <c r="A253" s="32">
        <v>831</v>
      </c>
      <c r="B253" s="13" t="s">
        <v>261</v>
      </c>
      <c r="C253" s="164">
        <v>695604.28385445755</v>
      </c>
      <c r="D253" s="164">
        <v>-18795.158042885178</v>
      </c>
      <c r="E253" s="164">
        <v>-271285.45782927575</v>
      </c>
      <c r="F253" s="300">
        <f>Verokompensaatiot[[#This Row],[Korvaukset vuosilta 2010-2023, €]]+Verokompensaatiot[[#This Row],[Veromenetysten korvaus 2024]]+Verokompensaatiot[[#This Row],[Veromenetysten korvaus 2025]]</f>
        <v>405523.66798229667</v>
      </c>
    </row>
    <row r="254" spans="1:6">
      <c r="A254" s="32">
        <v>832</v>
      </c>
      <c r="B254" s="13" t="s">
        <v>262</v>
      </c>
      <c r="C254" s="164">
        <v>765347.09521522536</v>
      </c>
      <c r="D254" s="164">
        <v>94.710858530927453</v>
      </c>
      <c r="E254" s="164">
        <v>-201798.95308235081</v>
      </c>
      <c r="F254" s="300">
        <f>Verokompensaatiot[[#This Row],[Korvaukset vuosilta 2010-2023, €]]+Verokompensaatiot[[#This Row],[Veromenetysten korvaus 2024]]+Verokompensaatiot[[#This Row],[Veromenetysten korvaus 2025]]</f>
        <v>563642.85299140553</v>
      </c>
    </row>
    <row r="255" spans="1:6">
      <c r="A255" s="32">
        <v>833</v>
      </c>
      <c r="B255" s="13" t="s">
        <v>263</v>
      </c>
      <c r="C255" s="164">
        <v>342281.76810028055</v>
      </c>
      <c r="D255" s="164">
        <v>-7185.6569388959533</v>
      </c>
      <c r="E255" s="164">
        <v>-75045.219039518808</v>
      </c>
      <c r="F255" s="300">
        <f>Verokompensaatiot[[#This Row],[Korvaukset vuosilta 2010-2023, €]]+Verokompensaatiot[[#This Row],[Veromenetysten korvaus 2024]]+Verokompensaatiot[[#This Row],[Veromenetysten korvaus 2025]]</f>
        <v>260050.89212186582</v>
      </c>
    </row>
    <row r="256" spans="1:6">
      <c r="A256" s="32">
        <v>834</v>
      </c>
      <c r="B256" s="13" t="s">
        <v>264</v>
      </c>
      <c r="C256" s="164">
        <v>1113721.6941235559</v>
      </c>
      <c r="D256" s="164">
        <v>-24717.224699091807</v>
      </c>
      <c r="E256" s="164">
        <v>-392439.64138661791</v>
      </c>
      <c r="F256" s="300">
        <f>Verokompensaatiot[[#This Row],[Korvaukset vuosilta 2010-2023, €]]+Verokompensaatiot[[#This Row],[Veromenetysten korvaus 2024]]+Verokompensaatiot[[#This Row],[Veromenetysten korvaus 2025]]</f>
        <v>696564.82803784613</v>
      </c>
    </row>
    <row r="257" spans="1:6">
      <c r="A257" s="32">
        <v>837</v>
      </c>
      <c r="B257" s="13" t="s">
        <v>265</v>
      </c>
      <c r="C257" s="164">
        <v>36300023.396053225</v>
      </c>
      <c r="D257" s="164">
        <v>420076.98405097169</v>
      </c>
      <c r="E257" s="164">
        <v>-14005664.15436466</v>
      </c>
      <c r="F257" s="300">
        <f>Verokompensaatiot[[#This Row],[Korvaukset vuosilta 2010-2023, €]]+Verokompensaatiot[[#This Row],[Veromenetysten korvaus 2024]]+Verokompensaatiot[[#This Row],[Veromenetysten korvaus 2025]]</f>
        <v>22714436.225739539</v>
      </c>
    </row>
    <row r="258" spans="1:6">
      <c r="A258" s="32">
        <v>844</v>
      </c>
      <c r="B258" s="13" t="s">
        <v>266</v>
      </c>
      <c r="C258" s="164">
        <v>367381.62735902192</v>
      </c>
      <c r="D258" s="164">
        <v>-8927.1742334659211</v>
      </c>
      <c r="E258" s="164">
        <v>-91075.855768940062</v>
      </c>
      <c r="F258" s="300">
        <f>Verokompensaatiot[[#This Row],[Korvaukset vuosilta 2010-2023, €]]+Verokompensaatiot[[#This Row],[Veromenetysten korvaus 2024]]+Verokompensaatiot[[#This Row],[Veromenetysten korvaus 2025]]</f>
        <v>267378.59735661594</v>
      </c>
    </row>
    <row r="259" spans="1:6">
      <c r="A259" s="32">
        <v>845</v>
      </c>
      <c r="B259" s="13" t="s">
        <v>267</v>
      </c>
      <c r="C259" s="164">
        <v>595425.26634182339</v>
      </c>
      <c r="D259" s="164">
        <v>-5597.3370576055113</v>
      </c>
      <c r="E259" s="164">
        <v>-124320.55044631576</v>
      </c>
      <c r="F259" s="300">
        <f>Verokompensaatiot[[#This Row],[Korvaukset vuosilta 2010-2023, €]]+Verokompensaatiot[[#This Row],[Veromenetysten korvaus 2024]]+Verokompensaatiot[[#This Row],[Veromenetysten korvaus 2025]]</f>
        <v>465507.3788379021</v>
      </c>
    </row>
    <row r="260" spans="1:6">
      <c r="A260" s="32">
        <v>846</v>
      </c>
      <c r="B260" s="13" t="s">
        <v>268</v>
      </c>
      <c r="C260" s="164">
        <v>1137822.754602755</v>
      </c>
      <c r="D260" s="164">
        <v>355.49147906483813</v>
      </c>
      <c r="E260" s="164">
        <v>-338967.54970535956</v>
      </c>
      <c r="F260" s="300">
        <f>Verokompensaatiot[[#This Row],[Korvaukset vuosilta 2010-2023, €]]+Verokompensaatiot[[#This Row],[Veromenetysten korvaus 2024]]+Verokompensaatiot[[#This Row],[Veromenetysten korvaus 2025]]</f>
        <v>799210.69637646014</v>
      </c>
    </row>
    <row r="261" spans="1:6">
      <c r="A261" s="32">
        <v>848</v>
      </c>
      <c r="B261" s="13" t="s">
        <v>269</v>
      </c>
      <c r="C261" s="164">
        <v>989321.16184801655</v>
      </c>
      <c r="D261" s="164">
        <v>-12471.088586874963</v>
      </c>
      <c r="E261" s="164">
        <v>-246192.74908801322</v>
      </c>
      <c r="F261" s="300">
        <f>Verokompensaatiot[[#This Row],[Korvaukset vuosilta 2010-2023, €]]+Verokompensaatiot[[#This Row],[Veromenetysten korvaus 2024]]+Verokompensaatiot[[#This Row],[Veromenetysten korvaus 2025]]</f>
        <v>730657.32417312835</v>
      </c>
    </row>
    <row r="262" spans="1:6">
      <c r="A262" s="32">
        <v>849</v>
      </c>
      <c r="B262" s="13" t="s">
        <v>270</v>
      </c>
      <c r="C262" s="164">
        <v>698965.11716177594</v>
      </c>
      <c r="D262" s="164">
        <v>-1960.3759419803773</v>
      </c>
      <c r="E262" s="164">
        <v>-191641.3083812992</v>
      </c>
      <c r="F262" s="300">
        <f>Verokompensaatiot[[#This Row],[Korvaukset vuosilta 2010-2023, €]]+Verokompensaatiot[[#This Row],[Veromenetysten korvaus 2024]]+Verokompensaatiot[[#This Row],[Veromenetysten korvaus 2025]]</f>
        <v>505363.43283849634</v>
      </c>
    </row>
    <row r="263" spans="1:6">
      <c r="A263" s="32">
        <v>850</v>
      </c>
      <c r="B263" s="13" t="s">
        <v>271</v>
      </c>
      <c r="C263" s="164">
        <v>420099.4296281893</v>
      </c>
      <c r="D263" s="164">
        <v>-16488.361190124262</v>
      </c>
      <c r="E263" s="164">
        <v>-154834.43046527714</v>
      </c>
      <c r="F263" s="300">
        <f>Verokompensaatiot[[#This Row],[Korvaukset vuosilta 2010-2023, €]]+Verokompensaatiot[[#This Row],[Veromenetysten korvaus 2024]]+Verokompensaatiot[[#This Row],[Veromenetysten korvaus 2025]]</f>
        <v>248776.63797278792</v>
      </c>
    </row>
    <row r="264" spans="1:6">
      <c r="A264" s="32">
        <v>851</v>
      </c>
      <c r="B264" s="13" t="s">
        <v>272</v>
      </c>
      <c r="C264" s="164">
        <v>3292338.6038466329</v>
      </c>
      <c r="D264" s="164">
        <v>-18714.073120874687</v>
      </c>
      <c r="E264" s="164">
        <v>-1362699.0545318827</v>
      </c>
      <c r="F264" s="300">
        <f>Verokompensaatiot[[#This Row],[Korvaukset vuosilta 2010-2023, €]]+Verokompensaatiot[[#This Row],[Veromenetysten korvaus 2024]]+Verokompensaatiot[[#This Row],[Veromenetysten korvaus 2025]]</f>
        <v>1910925.4761938753</v>
      </c>
    </row>
    <row r="265" spans="1:6">
      <c r="A265" s="32">
        <v>853</v>
      </c>
      <c r="B265" s="13" t="s">
        <v>273</v>
      </c>
      <c r="C265" s="164">
        <v>31340782.047305316</v>
      </c>
      <c r="D265" s="164">
        <v>374358.79328620632</v>
      </c>
      <c r="E265" s="164">
        <v>-9642199.7723697908</v>
      </c>
      <c r="F265" s="300">
        <f>Verokompensaatiot[[#This Row],[Korvaukset vuosilta 2010-2023, €]]+Verokompensaatiot[[#This Row],[Veromenetysten korvaus 2024]]+Verokompensaatiot[[#This Row],[Veromenetysten korvaus 2025]]</f>
        <v>22072941.068221733</v>
      </c>
    </row>
    <row r="266" spans="1:6">
      <c r="A266" s="32">
        <v>854</v>
      </c>
      <c r="B266" s="13" t="s">
        <v>274</v>
      </c>
      <c r="C266" s="164">
        <v>677713.52548992494</v>
      </c>
      <c r="D266" s="164">
        <v>-6669.4635548915649</v>
      </c>
      <c r="E266" s="164">
        <v>-194461.82630342356</v>
      </c>
      <c r="F266" s="300">
        <f>Verokompensaatiot[[#This Row],[Korvaukset vuosilta 2010-2023, €]]+Verokompensaatiot[[#This Row],[Veromenetysten korvaus 2024]]+Verokompensaatiot[[#This Row],[Veromenetysten korvaus 2025]]</f>
        <v>476582.23563160986</v>
      </c>
    </row>
    <row r="267" spans="1:6">
      <c r="A267" s="32">
        <v>857</v>
      </c>
      <c r="B267" s="13" t="s">
        <v>275</v>
      </c>
      <c r="C267" s="164">
        <v>527451.85057411972</v>
      </c>
      <c r="D267" s="164">
        <v>-8903.5198820928417</v>
      </c>
      <c r="E267" s="164">
        <v>-128938.53761183651</v>
      </c>
      <c r="F267" s="300">
        <f>Verokompensaatiot[[#This Row],[Korvaukset vuosilta 2010-2023, €]]+Verokompensaatiot[[#This Row],[Veromenetysten korvaus 2024]]+Verokompensaatiot[[#This Row],[Veromenetysten korvaus 2025]]</f>
        <v>389609.79308019037</v>
      </c>
    </row>
    <row r="268" spans="1:6">
      <c r="A268" s="32">
        <v>858</v>
      </c>
      <c r="B268" s="13" t="s">
        <v>276</v>
      </c>
      <c r="C268" s="164">
        <v>4629137.4877160415</v>
      </c>
      <c r="D268" s="164">
        <v>-106119.51493814212</v>
      </c>
      <c r="E268" s="164">
        <v>-2090479.5509983806</v>
      </c>
      <c r="F268" s="300">
        <f>Verokompensaatiot[[#This Row],[Korvaukset vuosilta 2010-2023, €]]+Verokompensaatiot[[#This Row],[Veromenetysten korvaus 2024]]+Verokompensaatiot[[#This Row],[Veromenetysten korvaus 2025]]</f>
        <v>2432538.4217795189</v>
      </c>
    </row>
    <row r="269" spans="1:6">
      <c r="A269" s="32">
        <v>859</v>
      </c>
      <c r="B269" s="13" t="s">
        <v>277</v>
      </c>
      <c r="C269" s="164">
        <v>968220.28774869489</v>
      </c>
      <c r="D269" s="164">
        <v>-24225.913534068655</v>
      </c>
      <c r="E269" s="164">
        <v>-508667.75812627911</v>
      </c>
      <c r="F269" s="300">
        <f>Verokompensaatiot[[#This Row],[Korvaukset vuosilta 2010-2023, €]]+Verokompensaatiot[[#This Row],[Veromenetysten korvaus 2024]]+Verokompensaatiot[[#This Row],[Veromenetysten korvaus 2025]]</f>
        <v>435326.61608834716</v>
      </c>
    </row>
    <row r="270" spans="1:6">
      <c r="A270" s="32">
        <v>886</v>
      </c>
      <c r="B270" s="13" t="s">
        <v>278</v>
      </c>
      <c r="C270" s="164">
        <v>1935332.8315087492</v>
      </c>
      <c r="D270" s="164">
        <v>-28088.924984773057</v>
      </c>
      <c r="E270" s="164">
        <v>-857332.49771067279</v>
      </c>
      <c r="F270" s="300">
        <f>Verokompensaatiot[[#This Row],[Korvaukset vuosilta 2010-2023, €]]+Verokompensaatiot[[#This Row],[Veromenetysten korvaus 2024]]+Verokompensaatiot[[#This Row],[Veromenetysten korvaus 2025]]</f>
        <v>1049911.4088133033</v>
      </c>
    </row>
    <row r="271" spans="1:6">
      <c r="A271" s="32">
        <v>887</v>
      </c>
      <c r="B271" s="13" t="s">
        <v>279</v>
      </c>
      <c r="C271" s="164">
        <v>1059397.7324163243</v>
      </c>
      <c r="D271" s="164">
        <v>-22137.603092433375</v>
      </c>
      <c r="E271" s="164">
        <v>-336912.08310568717</v>
      </c>
      <c r="F271" s="300">
        <f>Verokompensaatiot[[#This Row],[Korvaukset vuosilta 2010-2023, €]]+Verokompensaatiot[[#This Row],[Veromenetysten korvaus 2024]]+Verokompensaatiot[[#This Row],[Veromenetysten korvaus 2025]]</f>
        <v>700348.04621820373</v>
      </c>
    </row>
    <row r="272" spans="1:6">
      <c r="A272" s="32">
        <v>889</v>
      </c>
      <c r="B272" s="13" t="s">
        <v>280</v>
      </c>
      <c r="C272" s="164">
        <v>555205.31133360858</v>
      </c>
      <c r="D272" s="164">
        <v>-2221.0085262214507</v>
      </c>
      <c r="E272" s="164">
        <v>-140659.72943913887</v>
      </c>
      <c r="F272" s="300">
        <f>Verokompensaatiot[[#This Row],[Korvaukset vuosilta 2010-2023, €]]+Verokompensaatiot[[#This Row],[Veromenetysten korvaus 2024]]+Verokompensaatiot[[#This Row],[Veromenetysten korvaus 2025]]</f>
        <v>412324.57336824818</v>
      </c>
    </row>
    <row r="273" spans="1:6">
      <c r="A273" s="32">
        <v>890</v>
      </c>
      <c r="B273" s="13" t="s">
        <v>281</v>
      </c>
      <c r="C273" s="164">
        <v>234551.63909570267</v>
      </c>
      <c r="D273" s="164">
        <v>3171.3782403669902</v>
      </c>
      <c r="E273" s="164">
        <v>-70641.119062364931</v>
      </c>
      <c r="F273" s="300">
        <f>Verokompensaatiot[[#This Row],[Korvaukset vuosilta 2010-2023, €]]+Verokompensaatiot[[#This Row],[Veromenetysten korvaus 2024]]+Verokompensaatiot[[#This Row],[Veromenetysten korvaus 2025]]</f>
        <v>167081.89827370475</v>
      </c>
    </row>
    <row r="274" spans="1:6">
      <c r="A274" s="32">
        <v>892</v>
      </c>
      <c r="B274" s="13" t="s">
        <v>282</v>
      </c>
      <c r="C274" s="164">
        <v>596788.2530678059</v>
      </c>
      <c r="D274" s="164">
        <v>-17466.152090015872</v>
      </c>
      <c r="E274" s="164">
        <v>-240828.76290593675</v>
      </c>
      <c r="F274" s="300">
        <f>Verokompensaatiot[[#This Row],[Korvaukset vuosilta 2010-2023, €]]+Verokompensaatiot[[#This Row],[Veromenetysten korvaus 2024]]+Verokompensaatiot[[#This Row],[Veromenetysten korvaus 2025]]</f>
        <v>338493.33807185333</v>
      </c>
    </row>
    <row r="275" spans="1:6">
      <c r="A275" s="32">
        <v>893</v>
      </c>
      <c r="B275" s="13" t="s">
        <v>283</v>
      </c>
      <c r="C275" s="164">
        <v>1521040.3856361369</v>
      </c>
      <c r="D275" s="164">
        <v>-4529.8111347074046</v>
      </c>
      <c r="E275" s="164">
        <v>-512385.83324534015</v>
      </c>
      <c r="F275" s="300">
        <f>Verokompensaatiot[[#This Row],[Korvaukset vuosilta 2010-2023, €]]+Verokompensaatiot[[#This Row],[Veromenetysten korvaus 2024]]+Verokompensaatiot[[#This Row],[Veromenetysten korvaus 2025]]</f>
        <v>1004124.7412560893</v>
      </c>
    </row>
    <row r="276" spans="1:6">
      <c r="A276" s="32">
        <v>895</v>
      </c>
      <c r="B276" s="13" t="s">
        <v>284</v>
      </c>
      <c r="C276" s="164">
        <v>2613083.7152337562</v>
      </c>
      <c r="D276" s="164">
        <v>-9667.2574188193066</v>
      </c>
      <c r="E276" s="164">
        <v>-1112639.4957095217</v>
      </c>
      <c r="F276" s="300">
        <f>Verokompensaatiot[[#This Row],[Korvaukset vuosilta 2010-2023, €]]+Verokompensaatiot[[#This Row],[Veromenetysten korvaus 2024]]+Verokompensaatiot[[#This Row],[Veromenetysten korvaus 2025]]</f>
        <v>1490776.9621054153</v>
      </c>
    </row>
    <row r="277" spans="1:6">
      <c r="A277" s="32">
        <v>905</v>
      </c>
      <c r="B277" s="13" t="s">
        <v>285</v>
      </c>
      <c r="C277" s="164">
        <v>10466596.893593695</v>
      </c>
      <c r="D277" s="164">
        <v>120547.78794924309</v>
      </c>
      <c r="E277" s="164">
        <v>-4452744.6270315796</v>
      </c>
      <c r="F277" s="300">
        <f>Verokompensaatiot[[#This Row],[Korvaukset vuosilta 2010-2023, €]]+Verokompensaatiot[[#This Row],[Veromenetysten korvaus 2024]]+Verokompensaatiot[[#This Row],[Veromenetysten korvaus 2025]]</f>
        <v>6134400.054511359</v>
      </c>
    </row>
    <row r="278" spans="1:6">
      <c r="A278" s="32">
        <v>908</v>
      </c>
      <c r="B278" s="13" t="s">
        <v>286</v>
      </c>
      <c r="C278" s="164">
        <v>2924192.5603013141</v>
      </c>
      <c r="D278" s="164">
        <v>-60796.277065151095</v>
      </c>
      <c r="E278" s="164">
        <v>-1374058.9314505791</v>
      </c>
      <c r="F278" s="300">
        <f>Verokompensaatiot[[#This Row],[Korvaukset vuosilta 2010-2023, €]]+Verokompensaatiot[[#This Row],[Veromenetysten korvaus 2024]]+Verokompensaatiot[[#This Row],[Veromenetysten korvaus 2025]]</f>
        <v>1489337.3517855841</v>
      </c>
    </row>
    <row r="279" spans="1:6">
      <c r="A279" s="32">
        <v>915</v>
      </c>
      <c r="B279" s="13" t="s">
        <v>287</v>
      </c>
      <c r="C279" s="164">
        <v>3323029.3194958586</v>
      </c>
      <c r="D279" s="164">
        <v>-12555.937114786198</v>
      </c>
      <c r="E279" s="164">
        <v>-1186238.9663852437</v>
      </c>
      <c r="F279" s="300">
        <f>Verokompensaatiot[[#This Row],[Korvaukset vuosilta 2010-2023, €]]+Verokompensaatiot[[#This Row],[Veromenetysten korvaus 2024]]+Verokompensaatiot[[#This Row],[Veromenetysten korvaus 2025]]</f>
        <v>2124234.4159958288</v>
      </c>
    </row>
    <row r="280" spans="1:6">
      <c r="A280" s="32">
        <v>918</v>
      </c>
      <c r="B280" s="13" t="s">
        <v>288</v>
      </c>
      <c r="C280" s="164">
        <v>520627.62677149219</v>
      </c>
      <c r="D280" s="164">
        <v>-10490.84787955154</v>
      </c>
      <c r="E280" s="164">
        <v>-171658.14981182158</v>
      </c>
      <c r="F280" s="300">
        <f>Verokompensaatiot[[#This Row],[Korvaukset vuosilta 2010-2023, €]]+Verokompensaatiot[[#This Row],[Veromenetysten korvaus 2024]]+Verokompensaatiot[[#This Row],[Veromenetysten korvaus 2025]]</f>
        <v>338478.62908011908</v>
      </c>
    </row>
    <row r="281" spans="1:6">
      <c r="A281" s="32">
        <v>921</v>
      </c>
      <c r="B281" s="13" t="s">
        <v>289</v>
      </c>
      <c r="C281" s="164">
        <v>489090.13610551949</v>
      </c>
      <c r="D281" s="164">
        <v>738.96572517530785</v>
      </c>
      <c r="E281" s="164">
        <v>-100609.07048853693</v>
      </c>
      <c r="F281" s="300">
        <f>Verokompensaatiot[[#This Row],[Korvaukset vuosilta 2010-2023, €]]+Verokompensaatiot[[#This Row],[Veromenetysten korvaus 2024]]+Verokompensaatiot[[#This Row],[Veromenetysten korvaus 2025]]</f>
        <v>389220.03134215786</v>
      </c>
    </row>
    <row r="282" spans="1:6">
      <c r="A282" s="32">
        <v>922</v>
      </c>
      <c r="B282" s="13" t="s">
        <v>290</v>
      </c>
      <c r="C282" s="164">
        <v>723605.03246662044</v>
      </c>
      <c r="D282" s="164">
        <v>-26269.225509112926</v>
      </c>
      <c r="E282" s="164">
        <v>-321708.92965847545</v>
      </c>
      <c r="F282" s="300">
        <f>Verokompensaatiot[[#This Row],[Korvaukset vuosilta 2010-2023, €]]+Verokompensaatiot[[#This Row],[Veromenetysten korvaus 2024]]+Verokompensaatiot[[#This Row],[Veromenetysten korvaus 2025]]</f>
        <v>375626.87729903206</v>
      </c>
    </row>
    <row r="283" spans="1:6">
      <c r="A283" s="32">
        <v>924</v>
      </c>
      <c r="B283" s="13" t="s">
        <v>291</v>
      </c>
      <c r="C283" s="164">
        <v>723912.00203211629</v>
      </c>
      <c r="D283" s="164">
        <v>-3511.9560778691302</v>
      </c>
      <c r="E283" s="164">
        <v>-225441.45979728902</v>
      </c>
      <c r="F283" s="300">
        <f>Verokompensaatiot[[#This Row],[Korvaukset vuosilta 2010-2023, €]]+Verokompensaatiot[[#This Row],[Veromenetysten korvaus 2024]]+Verokompensaatiot[[#This Row],[Veromenetysten korvaus 2025]]</f>
        <v>494958.58615695813</v>
      </c>
    </row>
    <row r="284" spans="1:6">
      <c r="A284" s="32">
        <v>925</v>
      </c>
      <c r="B284" s="13" t="s">
        <v>292</v>
      </c>
      <c r="C284" s="164">
        <v>817536.66303129564</v>
      </c>
      <c r="D284" s="164">
        <v>2993.6838939091194</v>
      </c>
      <c r="E284" s="164">
        <v>-220361.28674938713</v>
      </c>
      <c r="F284" s="300">
        <f>Verokompensaatiot[[#This Row],[Korvaukset vuosilta 2010-2023, €]]+Verokompensaatiot[[#This Row],[Veromenetysten korvaus 2024]]+Verokompensaatiot[[#This Row],[Veromenetysten korvaus 2025]]</f>
        <v>600169.06017581758</v>
      </c>
    </row>
    <row r="285" spans="1:6">
      <c r="A285" s="32">
        <v>927</v>
      </c>
      <c r="B285" s="13" t="s">
        <v>293</v>
      </c>
      <c r="C285" s="164">
        <v>4188001.3455443028</v>
      </c>
      <c r="D285" s="164">
        <v>-159819.00281489795</v>
      </c>
      <c r="E285" s="164">
        <v>-1707086.1057847363</v>
      </c>
      <c r="F285" s="300">
        <f>Verokompensaatiot[[#This Row],[Korvaukset vuosilta 2010-2023, €]]+Verokompensaatiot[[#This Row],[Veromenetysten korvaus 2024]]+Verokompensaatiot[[#This Row],[Veromenetysten korvaus 2025]]</f>
        <v>2321096.2369446689</v>
      </c>
    </row>
    <row r="286" spans="1:6">
      <c r="A286" s="32">
        <v>931</v>
      </c>
      <c r="B286" s="13" t="s">
        <v>294</v>
      </c>
      <c r="C286" s="164">
        <v>1313012.965701743</v>
      </c>
      <c r="D286" s="164">
        <v>-3298.6731226030506</v>
      </c>
      <c r="E286" s="164">
        <v>-338198.78464229597</v>
      </c>
      <c r="F286" s="300">
        <f>Verokompensaatiot[[#This Row],[Korvaukset vuosilta 2010-2023, €]]+Verokompensaatiot[[#This Row],[Veromenetysten korvaus 2024]]+Verokompensaatiot[[#This Row],[Veromenetysten korvaus 2025]]</f>
        <v>971515.50793684414</v>
      </c>
    </row>
    <row r="287" spans="1:6">
      <c r="A287" s="32">
        <v>934</v>
      </c>
      <c r="B287" s="13" t="s">
        <v>295</v>
      </c>
      <c r="C287" s="164">
        <v>565563.69020306994</v>
      </c>
      <c r="D287" s="164">
        <v>-3664.599877405436</v>
      </c>
      <c r="E287" s="164">
        <v>-203464.07628972994</v>
      </c>
      <c r="F287" s="300">
        <f>Verokompensaatiot[[#This Row],[Korvaukset vuosilta 2010-2023, €]]+Verokompensaatiot[[#This Row],[Veromenetysten korvaus 2024]]+Verokompensaatiot[[#This Row],[Veromenetysten korvaus 2025]]</f>
        <v>358435.01403593458</v>
      </c>
    </row>
    <row r="288" spans="1:6">
      <c r="A288" s="32">
        <v>935</v>
      </c>
      <c r="B288" s="13" t="s">
        <v>296</v>
      </c>
      <c r="C288" s="164">
        <v>632603.8478659899</v>
      </c>
      <c r="D288" s="164">
        <v>-10116.522724127277</v>
      </c>
      <c r="E288" s="164">
        <v>-209655.56316407066</v>
      </c>
      <c r="F288" s="300">
        <f>Verokompensaatiot[[#This Row],[Korvaukset vuosilta 2010-2023, €]]+Verokompensaatiot[[#This Row],[Veromenetysten korvaus 2024]]+Verokompensaatiot[[#This Row],[Veromenetysten korvaus 2025]]</f>
        <v>412831.76197779196</v>
      </c>
    </row>
    <row r="289" spans="1:6">
      <c r="A289" s="32">
        <v>936</v>
      </c>
      <c r="B289" s="13" t="s">
        <v>297</v>
      </c>
      <c r="C289" s="164">
        <v>1423625.6235486302</v>
      </c>
      <c r="D289" s="164">
        <v>-7046.5084695038131</v>
      </c>
      <c r="E289" s="164">
        <v>-364822.84451510356</v>
      </c>
      <c r="F289" s="300">
        <f>Verokompensaatiot[[#This Row],[Korvaukset vuosilta 2010-2023, €]]+Verokompensaatiot[[#This Row],[Veromenetysten korvaus 2024]]+Verokompensaatiot[[#This Row],[Veromenetysten korvaus 2025]]</f>
        <v>1051756.2705640227</v>
      </c>
    </row>
    <row r="290" spans="1:6">
      <c r="A290" s="32">
        <v>946</v>
      </c>
      <c r="B290" s="13" t="s">
        <v>298</v>
      </c>
      <c r="C290" s="164">
        <v>1380218.5947131673</v>
      </c>
      <c r="D290" s="164">
        <v>-16183.450541126163</v>
      </c>
      <c r="E290" s="164">
        <v>-482623.4988778304</v>
      </c>
      <c r="F290" s="300">
        <f>Verokompensaatiot[[#This Row],[Korvaukset vuosilta 2010-2023, €]]+Verokompensaatiot[[#This Row],[Veromenetysten korvaus 2024]]+Verokompensaatiot[[#This Row],[Veromenetysten korvaus 2025]]</f>
        <v>881411.64529421087</v>
      </c>
    </row>
    <row r="291" spans="1:6">
      <c r="A291" s="32">
        <v>976</v>
      </c>
      <c r="B291" s="13" t="s">
        <v>299</v>
      </c>
      <c r="C291" s="164">
        <v>829621.10435336339</v>
      </c>
      <c r="D291" s="164">
        <v>-6850.0211902480742</v>
      </c>
      <c r="E291" s="164">
        <v>-202804.91809796626</v>
      </c>
      <c r="F291" s="300">
        <f>Verokompensaatiot[[#This Row],[Korvaukset vuosilta 2010-2023, €]]+Verokompensaatiot[[#This Row],[Veromenetysten korvaus 2024]]+Verokompensaatiot[[#This Row],[Veromenetysten korvaus 2025]]</f>
        <v>619966.16506514908</v>
      </c>
    </row>
    <row r="292" spans="1:6">
      <c r="A292" s="32">
        <v>977</v>
      </c>
      <c r="B292" s="13" t="s">
        <v>300</v>
      </c>
      <c r="C292" s="164">
        <v>2434887.9310677741</v>
      </c>
      <c r="D292" s="164">
        <v>-1474.647877423824</v>
      </c>
      <c r="E292" s="164">
        <v>-1332501.8557925238</v>
      </c>
      <c r="F292" s="300">
        <f>Verokompensaatiot[[#This Row],[Korvaukset vuosilta 2010-2023, €]]+Verokompensaatiot[[#This Row],[Veromenetysten korvaus 2024]]+Verokompensaatiot[[#This Row],[Veromenetysten korvaus 2025]]</f>
        <v>1100911.4273978262</v>
      </c>
    </row>
    <row r="293" spans="1:6">
      <c r="A293" s="32">
        <v>980</v>
      </c>
      <c r="B293" s="13" t="s">
        <v>301</v>
      </c>
      <c r="C293" s="164">
        <v>4320934.4172466155</v>
      </c>
      <c r="D293" s="164">
        <v>-99965.103571664047</v>
      </c>
      <c r="E293" s="164">
        <v>-2197414.7269369164</v>
      </c>
      <c r="F293" s="300">
        <f>Verokompensaatiot[[#This Row],[Korvaukset vuosilta 2010-2023, €]]+Verokompensaatiot[[#This Row],[Veromenetysten korvaus 2024]]+Verokompensaatiot[[#This Row],[Veromenetysten korvaus 2025]]</f>
        <v>2023554.5867380355</v>
      </c>
    </row>
    <row r="294" spans="1:6">
      <c r="A294" s="32">
        <v>981</v>
      </c>
      <c r="B294" s="13" t="s">
        <v>302</v>
      </c>
      <c r="C294" s="164">
        <v>512319.97658165707</v>
      </c>
      <c r="D294" s="164">
        <v>-5725.0016940501655</v>
      </c>
      <c r="E294" s="164">
        <v>-165951.40037597399</v>
      </c>
      <c r="F294" s="300">
        <f>Verokompensaatiot[[#This Row],[Korvaukset vuosilta 2010-2023, €]]+Verokompensaatiot[[#This Row],[Veromenetysten korvaus 2024]]+Verokompensaatiot[[#This Row],[Veromenetysten korvaus 2025]]</f>
        <v>340643.57451163291</v>
      </c>
    </row>
    <row r="295" spans="1:6">
      <c r="A295" s="32">
        <v>989</v>
      </c>
      <c r="B295" s="13" t="s">
        <v>303</v>
      </c>
      <c r="C295" s="164">
        <v>1159091.2377425535</v>
      </c>
      <c r="D295" s="164">
        <v>-8814.1020562735011</v>
      </c>
      <c r="E295" s="164">
        <v>-393072.87106353045</v>
      </c>
      <c r="F295" s="300">
        <f>Verokompensaatiot[[#This Row],[Korvaukset vuosilta 2010-2023, €]]+Verokompensaatiot[[#This Row],[Veromenetysten korvaus 2024]]+Verokompensaatiot[[#This Row],[Veromenetysten korvaus 2025]]</f>
        <v>757204.26462274953</v>
      </c>
    </row>
    <row r="296" spans="1:6">
      <c r="A296" s="32">
        <v>992</v>
      </c>
      <c r="B296" s="13" t="s">
        <v>304</v>
      </c>
      <c r="C296" s="164">
        <v>2981917.2262499053</v>
      </c>
      <c r="D296" s="164">
        <v>-47616.011511176992</v>
      </c>
      <c r="E296" s="164">
        <v>-1238360.9247010613</v>
      </c>
      <c r="F296" s="300">
        <f>Verokompensaatiot[[#This Row],[Korvaukset vuosilta 2010-2023, €]]+Verokompensaatiot[[#This Row],[Veromenetysten korvaus 2024]]+Verokompensaatiot[[#This Row],[Veromenetysten korvaus 2025]]</f>
        <v>1695940.2900376671</v>
      </c>
    </row>
    <row r="297" spans="1:6">
      <c r="A297" s="302"/>
    </row>
  </sheetData>
  <pageMargins left="0.7" right="0.7" top="0.75" bottom="0.75" header="0.3" footer="0.3"/>
  <pageSetup paperSize="9" orientation="portrait" r:id="rId1"/>
  <ignoredErrors>
    <ignoredError sqref="F4:F182 F183:F296"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0"/>
  <sheetViews>
    <sheetView zoomScale="80" zoomScaleNormal="80" workbookViewId="0"/>
  </sheetViews>
  <sheetFormatPr defaultRowHeight="15"/>
  <cols>
    <col min="1" max="1" width="24" style="242" customWidth="1"/>
    <col min="2" max="2" width="39.125" style="36" bestFit="1" customWidth="1"/>
    <col min="3" max="3" width="20.5" style="41" customWidth="1"/>
    <col min="4" max="4" width="9.625" style="41" customWidth="1"/>
    <col min="5" max="5" width="20.125" style="41" customWidth="1"/>
    <col min="6" max="6" width="22.125" style="132" customWidth="1"/>
    <col min="7" max="11" width="9" style="21"/>
  </cols>
  <sheetData>
    <row r="1" spans="1:11" ht="24" thickBot="1">
      <c r="A1" s="532" t="s">
        <v>1149</v>
      </c>
      <c r="B1" s="548"/>
      <c r="C1" s="321"/>
      <c r="F1" s="160"/>
    </row>
    <row r="2" spans="1:11" ht="15.75" thickTop="1">
      <c r="A2" s="242" t="s">
        <v>1150</v>
      </c>
    </row>
    <row r="3" spans="1:11">
      <c r="A3" s="242" t="s">
        <v>1151</v>
      </c>
    </row>
    <row r="4" spans="1:11">
      <c r="A4" s="533" t="s">
        <v>1152</v>
      </c>
      <c r="B4" s="534">
        <v>7880.65</v>
      </c>
    </row>
    <row r="5" spans="1:11">
      <c r="C5" s="535"/>
      <c r="D5" s="535"/>
      <c r="E5" s="535"/>
      <c r="F5" s="535"/>
    </row>
    <row r="6" spans="1:11" s="537" customFormat="1" ht="28.5">
      <c r="A6" s="214" t="s">
        <v>865</v>
      </c>
      <c r="B6" s="213" t="s">
        <v>866</v>
      </c>
      <c r="C6" s="215" t="s">
        <v>867</v>
      </c>
      <c r="D6" s="215" t="s">
        <v>868</v>
      </c>
      <c r="E6" s="215" t="s">
        <v>869</v>
      </c>
      <c r="F6" s="215" t="s">
        <v>870</v>
      </c>
      <c r="G6" s="536"/>
      <c r="H6" s="536"/>
      <c r="I6" s="536"/>
      <c r="J6" s="536"/>
      <c r="K6" s="536"/>
    </row>
    <row r="7" spans="1:11" ht="14.25">
      <c r="A7" s="42"/>
      <c r="B7" s="131" t="s">
        <v>871</v>
      </c>
      <c r="F7" s="538">
        <f>F8-D8</f>
        <v>22450918.837547079</v>
      </c>
    </row>
    <row r="8" spans="1:11">
      <c r="A8" s="132"/>
      <c r="B8" s="36" t="s">
        <v>11</v>
      </c>
      <c r="C8" s="38">
        <f>SUM(C9:C375)</f>
        <v>381039646.96930712</v>
      </c>
      <c r="D8" s="38">
        <f>SUM(D9:D375)</f>
        <v>8845246.8516988624</v>
      </c>
      <c r="E8" s="38">
        <f>SUM(E9:E375)</f>
        <v>358588728.13176006</v>
      </c>
      <c r="F8" s="539">
        <f>C8+D8-E8</f>
        <v>31296165.689245939</v>
      </c>
    </row>
    <row r="9" spans="1:11" s="45" customFormat="1">
      <c r="A9" s="540">
        <v>5</v>
      </c>
      <c r="B9" s="36" t="s">
        <v>872</v>
      </c>
      <c r="C9" s="41">
        <v>2862600.4047300015</v>
      </c>
      <c r="D9" s="41">
        <v>0</v>
      </c>
      <c r="E9" s="15">
        <v>585217.06900000002</v>
      </c>
      <c r="F9" s="541">
        <f t="shared" ref="F9:F72" si="0">C9+D9-E9</f>
        <v>2277383.3357300013</v>
      </c>
      <c r="G9" s="112"/>
      <c r="H9" s="112"/>
      <c r="I9" s="112"/>
      <c r="J9" s="112"/>
      <c r="K9" s="112"/>
    </row>
    <row r="10" spans="1:11" s="45" customFormat="1">
      <c r="A10" s="540">
        <v>9</v>
      </c>
      <c r="B10" s="36" t="s">
        <v>873</v>
      </c>
      <c r="C10" s="41">
        <v>100746.22960000001</v>
      </c>
      <c r="D10" s="41">
        <v>0</v>
      </c>
      <c r="E10" s="15">
        <v>26668.119599999998</v>
      </c>
      <c r="F10" s="541">
        <f t="shared" si="0"/>
        <v>74078.110000000015</v>
      </c>
      <c r="G10" s="112"/>
      <c r="H10" s="112"/>
      <c r="I10" s="112"/>
      <c r="J10" s="112"/>
      <c r="K10" s="112"/>
    </row>
    <row r="11" spans="1:11" s="45" customFormat="1">
      <c r="A11" s="540">
        <v>10</v>
      </c>
      <c r="B11" s="36" t="s">
        <v>874</v>
      </c>
      <c r="C11" s="41">
        <v>174824.33960000001</v>
      </c>
      <c r="D11" s="41">
        <v>0</v>
      </c>
      <c r="E11" s="15">
        <v>166009.04450999998</v>
      </c>
      <c r="F11" s="541">
        <f t="shared" si="0"/>
        <v>8815.2950900000287</v>
      </c>
      <c r="G11" s="112"/>
      <c r="H11" s="112"/>
      <c r="I11" s="112"/>
      <c r="J11" s="112"/>
      <c r="K11" s="112"/>
    </row>
    <row r="12" spans="1:11" s="45" customFormat="1">
      <c r="A12" s="540">
        <v>16</v>
      </c>
      <c r="B12" s="36" t="s">
        <v>875</v>
      </c>
      <c r="C12" s="41">
        <v>586698.63119999995</v>
      </c>
      <c r="D12" s="41">
        <v>0</v>
      </c>
      <c r="E12" s="15">
        <v>107933.38240000002</v>
      </c>
      <c r="F12" s="541">
        <f t="shared" si="0"/>
        <v>478765.24879999994</v>
      </c>
      <c r="G12" s="112"/>
      <c r="H12" s="112"/>
      <c r="I12" s="112"/>
      <c r="J12" s="112"/>
      <c r="K12" s="112"/>
    </row>
    <row r="13" spans="1:11" s="45" customFormat="1">
      <c r="A13" s="540">
        <v>18</v>
      </c>
      <c r="B13" s="36" t="s">
        <v>876</v>
      </c>
      <c r="C13" s="41">
        <v>806192.07112999994</v>
      </c>
      <c r="D13" s="41">
        <v>0</v>
      </c>
      <c r="E13" s="15">
        <v>294105.85799999995</v>
      </c>
      <c r="F13" s="541">
        <f t="shared" si="0"/>
        <v>512086.21312999999</v>
      </c>
      <c r="G13" s="112"/>
      <c r="H13" s="112"/>
      <c r="I13" s="112"/>
      <c r="J13" s="112"/>
      <c r="K13" s="112"/>
    </row>
    <row r="14" spans="1:11" s="45" customFormat="1">
      <c r="A14" s="540">
        <v>19</v>
      </c>
      <c r="B14" s="36" t="s">
        <v>877</v>
      </c>
      <c r="C14" s="41">
        <v>248976.52770999999</v>
      </c>
      <c r="D14" s="41">
        <v>0</v>
      </c>
      <c r="E14" s="15">
        <v>162971.842</v>
      </c>
      <c r="F14" s="541">
        <f t="shared" si="0"/>
        <v>86004.685709999991</v>
      </c>
      <c r="G14" s="112"/>
      <c r="H14" s="112"/>
      <c r="I14" s="112"/>
      <c r="J14" s="112"/>
      <c r="K14" s="112"/>
    </row>
    <row r="15" spans="1:11" s="45" customFormat="1">
      <c r="A15" s="540">
        <v>20</v>
      </c>
      <c r="B15" s="36" t="s">
        <v>878</v>
      </c>
      <c r="C15" s="41">
        <v>335203.44775000005</v>
      </c>
      <c r="D15" s="41">
        <v>0</v>
      </c>
      <c r="E15" s="15">
        <v>704561.6325999999</v>
      </c>
      <c r="F15" s="541">
        <f t="shared" si="0"/>
        <v>-369358.18484999985</v>
      </c>
      <c r="G15" s="112"/>
      <c r="H15" s="112"/>
      <c r="I15" s="112"/>
      <c r="J15" s="112"/>
      <c r="K15" s="112"/>
    </row>
    <row r="16" spans="1:11" s="45" customFormat="1">
      <c r="A16" s="540">
        <v>46</v>
      </c>
      <c r="B16" s="36" t="s">
        <v>879</v>
      </c>
      <c r="C16" s="41">
        <v>351352.47572999995</v>
      </c>
      <c r="D16" s="41">
        <v>0</v>
      </c>
      <c r="E16" s="15">
        <v>26668.119599999998</v>
      </c>
      <c r="F16" s="541">
        <f t="shared" si="0"/>
        <v>324684.35612999997</v>
      </c>
      <c r="G16" s="112"/>
      <c r="H16" s="112"/>
      <c r="I16" s="112"/>
      <c r="J16" s="112"/>
      <c r="K16" s="112"/>
    </row>
    <row r="17" spans="1:11" s="45" customFormat="1">
      <c r="A17" s="540">
        <v>47</v>
      </c>
      <c r="B17" s="36" t="s">
        <v>880</v>
      </c>
      <c r="C17" s="41">
        <v>0</v>
      </c>
      <c r="D17" s="41">
        <v>0</v>
      </c>
      <c r="E17" s="15">
        <v>42965.303800000002</v>
      </c>
      <c r="F17" s="541">
        <f t="shared" si="0"/>
        <v>-42965.303800000002</v>
      </c>
      <c r="G17" s="112"/>
      <c r="H17" s="112"/>
      <c r="I17" s="112"/>
      <c r="J17" s="112"/>
      <c r="K17" s="112"/>
    </row>
    <row r="18" spans="1:11" s="45" customFormat="1">
      <c r="A18" s="540">
        <v>49</v>
      </c>
      <c r="B18" s="36" t="s">
        <v>881</v>
      </c>
      <c r="C18" s="41">
        <v>3433890.7890500007</v>
      </c>
      <c r="D18" s="41">
        <v>0</v>
      </c>
      <c r="E18" s="15">
        <v>20251907.147550009</v>
      </c>
      <c r="F18" s="541">
        <f t="shared" si="0"/>
        <v>-16818016.358500008</v>
      </c>
      <c r="G18" s="112"/>
      <c r="H18" s="112"/>
      <c r="I18" s="112"/>
      <c r="J18" s="112"/>
      <c r="K18" s="112"/>
    </row>
    <row r="19" spans="1:11" s="45" customFormat="1">
      <c r="A19" s="540">
        <v>50</v>
      </c>
      <c r="B19" s="36" t="s">
        <v>882</v>
      </c>
      <c r="C19" s="41">
        <v>385428.40632999991</v>
      </c>
      <c r="D19" s="41">
        <v>0</v>
      </c>
      <c r="E19" s="15">
        <v>153357.44900000002</v>
      </c>
      <c r="F19" s="541">
        <f t="shared" si="0"/>
        <v>232070.95732999989</v>
      </c>
      <c r="G19" s="112"/>
      <c r="H19" s="112"/>
      <c r="I19" s="112"/>
      <c r="J19" s="112"/>
      <c r="K19" s="112"/>
    </row>
    <row r="20" spans="1:11" s="45" customFormat="1">
      <c r="A20" s="540">
        <v>51</v>
      </c>
      <c r="B20" s="36" t="s">
        <v>883</v>
      </c>
      <c r="C20" s="41">
        <v>339277.7438</v>
      </c>
      <c r="D20" s="41">
        <v>0</v>
      </c>
      <c r="E20" s="15">
        <v>378050.54180000001</v>
      </c>
      <c r="F20" s="541">
        <f t="shared" si="0"/>
        <v>-38772.79800000001</v>
      </c>
      <c r="G20" s="112"/>
      <c r="H20" s="112"/>
      <c r="I20" s="112"/>
      <c r="J20" s="112"/>
      <c r="K20" s="112"/>
    </row>
    <row r="21" spans="1:11" s="45" customFormat="1">
      <c r="A21" s="540">
        <v>52</v>
      </c>
      <c r="B21" s="36" t="s">
        <v>884</v>
      </c>
      <c r="C21" s="41">
        <v>48891.552599999995</v>
      </c>
      <c r="D21" s="41">
        <v>0</v>
      </c>
      <c r="E21" s="15">
        <v>86835.306219999999</v>
      </c>
      <c r="F21" s="541">
        <f t="shared" si="0"/>
        <v>-37943.753620000003</v>
      </c>
      <c r="G21" s="112"/>
      <c r="H21" s="112"/>
      <c r="I21" s="112"/>
      <c r="J21" s="112"/>
      <c r="K21" s="112"/>
    </row>
    <row r="22" spans="1:11" s="45" customFormat="1">
      <c r="A22" s="540">
        <v>61</v>
      </c>
      <c r="B22" s="36" t="s">
        <v>885</v>
      </c>
      <c r="C22" s="41">
        <v>743003.44329999981</v>
      </c>
      <c r="D22" s="41">
        <v>0</v>
      </c>
      <c r="E22" s="15">
        <v>433446.78290999995</v>
      </c>
      <c r="F22" s="541">
        <f t="shared" si="0"/>
        <v>309556.66038999986</v>
      </c>
      <c r="G22" s="112"/>
      <c r="H22" s="112"/>
      <c r="I22" s="112"/>
      <c r="J22" s="112"/>
      <c r="K22" s="112"/>
    </row>
    <row r="23" spans="1:11" s="45" customFormat="1">
      <c r="A23" s="540">
        <v>69</v>
      </c>
      <c r="B23" s="36" t="s">
        <v>886</v>
      </c>
      <c r="C23" s="41">
        <v>155564.03099999999</v>
      </c>
      <c r="D23" s="41">
        <v>0</v>
      </c>
      <c r="E23" s="15">
        <v>123043.74071000001</v>
      </c>
      <c r="F23" s="541">
        <f t="shared" si="0"/>
        <v>32520.290289999975</v>
      </c>
      <c r="G23" s="112"/>
      <c r="H23" s="112"/>
      <c r="I23" s="112"/>
      <c r="J23" s="112"/>
      <c r="K23" s="112"/>
    </row>
    <row r="24" spans="1:11" s="45" customFormat="1">
      <c r="A24" s="540">
        <v>71</v>
      </c>
      <c r="B24" s="36" t="s">
        <v>887</v>
      </c>
      <c r="C24" s="41">
        <v>189639.96160000001</v>
      </c>
      <c r="D24" s="41">
        <v>0</v>
      </c>
      <c r="E24" s="15">
        <v>200159.05322</v>
      </c>
      <c r="F24" s="541">
        <f t="shared" si="0"/>
        <v>-10519.091619999992</v>
      </c>
      <c r="G24" s="112"/>
      <c r="H24" s="112"/>
      <c r="I24" s="112"/>
      <c r="J24" s="112"/>
      <c r="K24" s="112"/>
    </row>
    <row r="25" spans="1:11" s="45" customFormat="1">
      <c r="A25" s="540">
        <v>72</v>
      </c>
      <c r="B25" s="36" t="s">
        <v>888</v>
      </c>
      <c r="C25" s="41">
        <v>0</v>
      </c>
      <c r="D25" s="41">
        <v>0</v>
      </c>
      <c r="E25" s="15">
        <v>22223.432999999997</v>
      </c>
      <c r="F25" s="541">
        <f t="shared" si="0"/>
        <v>-22223.432999999997</v>
      </c>
      <c r="G25" s="112"/>
      <c r="H25" s="112"/>
      <c r="I25" s="112"/>
      <c r="J25" s="112"/>
      <c r="K25" s="112"/>
    </row>
    <row r="26" spans="1:11" s="45" customFormat="1">
      <c r="A26" s="540">
        <v>74</v>
      </c>
      <c r="B26" s="36" t="s">
        <v>889</v>
      </c>
      <c r="C26" s="41">
        <v>54891.879510000006</v>
      </c>
      <c r="D26" s="41">
        <v>0</v>
      </c>
      <c r="E26" s="15">
        <v>11852.497600000001</v>
      </c>
      <c r="F26" s="541">
        <f t="shared" si="0"/>
        <v>43039.381910000004</v>
      </c>
      <c r="G26" s="112"/>
      <c r="H26" s="112"/>
      <c r="I26" s="112"/>
      <c r="J26" s="112"/>
      <c r="K26" s="112"/>
    </row>
    <row r="27" spans="1:11" s="45" customFormat="1">
      <c r="A27" s="540">
        <v>75</v>
      </c>
      <c r="B27" s="36" t="s">
        <v>890</v>
      </c>
      <c r="C27" s="41">
        <v>305572.20374999999</v>
      </c>
      <c r="D27" s="41">
        <v>0</v>
      </c>
      <c r="E27" s="15">
        <v>315185.02061999997</v>
      </c>
      <c r="F27" s="541">
        <f t="shared" si="0"/>
        <v>-9612.8168699999806</v>
      </c>
      <c r="G27" s="112"/>
      <c r="H27" s="112"/>
      <c r="I27" s="112"/>
      <c r="J27" s="112"/>
      <c r="K27" s="112"/>
    </row>
    <row r="28" spans="1:11" s="45" customFormat="1">
      <c r="A28" s="540">
        <v>77</v>
      </c>
      <c r="B28" s="36" t="s">
        <v>891</v>
      </c>
      <c r="C28" s="41">
        <v>133414.67611</v>
      </c>
      <c r="D28" s="41">
        <v>0</v>
      </c>
      <c r="E28" s="15">
        <v>134569.97939999998</v>
      </c>
      <c r="F28" s="541">
        <f t="shared" si="0"/>
        <v>-1155.3032899999816</v>
      </c>
      <c r="G28" s="112"/>
      <c r="H28" s="112"/>
      <c r="I28" s="112"/>
      <c r="J28" s="112"/>
      <c r="K28" s="112"/>
    </row>
    <row r="29" spans="1:11" s="45" customFormat="1">
      <c r="A29" s="540">
        <v>78</v>
      </c>
      <c r="B29" s="36" t="s">
        <v>892</v>
      </c>
      <c r="C29" s="41">
        <v>186824.99342000001</v>
      </c>
      <c r="D29" s="41">
        <v>0</v>
      </c>
      <c r="E29" s="15">
        <v>147147.49679999999</v>
      </c>
      <c r="F29" s="541">
        <f t="shared" si="0"/>
        <v>39677.49662000002</v>
      </c>
      <c r="G29" s="112"/>
      <c r="H29" s="112"/>
      <c r="I29" s="112"/>
      <c r="J29" s="112"/>
      <c r="K29" s="112"/>
    </row>
    <row r="30" spans="1:11" s="45" customFormat="1">
      <c r="A30" s="540">
        <v>79</v>
      </c>
      <c r="B30" s="36" t="s">
        <v>893</v>
      </c>
      <c r="C30" s="41">
        <v>210455.91051000002</v>
      </c>
      <c r="D30" s="41">
        <v>0</v>
      </c>
      <c r="E30" s="15">
        <v>163045.92010999998</v>
      </c>
      <c r="F30" s="541">
        <f t="shared" si="0"/>
        <v>47409.990400000039</v>
      </c>
      <c r="G30" s="112"/>
      <c r="H30" s="112"/>
      <c r="I30" s="112"/>
      <c r="J30" s="112"/>
      <c r="K30" s="112"/>
    </row>
    <row r="31" spans="1:11" s="45" customFormat="1">
      <c r="A31" s="540">
        <v>81</v>
      </c>
      <c r="B31" s="36" t="s">
        <v>894</v>
      </c>
      <c r="C31" s="41">
        <v>14815.621999999998</v>
      </c>
      <c r="D31" s="41">
        <v>0</v>
      </c>
      <c r="E31" s="15">
        <v>121562.17851000001</v>
      </c>
      <c r="F31" s="541">
        <f t="shared" si="0"/>
        <v>-106746.55651000001</v>
      </c>
      <c r="G31" s="112"/>
      <c r="H31" s="112"/>
      <c r="I31" s="112"/>
      <c r="J31" s="112"/>
      <c r="K31" s="112"/>
    </row>
    <row r="32" spans="1:11" s="45" customFormat="1">
      <c r="A32" s="540">
        <v>82</v>
      </c>
      <c r="B32" s="36" t="s">
        <v>895</v>
      </c>
      <c r="C32" s="41">
        <v>229790.29721999998</v>
      </c>
      <c r="D32" s="41">
        <v>0</v>
      </c>
      <c r="E32" s="15">
        <v>161595.88050999999</v>
      </c>
      <c r="F32" s="541">
        <f t="shared" si="0"/>
        <v>68194.41670999999</v>
      </c>
      <c r="G32" s="112"/>
      <c r="H32" s="112"/>
      <c r="I32" s="112"/>
      <c r="J32" s="112"/>
      <c r="K32" s="112"/>
    </row>
    <row r="33" spans="1:11" s="45" customFormat="1">
      <c r="A33" s="540">
        <v>86</v>
      </c>
      <c r="B33" s="36" t="s">
        <v>896</v>
      </c>
      <c r="C33" s="41">
        <v>410689.04183999996</v>
      </c>
      <c r="D33" s="41">
        <v>0</v>
      </c>
      <c r="E33" s="15">
        <v>937240.97611000005</v>
      </c>
      <c r="F33" s="541">
        <f t="shared" si="0"/>
        <v>-526551.93427000009</v>
      </c>
      <c r="G33" s="112"/>
      <c r="H33" s="112"/>
      <c r="I33" s="112"/>
      <c r="J33" s="112"/>
      <c r="K33" s="112"/>
    </row>
    <row r="34" spans="1:11" s="45" customFormat="1">
      <c r="A34" s="540">
        <v>90</v>
      </c>
      <c r="B34" s="36" t="s">
        <v>897</v>
      </c>
      <c r="C34" s="41">
        <v>35557.4928</v>
      </c>
      <c r="D34" s="41">
        <v>0</v>
      </c>
      <c r="E34" s="15">
        <v>78596.874710000004</v>
      </c>
      <c r="F34" s="541">
        <f t="shared" si="0"/>
        <v>-43039.381910000004</v>
      </c>
      <c r="G34" s="112"/>
      <c r="H34" s="112"/>
      <c r="I34" s="112"/>
      <c r="J34" s="112"/>
      <c r="K34" s="112"/>
    </row>
    <row r="35" spans="1:11" s="45" customFormat="1">
      <c r="A35" s="540">
        <v>91</v>
      </c>
      <c r="B35" s="36" t="s">
        <v>898</v>
      </c>
      <c r="C35" s="41">
        <v>5143539.4897400001</v>
      </c>
      <c r="D35" s="41">
        <v>0</v>
      </c>
      <c r="E35" s="15">
        <v>109523714.90743007</v>
      </c>
      <c r="F35" s="541">
        <f t="shared" si="0"/>
        <v>-104380175.41769007</v>
      </c>
      <c r="G35" s="112"/>
      <c r="H35" s="112"/>
      <c r="I35" s="112"/>
      <c r="J35" s="112"/>
      <c r="K35" s="112"/>
    </row>
    <row r="36" spans="1:11" s="45" customFormat="1">
      <c r="A36" s="540">
        <v>92</v>
      </c>
      <c r="B36" s="36" t="s">
        <v>899</v>
      </c>
      <c r="C36" s="41">
        <v>4234823.3143700007</v>
      </c>
      <c r="D36" s="41">
        <v>0</v>
      </c>
      <c r="E36" s="15">
        <v>10044685.946780002</v>
      </c>
      <c r="F36" s="541">
        <f t="shared" si="0"/>
        <v>-5809862.632410001</v>
      </c>
      <c r="G36" s="112"/>
      <c r="H36" s="112"/>
      <c r="I36" s="112"/>
      <c r="J36" s="112"/>
      <c r="K36" s="112"/>
    </row>
    <row r="37" spans="1:11" s="45" customFormat="1">
      <c r="A37" s="540">
        <v>97</v>
      </c>
      <c r="B37" s="36" t="s">
        <v>900</v>
      </c>
      <c r="C37" s="41">
        <v>142229.9712</v>
      </c>
      <c r="D37" s="41">
        <v>0</v>
      </c>
      <c r="E37" s="15">
        <v>111191.24311</v>
      </c>
      <c r="F37" s="541">
        <f t="shared" si="0"/>
        <v>31038.728090000004</v>
      </c>
      <c r="G37" s="112"/>
      <c r="H37" s="112"/>
      <c r="I37" s="112"/>
      <c r="J37" s="112"/>
      <c r="K37" s="112"/>
    </row>
    <row r="38" spans="1:11" s="45" customFormat="1">
      <c r="A38" s="540">
        <v>98</v>
      </c>
      <c r="B38" s="36" t="s">
        <v>901</v>
      </c>
      <c r="C38" s="41">
        <v>922050.23517</v>
      </c>
      <c r="D38" s="41">
        <v>0</v>
      </c>
      <c r="E38" s="15">
        <v>3293996.6425100006</v>
      </c>
      <c r="F38" s="541">
        <f t="shared" si="0"/>
        <v>-2371946.4073400004</v>
      </c>
      <c r="G38" s="112"/>
      <c r="H38" s="112"/>
      <c r="I38" s="112"/>
      <c r="J38" s="112"/>
      <c r="K38" s="112"/>
    </row>
    <row r="39" spans="1:11" s="45" customFormat="1">
      <c r="A39" s="540">
        <v>102</v>
      </c>
      <c r="B39" s="36" t="s">
        <v>902</v>
      </c>
      <c r="C39" s="41">
        <v>331944.01090999995</v>
      </c>
      <c r="D39" s="41">
        <v>0</v>
      </c>
      <c r="E39" s="15">
        <v>140023.38920000001</v>
      </c>
      <c r="F39" s="541">
        <f t="shared" si="0"/>
        <v>191920.62170999995</v>
      </c>
      <c r="G39" s="112"/>
      <c r="H39" s="112"/>
      <c r="I39" s="112"/>
      <c r="J39" s="112"/>
      <c r="K39" s="112"/>
    </row>
    <row r="40" spans="1:11" s="45" customFormat="1">
      <c r="A40" s="540">
        <v>103</v>
      </c>
      <c r="B40" s="36" t="s">
        <v>903</v>
      </c>
      <c r="C40" s="41">
        <v>66818.455220000003</v>
      </c>
      <c r="D40" s="41">
        <v>0</v>
      </c>
      <c r="E40" s="15">
        <v>88967.810109999991</v>
      </c>
      <c r="F40" s="541">
        <f t="shared" si="0"/>
        <v>-22149.354889999988</v>
      </c>
      <c r="G40" s="112"/>
      <c r="H40" s="112"/>
      <c r="I40" s="112"/>
      <c r="J40" s="112"/>
      <c r="K40" s="112"/>
    </row>
    <row r="41" spans="1:11" s="45" customFormat="1">
      <c r="A41" s="540">
        <v>105</v>
      </c>
      <c r="B41" s="36" t="s">
        <v>904</v>
      </c>
      <c r="C41" s="41">
        <v>26668.119599999998</v>
      </c>
      <c r="D41" s="41">
        <v>0</v>
      </c>
      <c r="E41" s="15">
        <v>56447.519820000001</v>
      </c>
      <c r="F41" s="541">
        <f t="shared" si="0"/>
        <v>-29779.400220000003</v>
      </c>
      <c r="G41" s="112"/>
      <c r="H41" s="112"/>
      <c r="I41" s="112"/>
      <c r="J41" s="112"/>
      <c r="K41" s="112"/>
    </row>
    <row r="42" spans="1:11" s="45" customFormat="1">
      <c r="A42" s="540">
        <v>106</v>
      </c>
      <c r="B42" s="36" t="s">
        <v>905</v>
      </c>
      <c r="C42" s="41">
        <v>1073021.4233499998</v>
      </c>
      <c r="D42" s="41">
        <v>0</v>
      </c>
      <c r="E42" s="15">
        <v>1103440.7323499997</v>
      </c>
      <c r="F42" s="541">
        <f t="shared" si="0"/>
        <v>-30419.308999999892</v>
      </c>
      <c r="G42" s="112"/>
      <c r="H42" s="112"/>
      <c r="I42" s="112"/>
      <c r="J42" s="112"/>
      <c r="K42" s="112"/>
    </row>
    <row r="43" spans="1:11" s="45" customFormat="1">
      <c r="A43" s="540">
        <v>108</v>
      </c>
      <c r="B43" s="36" t="s">
        <v>906</v>
      </c>
      <c r="C43" s="41">
        <v>179343.10431</v>
      </c>
      <c r="D43" s="41">
        <v>0</v>
      </c>
      <c r="E43" s="15">
        <v>268919.30060000002</v>
      </c>
      <c r="F43" s="541">
        <f t="shared" si="0"/>
        <v>-89576.196290000022</v>
      </c>
      <c r="G43" s="112"/>
      <c r="H43" s="112"/>
      <c r="I43" s="112"/>
      <c r="J43" s="112"/>
      <c r="K43" s="112"/>
    </row>
    <row r="44" spans="1:11" s="45" customFormat="1">
      <c r="A44" s="540">
        <v>109</v>
      </c>
      <c r="B44" s="36" t="s">
        <v>907</v>
      </c>
      <c r="C44" s="41">
        <v>1250142.1843599998</v>
      </c>
      <c r="D44" s="41">
        <v>0</v>
      </c>
      <c r="E44" s="15">
        <v>1194425.9888599995</v>
      </c>
      <c r="F44" s="541">
        <f t="shared" si="0"/>
        <v>55716.19550000038</v>
      </c>
      <c r="G44" s="112"/>
      <c r="H44" s="112"/>
      <c r="I44" s="112"/>
      <c r="J44" s="112"/>
      <c r="K44" s="112"/>
    </row>
    <row r="45" spans="1:11" s="45" customFormat="1">
      <c r="A45" s="540">
        <v>111</v>
      </c>
      <c r="B45" s="36" t="s">
        <v>908</v>
      </c>
      <c r="C45" s="41">
        <v>373427.7525099999</v>
      </c>
      <c r="D45" s="41">
        <v>0</v>
      </c>
      <c r="E45" s="15">
        <v>231229.30391000002</v>
      </c>
      <c r="F45" s="541">
        <f t="shared" si="0"/>
        <v>142198.44859999989</v>
      </c>
      <c r="G45" s="112"/>
      <c r="H45" s="112"/>
      <c r="I45" s="112"/>
      <c r="J45" s="112"/>
      <c r="K45" s="112"/>
    </row>
    <row r="46" spans="1:11" s="45" customFormat="1">
      <c r="A46" s="540">
        <v>139</v>
      </c>
      <c r="B46" s="36" t="s">
        <v>909</v>
      </c>
      <c r="C46" s="41">
        <v>259347.46310999998</v>
      </c>
      <c r="D46" s="41">
        <v>0</v>
      </c>
      <c r="E46" s="15">
        <v>171609.0344</v>
      </c>
      <c r="F46" s="541">
        <f t="shared" si="0"/>
        <v>87738.428709999978</v>
      </c>
      <c r="G46" s="112"/>
      <c r="H46" s="112"/>
      <c r="I46" s="112"/>
      <c r="J46" s="112"/>
      <c r="K46" s="112"/>
    </row>
    <row r="47" spans="1:11" s="45" customFormat="1">
      <c r="A47" s="540">
        <v>140</v>
      </c>
      <c r="B47" s="36" t="s">
        <v>910</v>
      </c>
      <c r="C47" s="41">
        <v>499434.61761999998</v>
      </c>
      <c r="D47" s="41">
        <v>0</v>
      </c>
      <c r="E47" s="15">
        <v>532103.06412999996</v>
      </c>
      <c r="F47" s="541">
        <f t="shared" si="0"/>
        <v>-32668.44650999998</v>
      </c>
      <c r="G47" s="112"/>
      <c r="H47" s="112"/>
      <c r="I47" s="112"/>
      <c r="J47" s="112"/>
      <c r="K47" s="112"/>
    </row>
    <row r="48" spans="1:11" s="45" customFormat="1">
      <c r="A48" s="540">
        <v>142</v>
      </c>
      <c r="B48" s="36" t="s">
        <v>911</v>
      </c>
      <c r="C48" s="41">
        <v>594180.52030999993</v>
      </c>
      <c r="D48" s="41">
        <v>0</v>
      </c>
      <c r="E48" s="15">
        <v>97058.085400000011</v>
      </c>
      <c r="F48" s="541">
        <f t="shared" si="0"/>
        <v>497122.43490999995</v>
      </c>
      <c r="G48" s="112"/>
      <c r="H48" s="112"/>
      <c r="I48" s="112"/>
      <c r="J48" s="112"/>
      <c r="K48" s="112"/>
    </row>
    <row r="49" spans="1:11" s="45" customFormat="1">
      <c r="A49" s="540">
        <v>143</v>
      </c>
      <c r="B49" s="36" t="s">
        <v>912</v>
      </c>
      <c r="C49" s="41">
        <v>238531.51419999998</v>
      </c>
      <c r="D49" s="41">
        <v>0</v>
      </c>
      <c r="E49" s="15">
        <v>83872.181820000013</v>
      </c>
      <c r="F49" s="541">
        <f t="shared" si="0"/>
        <v>154659.33237999998</v>
      </c>
      <c r="G49" s="112"/>
      <c r="H49" s="112"/>
      <c r="I49" s="112"/>
      <c r="J49" s="112"/>
      <c r="K49" s="112"/>
    </row>
    <row r="50" spans="1:11" s="45" customFormat="1">
      <c r="A50" s="540">
        <v>145</v>
      </c>
      <c r="B50" s="36" t="s">
        <v>913</v>
      </c>
      <c r="C50" s="41">
        <v>370538.70621999993</v>
      </c>
      <c r="D50" s="41">
        <v>0</v>
      </c>
      <c r="E50" s="15">
        <v>222707.16899999997</v>
      </c>
      <c r="F50" s="541">
        <f t="shared" si="0"/>
        <v>147831.53721999997</v>
      </c>
      <c r="G50" s="112"/>
      <c r="H50" s="112"/>
      <c r="I50" s="112"/>
      <c r="J50" s="112"/>
      <c r="K50" s="112"/>
    </row>
    <row r="51" spans="1:11" s="45" customFormat="1">
      <c r="A51" s="540">
        <v>146</v>
      </c>
      <c r="B51" s="36" t="s">
        <v>914</v>
      </c>
      <c r="C51" s="41">
        <v>155712.18722000002</v>
      </c>
      <c r="D51" s="41">
        <v>0</v>
      </c>
      <c r="E51" s="15">
        <v>65262.814909999994</v>
      </c>
      <c r="F51" s="541">
        <f t="shared" si="0"/>
        <v>90449.372310000035</v>
      </c>
      <c r="G51" s="112"/>
      <c r="H51" s="112"/>
      <c r="I51" s="112"/>
      <c r="J51" s="112"/>
      <c r="K51" s="112"/>
    </row>
    <row r="52" spans="1:11" s="45" customFormat="1">
      <c r="A52" s="540">
        <v>148</v>
      </c>
      <c r="B52" s="36" t="s">
        <v>915</v>
      </c>
      <c r="C52" s="41">
        <v>155564.03100000002</v>
      </c>
      <c r="D52" s="41">
        <v>0</v>
      </c>
      <c r="E52" s="15">
        <v>154987.16741999998</v>
      </c>
      <c r="F52" s="541">
        <f t="shared" si="0"/>
        <v>576.86358000003383</v>
      </c>
      <c r="G52" s="112"/>
      <c r="H52" s="112"/>
      <c r="I52" s="112"/>
      <c r="J52" s="112"/>
      <c r="K52" s="112"/>
    </row>
    <row r="53" spans="1:11" s="45" customFormat="1">
      <c r="A53" s="540">
        <v>149</v>
      </c>
      <c r="B53" s="36" t="s">
        <v>1153</v>
      </c>
      <c r="C53" s="41">
        <v>77337.546839999981</v>
      </c>
      <c r="D53" s="41">
        <v>0</v>
      </c>
      <c r="E53" s="15">
        <v>2552447.9672000003</v>
      </c>
      <c r="F53" s="541">
        <f t="shared" si="0"/>
        <v>-2475110.4203600003</v>
      </c>
      <c r="G53" s="112"/>
      <c r="H53" s="112"/>
      <c r="I53" s="112"/>
      <c r="J53" s="112"/>
      <c r="K53" s="112"/>
    </row>
    <row r="54" spans="1:11" s="45" customFormat="1">
      <c r="A54" s="540">
        <v>151</v>
      </c>
      <c r="B54" s="36" t="s">
        <v>916</v>
      </c>
      <c r="C54" s="41">
        <v>74078.11</v>
      </c>
      <c r="D54" s="41">
        <v>0</v>
      </c>
      <c r="E54" s="15">
        <v>11852.497600000001</v>
      </c>
      <c r="F54" s="541">
        <f t="shared" si="0"/>
        <v>62225.612399999998</v>
      </c>
      <c r="G54" s="112"/>
      <c r="H54" s="112"/>
      <c r="I54" s="112"/>
      <c r="J54" s="112"/>
      <c r="K54" s="112"/>
    </row>
    <row r="55" spans="1:11" s="45" customFormat="1">
      <c r="A55" s="540">
        <v>152</v>
      </c>
      <c r="B55" s="36" t="s">
        <v>917</v>
      </c>
      <c r="C55" s="41">
        <v>435579.2868</v>
      </c>
      <c r="D55" s="41">
        <v>0</v>
      </c>
      <c r="E55" s="15">
        <v>122035.01751000001</v>
      </c>
      <c r="F55" s="541">
        <f t="shared" si="0"/>
        <v>313544.26928999997</v>
      </c>
      <c r="G55" s="112"/>
      <c r="H55" s="112"/>
      <c r="I55" s="112"/>
      <c r="J55" s="112"/>
      <c r="K55" s="112"/>
    </row>
    <row r="56" spans="1:11" s="45" customFormat="1">
      <c r="A56" s="540">
        <v>153</v>
      </c>
      <c r="B56" s="36" t="s">
        <v>918</v>
      </c>
      <c r="C56" s="41">
        <v>612181.50104</v>
      </c>
      <c r="D56" s="41">
        <v>0</v>
      </c>
      <c r="E56" s="15">
        <v>1507601.4437299995</v>
      </c>
      <c r="F56" s="541">
        <f t="shared" si="0"/>
        <v>-895419.94268999947</v>
      </c>
      <c r="G56" s="112"/>
      <c r="H56" s="112"/>
      <c r="I56" s="112"/>
      <c r="J56" s="112"/>
      <c r="K56" s="112"/>
    </row>
    <row r="57" spans="1:11" s="45" customFormat="1">
      <c r="A57" s="540">
        <v>165</v>
      </c>
      <c r="B57" s="36" t="s">
        <v>919</v>
      </c>
      <c r="C57" s="41">
        <v>740781.1</v>
      </c>
      <c r="D57" s="41">
        <v>0</v>
      </c>
      <c r="E57" s="15">
        <v>490523.17859999998</v>
      </c>
      <c r="F57" s="541">
        <f t="shared" si="0"/>
        <v>250257.92139999999</v>
      </c>
      <c r="G57" s="112"/>
      <c r="H57" s="112"/>
      <c r="I57" s="112"/>
      <c r="J57" s="112"/>
      <c r="K57" s="112"/>
    </row>
    <row r="58" spans="1:11" s="45" customFormat="1">
      <c r="A58" s="540">
        <v>167</v>
      </c>
      <c r="B58" s="36" t="s">
        <v>920</v>
      </c>
      <c r="C58" s="41">
        <v>1204361.9123800001</v>
      </c>
      <c r="D58" s="41">
        <v>0</v>
      </c>
      <c r="E58" s="15">
        <v>11456829.077060001</v>
      </c>
      <c r="F58" s="541">
        <f t="shared" si="0"/>
        <v>-10252467.16468</v>
      </c>
      <c r="G58" s="112"/>
      <c r="H58" s="112"/>
      <c r="I58" s="112"/>
      <c r="J58" s="112"/>
      <c r="K58" s="112"/>
    </row>
    <row r="59" spans="1:11" s="45" customFormat="1">
      <c r="A59" s="540">
        <v>169</v>
      </c>
      <c r="B59" s="36" t="s">
        <v>921</v>
      </c>
      <c r="C59" s="41">
        <v>158675.31161999999</v>
      </c>
      <c r="D59" s="41">
        <v>0</v>
      </c>
      <c r="E59" s="15">
        <v>173342.77739999996</v>
      </c>
      <c r="F59" s="541">
        <f t="shared" si="0"/>
        <v>-14667.46577999997</v>
      </c>
      <c r="G59" s="112"/>
      <c r="H59" s="112"/>
      <c r="I59" s="112"/>
      <c r="J59" s="112"/>
      <c r="K59" s="112"/>
    </row>
    <row r="60" spans="1:11" s="45" customFormat="1">
      <c r="A60" s="540">
        <v>171</v>
      </c>
      <c r="B60" s="36" t="s">
        <v>922</v>
      </c>
      <c r="C60" s="41">
        <v>82967.483200000002</v>
      </c>
      <c r="D60" s="41">
        <v>0</v>
      </c>
      <c r="E60" s="15">
        <v>100746.22959999999</v>
      </c>
      <c r="F60" s="541">
        <f t="shared" si="0"/>
        <v>-17778.746399999989</v>
      </c>
      <c r="G60" s="112"/>
      <c r="H60" s="112"/>
      <c r="I60" s="112"/>
      <c r="J60" s="112"/>
      <c r="K60" s="112"/>
    </row>
    <row r="61" spans="1:11" s="45" customFormat="1">
      <c r="A61" s="540">
        <v>172</v>
      </c>
      <c r="B61" s="36" t="s">
        <v>923</v>
      </c>
      <c r="C61" s="41">
        <v>312683.70230999996</v>
      </c>
      <c r="D61" s="41">
        <v>0</v>
      </c>
      <c r="E61" s="15">
        <v>416393.05630999996</v>
      </c>
      <c r="F61" s="541">
        <f t="shared" si="0"/>
        <v>-103709.35399999999</v>
      </c>
      <c r="G61" s="112"/>
      <c r="H61" s="112"/>
      <c r="I61" s="112"/>
      <c r="J61" s="112"/>
      <c r="K61" s="112"/>
    </row>
    <row r="62" spans="1:11" s="45" customFormat="1">
      <c r="A62" s="540">
        <v>176</v>
      </c>
      <c r="B62" s="36" t="s">
        <v>924</v>
      </c>
      <c r="C62" s="41">
        <v>90375.294200000004</v>
      </c>
      <c r="D62" s="41">
        <v>0</v>
      </c>
      <c r="E62" s="15">
        <v>253495.29241999998</v>
      </c>
      <c r="F62" s="541">
        <f t="shared" si="0"/>
        <v>-163119.99821999998</v>
      </c>
      <c r="G62" s="112"/>
      <c r="H62" s="112"/>
      <c r="I62" s="112"/>
      <c r="J62" s="112"/>
      <c r="K62" s="112"/>
    </row>
    <row r="63" spans="1:11" s="45" customFormat="1">
      <c r="A63" s="540">
        <v>177</v>
      </c>
      <c r="B63" s="36" t="s">
        <v>925</v>
      </c>
      <c r="C63" s="41">
        <v>203122.17761999997</v>
      </c>
      <c r="D63" s="41">
        <v>0</v>
      </c>
      <c r="E63" s="15">
        <v>51886.1996</v>
      </c>
      <c r="F63" s="541">
        <f t="shared" si="0"/>
        <v>151235.97801999998</v>
      </c>
      <c r="G63" s="112"/>
      <c r="H63" s="112"/>
      <c r="I63" s="112"/>
      <c r="J63" s="112"/>
      <c r="K63" s="112"/>
    </row>
    <row r="64" spans="1:11" s="45" customFormat="1">
      <c r="A64" s="540">
        <v>178</v>
      </c>
      <c r="B64" s="36" t="s">
        <v>926</v>
      </c>
      <c r="C64" s="41">
        <v>171861.21519999998</v>
      </c>
      <c r="D64" s="41">
        <v>0</v>
      </c>
      <c r="E64" s="15">
        <v>139340.92491</v>
      </c>
      <c r="F64" s="541">
        <f t="shared" si="0"/>
        <v>32520.290289999975</v>
      </c>
      <c r="G64" s="112"/>
      <c r="H64" s="112"/>
      <c r="I64" s="112"/>
      <c r="J64" s="112"/>
      <c r="K64" s="112"/>
    </row>
    <row r="65" spans="1:11" s="45" customFormat="1">
      <c r="A65" s="540">
        <v>179</v>
      </c>
      <c r="B65" s="36" t="s">
        <v>927</v>
      </c>
      <c r="C65" s="41">
        <v>1752317.6920499995</v>
      </c>
      <c r="D65" s="41">
        <v>0</v>
      </c>
      <c r="E65" s="15">
        <v>13088703.642899999</v>
      </c>
      <c r="F65" s="541">
        <f t="shared" si="0"/>
        <v>-11336385.950850001</v>
      </c>
      <c r="G65" s="112"/>
      <c r="H65" s="112"/>
      <c r="I65" s="112"/>
      <c r="J65" s="112"/>
      <c r="K65" s="112"/>
    </row>
    <row r="66" spans="1:11" s="45" customFormat="1">
      <c r="A66" s="540">
        <v>181</v>
      </c>
      <c r="B66" s="36" t="s">
        <v>928</v>
      </c>
      <c r="C66" s="41">
        <v>14815.621999999998</v>
      </c>
      <c r="D66" s="41">
        <v>0</v>
      </c>
      <c r="E66" s="15">
        <v>74078.11</v>
      </c>
      <c r="F66" s="541">
        <f t="shared" si="0"/>
        <v>-59262.488000000005</v>
      </c>
      <c r="G66" s="112"/>
      <c r="H66" s="112"/>
      <c r="I66" s="112"/>
      <c r="J66" s="112"/>
      <c r="K66" s="112"/>
    </row>
    <row r="67" spans="1:11" s="45" customFormat="1">
      <c r="A67" s="540">
        <v>182</v>
      </c>
      <c r="B67" s="36" t="s">
        <v>929</v>
      </c>
      <c r="C67" s="41">
        <v>388761.92128000001</v>
      </c>
      <c r="D67" s="41">
        <v>0</v>
      </c>
      <c r="E67" s="15">
        <v>473745.27474999992</v>
      </c>
      <c r="F67" s="541">
        <f t="shared" si="0"/>
        <v>-84983.353469999915</v>
      </c>
      <c r="G67" s="112"/>
      <c r="H67" s="112"/>
      <c r="I67" s="112"/>
      <c r="J67" s="112"/>
      <c r="K67" s="112"/>
    </row>
    <row r="68" spans="1:11" s="45" customFormat="1">
      <c r="A68" s="540">
        <v>186</v>
      </c>
      <c r="B68" s="36" t="s">
        <v>930</v>
      </c>
      <c r="C68" s="41">
        <v>1025611.4329499999</v>
      </c>
      <c r="D68" s="41">
        <v>0</v>
      </c>
      <c r="E68" s="15">
        <v>4049673.7471399992</v>
      </c>
      <c r="F68" s="541">
        <f t="shared" si="0"/>
        <v>-3024062.3141899994</v>
      </c>
      <c r="G68" s="112"/>
      <c r="H68" s="112"/>
      <c r="I68" s="112"/>
      <c r="J68" s="112"/>
      <c r="K68" s="112"/>
    </row>
    <row r="69" spans="1:11" s="45" customFormat="1">
      <c r="A69" s="540">
        <v>202</v>
      </c>
      <c r="B69" s="36" t="s">
        <v>931</v>
      </c>
      <c r="C69" s="41">
        <v>1194583.6018599998</v>
      </c>
      <c r="D69" s="41">
        <v>0</v>
      </c>
      <c r="E69" s="15">
        <v>4099041.2910000011</v>
      </c>
      <c r="F69" s="541">
        <f t="shared" si="0"/>
        <v>-2904457.6891400013</v>
      </c>
      <c r="G69" s="112"/>
      <c r="H69" s="112"/>
      <c r="I69" s="112"/>
      <c r="J69" s="112"/>
      <c r="K69" s="112"/>
    </row>
    <row r="70" spans="1:11" s="45" customFormat="1">
      <c r="A70" s="540">
        <v>204</v>
      </c>
      <c r="B70" s="36" t="s">
        <v>932</v>
      </c>
      <c r="C70" s="41">
        <v>41483.741600000001</v>
      </c>
      <c r="D70" s="41">
        <v>0</v>
      </c>
      <c r="E70" s="15">
        <v>826785.78570999997</v>
      </c>
      <c r="F70" s="541">
        <f t="shared" si="0"/>
        <v>-785302.04411000002</v>
      </c>
      <c r="G70" s="112"/>
      <c r="H70" s="112"/>
      <c r="I70" s="112"/>
      <c r="J70" s="112"/>
      <c r="K70" s="112"/>
    </row>
    <row r="71" spans="1:11" s="45" customFormat="1">
      <c r="A71" s="540">
        <v>205</v>
      </c>
      <c r="B71" s="36" t="s">
        <v>933</v>
      </c>
      <c r="C71" s="41">
        <v>363427.20765999996</v>
      </c>
      <c r="D71" s="41">
        <v>0</v>
      </c>
      <c r="E71" s="15">
        <v>579661.21074999997</v>
      </c>
      <c r="F71" s="541">
        <f t="shared" si="0"/>
        <v>-216234.00309000001</v>
      </c>
      <c r="G71" s="112"/>
      <c r="H71" s="112"/>
      <c r="I71" s="112"/>
      <c r="J71" s="112"/>
      <c r="K71" s="112"/>
    </row>
    <row r="72" spans="1:11" s="45" customFormat="1">
      <c r="A72" s="540">
        <v>208</v>
      </c>
      <c r="B72" s="36" t="s">
        <v>934</v>
      </c>
      <c r="C72" s="41">
        <v>130451.55171</v>
      </c>
      <c r="D72" s="41">
        <v>0</v>
      </c>
      <c r="E72" s="15">
        <v>94094.96100000001</v>
      </c>
      <c r="F72" s="541">
        <f t="shared" si="0"/>
        <v>36356.590709999989</v>
      </c>
      <c r="G72" s="112"/>
      <c r="H72" s="112"/>
      <c r="I72" s="112"/>
      <c r="J72" s="112"/>
      <c r="K72" s="112"/>
    </row>
    <row r="73" spans="1:11" s="45" customFormat="1">
      <c r="A73" s="540">
        <v>211</v>
      </c>
      <c r="B73" s="36" t="s">
        <v>935</v>
      </c>
      <c r="C73" s="41">
        <v>797228.61981999991</v>
      </c>
      <c r="D73" s="41">
        <v>0</v>
      </c>
      <c r="E73" s="15">
        <v>1914815.11892</v>
      </c>
      <c r="F73" s="541">
        <f t="shared" ref="F73:F136" si="1">C73+D73-E73</f>
        <v>-1117586.4991000001</v>
      </c>
      <c r="G73" s="112"/>
      <c r="H73" s="112"/>
      <c r="I73" s="112"/>
      <c r="J73" s="112"/>
      <c r="K73" s="112"/>
    </row>
    <row r="74" spans="1:11" s="45" customFormat="1">
      <c r="A74" s="540">
        <v>213</v>
      </c>
      <c r="B74" s="36" t="s">
        <v>936</v>
      </c>
      <c r="C74" s="41">
        <v>38594.695309999996</v>
      </c>
      <c r="D74" s="41">
        <v>0</v>
      </c>
      <c r="E74" s="15">
        <v>118673.13221999998</v>
      </c>
      <c r="F74" s="541">
        <f t="shared" si="1"/>
        <v>-80078.436909999989</v>
      </c>
      <c r="G74" s="112"/>
      <c r="H74" s="112"/>
      <c r="I74" s="112"/>
      <c r="J74" s="112"/>
      <c r="K74" s="112"/>
    </row>
    <row r="75" spans="1:11" s="45" customFormat="1">
      <c r="A75" s="540">
        <v>214</v>
      </c>
      <c r="B75" s="36" t="s">
        <v>937</v>
      </c>
      <c r="C75" s="41">
        <v>440690.67638999992</v>
      </c>
      <c r="D75" s="41">
        <v>0</v>
      </c>
      <c r="E75" s="15">
        <v>134970.31641999999</v>
      </c>
      <c r="F75" s="541">
        <f t="shared" si="1"/>
        <v>305720.35996999993</v>
      </c>
      <c r="G75" s="112"/>
      <c r="H75" s="112"/>
      <c r="I75" s="112"/>
      <c r="J75" s="112"/>
      <c r="K75" s="112"/>
    </row>
    <row r="76" spans="1:11" s="45" customFormat="1">
      <c r="A76" s="540">
        <v>216</v>
      </c>
      <c r="B76" s="36" t="s">
        <v>938</v>
      </c>
      <c r="C76" s="41">
        <v>68151.861199999999</v>
      </c>
      <c r="D76" s="41">
        <v>0</v>
      </c>
      <c r="E76" s="15">
        <v>34075.9306</v>
      </c>
      <c r="F76" s="541">
        <f t="shared" si="1"/>
        <v>34075.9306</v>
      </c>
      <c r="G76" s="112"/>
      <c r="H76" s="112"/>
      <c r="I76" s="112"/>
      <c r="J76" s="112"/>
      <c r="K76" s="112"/>
    </row>
    <row r="77" spans="1:11" s="45" customFormat="1">
      <c r="A77" s="540">
        <v>217</v>
      </c>
      <c r="B77" s="36" t="s">
        <v>939</v>
      </c>
      <c r="C77" s="41">
        <v>46002.506309999997</v>
      </c>
      <c r="D77" s="41">
        <v>0</v>
      </c>
      <c r="E77" s="15">
        <v>72596.5478</v>
      </c>
      <c r="F77" s="541">
        <f t="shared" si="1"/>
        <v>-26594.041490000003</v>
      </c>
      <c r="G77" s="112"/>
      <c r="H77" s="112"/>
      <c r="I77" s="112"/>
      <c r="J77" s="112"/>
      <c r="K77" s="112"/>
    </row>
    <row r="78" spans="1:11" s="45" customFormat="1">
      <c r="A78" s="540">
        <v>218</v>
      </c>
      <c r="B78" s="36" t="s">
        <v>940</v>
      </c>
      <c r="C78" s="41">
        <v>53410.317309999999</v>
      </c>
      <c r="D78" s="41">
        <v>0</v>
      </c>
      <c r="E78" s="15">
        <v>342240.86819999997</v>
      </c>
      <c r="F78" s="541">
        <f t="shared" si="1"/>
        <v>-288830.55088999995</v>
      </c>
      <c r="G78" s="112"/>
      <c r="H78" s="112"/>
      <c r="I78" s="112"/>
      <c r="J78" s="112"/>
      <c r="K78" s="112"/>
    </row>
    <row r="79" spans="1:11" s="45" customFormat="1">
      <c r="A79" s="540">
        <v>224</v>
      </c>
      <c r="B79" s="36" t="s">
        <v>941</v>
      </c>
      <c r="C79" s="41">
        <v>422319.30510999996</v>
      </c>
      <c r="D79" s="41">
        <v>0</v>
      </c>
      <c r="E79" s="15">
        <v>85962.1302</v>
      </c>
      <c r="F79" s="541">
        <f t="shared" si="1"/>
        <v>336357.17490999994</v>
      </c>
      <c r="G79" s="112"/>
      <c r="H79" s="112"/>
      <c r="I79" s="112"/>
      <c r="J79" s="112"/>
      <c r="K79" s="112"/>
    </row>
    <row r="80" spans="1:11" s="45" customFormat="1">
      <c r="A80" s="540">
        <v>226</v>
      </c>
      <c r="B80" s="36" t="s">
        <v>942</v>
      </c>
      <c r="C80" s="41">
        <v>105190.91620000001</v>
      </c>
      <c r="D80" s="41">
        <v>0</v>
      </c>
      <c r="E80" s="15">
        <v>57780.925800000005</v>
      </c>
      <c r="F80" s="541">
        <f t="shared" si="1"/>
        <v>47409.990400000002</v>
      </c>
      <c r="G80" s="112"/>
      <c r="H80" s="112"/>
      <c r="I80" s="112"/>
      <c r="J80" s="112"/>
      <c r="K80" s="112"/>
    </row>
    <row r="81" spans="1:11" s="45" customFormat="1">
      <c r="A81" s="540">
        <v>230</v>
      </c>
      <c r="B81" s="36" t="s">
        <v>943</v>
      </c>
      <c r="C81" s="41">
        <v>142304.04931</v>
      </c>
      <c r="D81" s="41">
        <v>0</v>
      </c>
      <c r="E81" s="15">
        <v>43586.299019999999</v>
      </c>
      <c r="F81" s="541">
        <f t="shared" si="1"/>
        <v>98717.750289999996</v>
      </c>
      <c r="G81" s="112"/>
      <c r="H81" s="112"/>
      <c r="I81" s="112"/>
      <c r="J81" s="112"/>
      <c r="K81" s="112"/>
    </row>
    <row r="82" spans="1:11" s="45" customFormat="1">
      <c r="A82" s="540">
        <v>231</v>
      </c>
      <c r="B82" s="36" t="s">
        <v>1154</v>
      </c>
      <c r="C82" s="41">
        <v>121636.25662</v>
      </c>
      <c r="D82" s="41">
        <v>0</v>
      </c>
      <c r="E82" s="15">
        <v>275570.56920000003</v>
      </c>
      <c r="F82" s="541">
        <f t="shared" si="1"/>
        <v>-153934.31258000003</v>
      </c>
      <c r="G82" s="112"/>
      <c r="H82" s="112"/>
      <c r="I82" s="112"/>
      <c r="J82" s="112"/>
      <c r="K82" s="112"/>
    </row>
    <row r="83" spans="1:11" s="45" customFormat="1">
      <c r="A83" s="540">
        <v>232</v>
      </c>
      <c r="B83" s="36" t="s">
        <v>944</v>
      </c>
      <c r="C83" s="41">
        <v>251865.57399999999</v>
      </c>
      <c r="D83" s="41">
        <v>0</v>
      </c>
      <c r="E83" s="15">
        <v>189788.11781999998</v>
      </c>
      <c r="F83" s="541">
        <f t="shared" si="1"/>
        <v>62077.456180000008</v>
      </c>
      <c r="G83" s="112"/>
      <c r="H83" s="112"/>
      <c r="I83" s="112"/>
      <c r="J83" s="112"/>
      <c r="K83" s="112"/>
    </row>
    <row r="84" spans="1:11" s="45" customFormat="1">
      <c r="A84" s="540">
        <v>233</v>
      </c>
      <c r="B84" s="36" t="s">
        <v>945</v>
      </c>
      <c r="C84" s="41">
        <v>323202.79392999999</v>
      </c>
      <c r="D84" s="41">
        <v>0</v>
      </c>
      <c r="E84" s="15">
        <v>277747.20472999994</v>
      </c>
      <c r="F84" s="541">
        <f t="shared" si="1"/>
        <v>45455.589200000046</v>
      </c>
      <c r="G84" s="112"/>
      <c r="H84" s="112"/>
      <c r="I84" s="112"/>
      <c r="J84" s="112"/>
      <c r="K84" s="112"/>
    </row>
    <row r="85" spans="1:11" s="45" customFormat="1">
      <c r="A85" s="540">
        <v>235</v>
      </c>
      <c r="B85" s="36" t="s">
        <v>946</v>
      </c>
      <c r="C85" s="41">
        <v>3357738.4919699999</v>
      </c>
      <c r="D85" s="41">
        <v>0</v>
      </c>
      <c r="E85" s="15">
        <v>1030878.8594099998</v>
      </c>
      <c r="F85" s="541">
        <f t="shared" si="1"/>
        <v>2326859.6325599998</v>
      </c>
      <c r="G85" s="112"/>
      <c r="H85" s="112"/>
      <c r="I85" s="112"/>
      <c r="J85" s="112"/>
      <c r="K85" s="112"/>
    </row>
    <row r="86" spans="1:11" s="45" customFormat="1">
      <c r="A86" s="540">
        <v>236</v>
      </c>
      <c r="B86" s="36" t="s">
        <v>947</v>
      </c>
      <c r="C86" s="41">
        <v>397429.06015000003</v>
      </c>
      <c r="D86" s="41">
        <v>0</v>
      </c>
      <c r="E86" s="15">
        <v>47409.990400000002</v>
      </c>
      <c r="F86" s="541">
        <f t="shared" si="1"/>
        <v>350019.06975000002</v>
      </c>
      <c r="G86" s="112"/>
      <c r="H86" s="112"/>
      <c r="I86" s="112"/>
      <c r="J86" s="112"/>
      <c r="K86" s="112"/>
    </row>
    <row r="87" spans="1:11" s="45" customFormat="1">
      <c r="A87" s="540">
        <v>239</v>
      </c>
      <c r="B87" s="36" t="s">
        <v>948</v>
      </c>
      <c r="C87" s="41">
        <v>94819.980800000005</v>
      </c>
      <c r="D87" s="41">
        <v>0</v>
      </c>
      <c r="E87" s="15">
        <v>26668.119599999998</v>
      </c>
      <c r="F87" s="541">
        <f t="shared" si="1"/>
        <v>68151.861200000014</v>
      </c>
      <c r="G87" s="112"/>
      <c r="H87" s="112"/>
      <c r="I87" s="112"/>
      <c r="J87" s="112"/>
      <c r="K87" s="112"/>
    </row>
    <row r="88" spans="1:11" s="45" customFormat="1">
      <c r="A88" s="540">
        <v>240</v>
      </c>
      <c r="B88" s="36" t="s">
        <v>949</v>
      </c>
      <c r="C88" s="41">
        <v>346981.86723999999</v>
      </c>
      <c r="D88" s="41">
        <v>0</v>
      </c>
      <c r="E88" s="15">
        <v>467952.99699999997</v>
      </c>
      <c r="F88" s="541">
        <f t="shared" si="1"/>
        <v>-120971.12975999998</v>
      </c>
      <c r="G88" s="112"/>
      <c r="H88" s="112"/>
      <c r="I88" s="112"/>
      <c r="J88" s="112"/>
      <c r="K88" s="112"/>
    </row>
    <row r="89" spans="1:11" s="45" customFormat="1">
      <c r="A89" s="540">
        <v>241</v>
      </c>
      <c r="B89" s="36" t="s">
        <v>950</v>
      </c>
      <c r="C89" s="41">
        <v>368908.9878</v>
      </c>
      <c r="D89" s="41">
        <v>0</v>
      </c>
      <c r="E89" s="15">
        <v>134822.16019999998</v>
      </c>
      <c r="F89" s="541">
        <f t="shared" si="1"/>
        <v>234086.82760000002</v>
      </c>
      <c r="G89" s="112"/>
      <c r="H89" s="112"/>
      <c r="I89" s="112"/>
      <c r="J89" s="112"/>
      <c r="K89" s="112"/>
    </row>
    <row r="90" spans="1:11" s="45" customFormat="1">
      <c r="A90" s="540">
        <v>244</v>
      </c>
      <c r="B90" s="36" t="s">
        <v>951</v>
      </c>
      <c r="C90" s="41">
        <v>683296.4866399999</v>
      </c>
      <c r="D90" s="41">
        <v>0</v>
      </c>
      <c r="E90" s="15">
        <v>476066.91424000001</v>
      </c>
      <c r="F90" s="541">
        <f t="shared" si="1"/>
        <v>207229.57239999989</v>
      </c>
      <c r="G90" s="112"/>
      <c r="H90" s="112"/>
      <c r="I90" s="112"/>
      <c r="J90" s="112"/>
      <c r="K90" s="112"/>
    </row>
    <row r="91" spans="1:11" s="45" customFormat="1">
      <c r="A91" s="540">
        <v>245</v>
      </c>
      <c r="B91" s="36" t="s">
        <v>952</v>
      </c>
      <c r="C91" s="41">
        <v>642627.60424999986</v>
      </c>
      <c r="D91" s="41">
        <v>0</v>
      </c>
      <c r="E91" s="15">
        <v>1805447.4582199999</v>
      </c>
      <c r="F91" s="541">
        <f t="shared" si="1"/>
        <v>-1162819.8539700001</v>
      </c>
      <c r="G91" s="112"/>
      <c r="H91" s="112"/>
      <c r="I91" s="112"/>
      <c r="J91" s="112"/>
      <c r="K91" s="112"/>
    </row>
    <row r="92" spans="1:11" s="45" customFormat="1">
      <c r="A92" s="540">
        <v>249</v>
      </c>
      <c r="B92" s="36" t="s">
        <v>953</v>
      </c>
      <c r="C92" s="41">
        <v>134970.31641999999</v>
      </c>
      <c r="D92" s="41">
        <v>0</v>
      </c>
      <c r="E92" s="15">
        <v>163802.46251000001</v>
      </c>
      <c r="F92" s="541">
        <f t="shared" si="1"/>
        <v>-28832.146090000024</v>
      </c>
      <c r="G92" s="112"/>
      <c r="H92" s="112"/>
      <c r="I92" s="112"/>
      <c r="J92" s="112"/>
      <c r="K92" s="112"/>
    </row>
    <row r="93" spans="1:11" s="45" customFormat="1">
      <c r="A93" s="540">
        <v>250</v>
      </c>
      <c r="B93" s="36" t="s">
        <v>954</v>
      </c>
      <c r="C93" s="41">
        <v>62373.768620000003</v>
      </c>
      <c r="D93" s="41">
        <v>0</v>
      </c>
      <c r="E93" s="15">
        <v>42965.303800000002</v>
      </c>
      <c r="F93" s="541">
        <f t="shared" si="1"/>
        <v>19408.464820000001</v>
      </c>
      <c r="G93" s="112"/>
      <c r="H93" s="112"/>
      <c r="I93" s="112"/>
      <c r="J93" s="112"/>
      <c r="K93" s="112"/>
    </row>
    <row r="94" spans="1:11" s="45" customFormat="1">
      <c r="A94" s="540">
        <v>256</v>
      </c>
      <c r="B94" s="36" t="s">
        <v>955</v>
      </c>
      <c r="C94" s="41">
        <v>106672.47840000001</v>
      </c>
      <c r="D94" s="41">
        <v>0</v>
      </c>
      <c r="E94" s="15">
        <v>19260.3086</v>
      </c>
      <c r="F94" s="541">
        <f t="shared" si="1"/>
        <v>87412.169800000003</v>
      </c>
      <c r="G94" s="112"/>
      <c r="H94" s="112"/>
      <c r="I94" s="112"/>
      <c r="J94" s="112"/>
      <c r="K94" s="112"/>
    </row>
    <row r="95" spans="1:11" s="45" customFormat="1">
      <c r="A95" s="540">
        <v>257</v>
      </c>
      <c r="B95" s="36" t="s">
        <v>956</v>
      </c>
      <c r="C95" s="41">
        <v>1299996.7523899993</v>
      </c>
      <c r="D95" s="41">
        <v>0</v>
      </c>
      <c r="E95" s="15">
        <v>1756719.8231399993</v>
      </c>
      <c r="F95" s="541">
        <f t="shared" si="1"/>
        <v>-456723.07074999996</v>
      </c>
      <c r="G95" s="112"/>
      <c r="H95" s="112"/>
      <c r="I95" s="112"/>
      <c r="J95" s="112"/>
      <c r="K95" s="112"/>
    </row>
    <row r="96" spans="1:11" s="45" customFormat="1">
      <c r="A96" s="540">
        <v>260</v>
      </c>
      <c r="B96" s="36" t="s">
        <v>957</v>
      </c>
      <c r="C96" s="41">
        <v>182454.38493</v>
      </c>
      <c r="D96" s="41">
        <v>0</v>
      </c>
      <c r="E96" s="15">
        <v>155712.18721999999</v>
      </c>
      <c r="F96" s="541">
        <f t="shared" si="1"/>
        <v>26742.197710000008</v>
      </c>
      <c r="G96" s="112"/>
      <c r="H96" s="112"/>
      <c r="I96" s="112"/>
      <c r="J96" s="112"/>
      <c r="K96" s="112"/>
    </row>
    <row r="97" spans="1:11" s="45" customFormat="1">
      <c r="A97" s="540">
        <v>261</v>
      </c>
      <c r="B97" s="36" t="s">
        <v>958</v>
      </c>
      <c r="C97" s="41">
        <v>140970.64332999999</v>
      </c>
      <c r="D97" s="41">
        <v>0</v>
      </c>
      <c r="E97" s="15">
        <v>333406.65954999998</v>
      </c>
      <c r="F97" s="541">
        <f t="shared" si="1"/>
        <v>-192436.01621999999</v>
      </c>
      <c r="G97" s="112"/>
      <c r="H97" s="112"/>
      <c r="I97" s="112"/>
      <c r="J97" s="112"/>
      <c r="K97" s="112"/>
    </row>
    <row r="98" spans="1:11" s="45" customFormat="1">
      <c r="A98" s="540">
        <v>263</v>
      </c>
      <c r="B98" s="36" t="s">
        <v>959</v>
      </c>
      <c r="C98" s="41">
        <v>334907.13530999998</v>
      </c>
      <c r="D98" s="41">
        <v>0</v>
      </c>
      <c r="E98" s="15">
        <v>132007.19202000002</v>
      </c>
      <c r="F98" s="541">
        <f t="shared" si="1"/>
        <v>202899.94328999997</v>
      </c>
      <c r="G98" s="112"/>
      <c r="H98" s="112"/>
      <c r="I98" s="112"/>
      <c r="J98" s="112"/>
      <c r="K98" s="112"/>
    </row>
    <row r="99" spans="1:11" s="45" customFormat="1">
      <c r="A99" s="540">
        <v>265</v>
      </c>
      <c r="B99" s="36" t="s">
        <v>960</v>
      </c>
      <c r="C99" s="41">
        <v>0</v>
      </c>
      <c r="D99" s="41">
        <v>0</v>
      </c>
      <c r="E99" s="15">
        <v>53336.239199999996</v>
      </c>
      <c r="F99" s="541">
        <f t="shared" si="1"/>
        <v>-53336.239199999996</v>
      </c>
      <c r="G99" s="112"/>
      <c r="H99" s="112"/>
      <c r="I99" s="112"/>
      <c r="J99" s="112"/>
      <c r="K99" s="112"/>
    </row>
    <row r="100" spans="1:11" s="45" customFormat="1">
      <c r="A100" s="540">
        <v>271</v>
      </c>
      <c r="B100" s="36" t="s">
        <v>961</v>
      </c>
      <c r="C100" s="41">
        <v>283052.45830999996</v>
      </c>
      <c r="D100" s="41">
        <v>0</v>
      </c>
      <c r="E100" s="15">
        <v>181979.96979999999</v>
      </c>
      <c r="F100" s="541">
        <f t="shared" si="1"/>
        <v>101072.48850999997</v>
      </c>
      <c r="G100" s="112"/>
      <c r="H100" s="112"/>
      <c r="I100" s="112"/>
      <c r="J100" s="112"/>
      <c r="K100" s="112"/>
    </row>
    <row r="101" spans="1:11" s="45" customFormat="1">
      <c r="A101" s="540">
        <v>272</v>
      </c>
      <c r="B101" s="36" t="s">
        <v>962</v>
      </c>
      <c r="C101" s="41">
        <v>1063465.3471599999</v>
      </c>
      <c r="D101" s="41">
        <v>0</v>
      </c>
      <c r="E101" s="15">
        <v>709975.63914999994</v>
      </c>
      <c r="F101" s="541">
        <f t="shared" si="1"/>
        <v>353489.70800999994</v>
      </c>
      <c r="G101" s="112"/>
      <c r="H101" s="112"/>
      <c r="I101" s="112"/>
      <c r="J101" s="112"/>
      <c r="K101" s="112"/>
    </row>
    <row r="102" spans="1:11" s="45" customFormat="1">
      <c r="A102" s="540">
        <v>273</v>
      </c>
      <c r="B102" s="36" t="s">
        <v>963</v>
      </c>
      <c r="C102" s="41">
        <v>157193.74941999998</v>
      </c>
      <c r="D102" s="41">
        <v>0</v>
      </c>
      <c r="E102" s="15">
        <v>111979.30811000001</v>
      </c>
      <c r="F102" s="541">
        <f t="shared" si="1"/>
        <v>45214.441309999966</v>
      </c>
      <c r="G102" s="112"/>
      <c r="H102" s="112"/>
      <c r="I102" s="112"/>
      <c r="J102" s="112"/>
      <c r="K102" s="112"/>
    </row>
    <row r="103" spans="1:11" s="45" customFormat="1">
      <c r="A103" s="540">
        <v>275</v>
      </c>
      <c r="B103" s="36" t="s">
        <v>964</v>
      </c>
      <c r="C103" s="41">
        <v>48891.552599999995</v>
      </c>
      <c r="D103" s="41">
        <v>0</v>
      </c>
      <c r="E103" s="15">
        <v>11852.497600000001</v>
      </c>
      <c r="F103" s="541">
        <f t="shared" si="1"/>
        <v>37039.054999999993</v>
      </c>
      <c r="G103" s="112"/>
      <c r="H103" s="112"/>
      <c r="I103" s="112"/>
      <c r="J103" s="112"/>
      <c r="K103" s="112"/>
    </row>
    <row r="104" spans="1:11" s="45" customFormat="1">
      <c r="A104" s="540">
        <v>276</v>
      </c>
      <c r="B104" s="36" t="s">
        <v>965</v>
      </c>
      <c r="C104" s="41">
        <v>451950.54910999985</v>
      </c>
      <c r="D104" s="41">
        <v>0</v>
      </c>
      <c r="E104" s="15">
        <v>764255.98021999991</v>
      </c>
      <c r="F104" s="541">
        <f t="shared" si="1"/>
        <v>-312305.43111000006</v>
      </c>
      <c r="G104" s="112"/>
      <c r="H104" s="112"/>
      <c r="I104" s="112"/>
      <c r="J104" s="112"/>
      <c r="K104" s="112"/>
    </row>
    <row r="105" spans="1:11" s="45" customFormat="1">
      <c r="A105" s="540">
        <v>280</v>
      </c>
      <c r="B105" s="36" t="s">
        <v>966</v>
      </c>
      <c r="C105" s="41">
        <v>37039.055</v>
      </c>
      <c r="D105" s="41">
        <v>0</v>
      </c>
      <c r="E105" s="15">
        <v>920050.12620000006</v>
      </c>
      <c r="F105" s="541">
        <f t="shared" si="1"/>
        <v>-883011.07120000001</v>
      </c>
      <c r="G105" s="112"/>
      <c r="H105" s="112"/>
      <c r="I105" s="112"/>
      <c r="J105" s="112"/>
      <c r="K105" s="112"/>
    </row>
    <row r="106" spans="1:11" s="45" customFormat="1">
      <c r="A106" s="540">
        <v>284</v>
      </c>
      <c r="B106" s="36" t="s">
        <v>967</v>
      </c>
      <c r="C106" s="41">
        <v>1164581.96731</v>
      </c>
      <c r="D106" s="41">
        <v>0</v>
      </c>
      <c r="E106" s="15">
        <v>43039.381909999996</v>
      </c>
      <c r="F106" s="541">
        <f t="shared" si="1"/>
        <v>1121542.5854</v>
      </c>
      <c r="G106" s="112"/>
      <c r="H106" s="112"/>
      <c r="I106" s="112"/>
      <c r="J106" s="112"/>
      <c r="K106" s="112"/>
    </row>
    <row r="107" spans="1:11" s="45" customFormat="1">
      <c r="A107" s="540">
        <v>285</v>
      </c>
      <c r="B107" s="36" t="s">
        <v>968</v>
      </c>
      <c r="C107" s="41">
        <v>476025.93485999998</v>
      </c>
      <c r="D107" s="41">
        <v>0</v>
      </c>
      <c r="E107" s="15">
        <v>1442608.1470499998</v>
      </c>
      <c r="F107" s="541">
        <f t="shared" si="1"/>
        <v>-966582.21218999987</v>
      </c>
      <c r="G107" s="112"/>
      <c r="H107" s="112"/>
      <c r="I107" s="112"/>
      <c r="J107" s="112"/>
      <c r="K107" s="112"/>
    </row>
    <row r="108" spans="1:11" s="45" customFormat="1">
      <c r="A108" s="540">
        <v>286</v>
      </c>
      <c r="B108" s="36" t="s">
        <v>969</v>
      </c>
      <c r="C108" s="41">
        <v>1236659.9683399994</v>
      </c>
      <c r="D108" s="41">
        <v>0</v>
      </c>
      <c r="E108" s="15">
        <v>1214589.4199499998</v>
      </c>
      <c r="F108" s="541">
        <f t="shared" si="1"/>
        <v>22070.548389999662</v>
      </c>
      <c r="G108" s="112"/>
      <c r="H108" s="112"/>
      <c r="I108" s="112"/>
      <c r="J108" s="112"/>
      <c r="K108" s="112"/>
    </row>
    <row r="109" spans="1:11" s="45" customFormat="1">
      <c r="A109" s="540">
        <v>287</v>
      </c>
      <c r="B109" s="36" t="s">
        <v>1155</v>
      </c>
      <c r="C109" s="41">
        <v>1041760.4609299998</v>
      </c>
      <c r="D109" s="41">
        <v>0</v>
      </c>
      <c r="E109" s="15">
        <v>117117.49191000001</v>
      </c>
      <c r="F109" s="541">
        <f t="shared" si="1"/>
        <v>924642.96901999984</v>
      </c>
      <c r="G109" s="112"/>
      <c r="H109" s="112"/>
      <c r="I109" s="112"/>
      <c r="J109" s="112"/>
      <c r="K109" s="112"/>
    </row>
    <row r="110" spans="1:11" s="45" customFormat="1">
      <c r="A110" s="540">
        <v>288</v>
      </c>
      <c r="B110" s="36" t="s">
        <v>970</v>
      </c>
      <c r="C110" s="41">
        <v>66744.377110000001</v>
      </c>
      <c r="D110" s="41">
        <v>0</v>
      </c>
      <c r="E110" s="15">
        <v>641812.74503999995</v>
      </c>
      <c r="F110" s="541">
        <f t="shared" si="1"/>
        <v>-575068.36792999995</v>
      </c>
      <c r="G110" s="112"/>
      <c r="H110" s="112"/>
      <c r="I110" s="112"/>
      <c r="J110" s="112"/>
      <c r="K110" s="112"/>
    </row>
    <row r="111" spans="1:11" s="45" customFormat="1">
      <c r="A111" s="540">
        <v>290</v>
      </c>
      <c r="B111" s="36" t="s">
        <v>971</v>
      </c>
      <c r="C111" s="41">
        <v>48891.552599999995</v>
      </c>
      <c r="D111" s="41">
        <v>0</v>
      </c>
      <c r="E111" s="15">
        <v>90375.294200000004</v>
      </c>
      <c r="F111" s="541">
        <f t="shared" si="1"/>
        <v>-41483.741600000008</v>
      </c>
      <c r="G111" s="112"/>
      <c r="H111" s="112"/>
      <c r="I111" s="112"/>
      <c r="J111" s="112"/>
      <c r="K111" s="112"/>
    </row>
    <row r="112" spans="1:11" s="45" customFormat="1">
      <c r="A112" s="540">
        <v>291</v>
      </c>
      <c r="B112" s="36" t="s">
        <v>972</v>
      </c>
      <c r="C112" s="41">
        <v>19260.3086</v>
      </c>
      <c r="D112" s="41">
        <v>0</v>
      </c>
      <c r="E112" s="15">
        <v>11852.497600000001</v>
      </c>
      <c r="F112" s="541">
        <f t="shared" si="1"/>
        <v>7407.8109999999997</v>
      </c>
      <c r="G112" s="112"/>
      <c r="H112" s="112"/>
      <c r="I112" s="112"/>
      <c r="J112" s="112"/>
      <c r="K112" s="112"/>
    </row>
    <row r="113" spans="1:15" s="45" customFormat="1">
      <c r="A113" s="540">
        <v>297</v>
      </c>
      <c r="B113" s="36" t="s">
        <v>973</v>
      </c>
      <c r="C113" s="41">
        <v>1737427.9919399989</v>
      </c>
      <c r="D113" s="41">
        <v>0</v>
      </c>
      <c r="E113" s="15">
        <v>4672856.6355800014</v>
      </c>
      <c r="F113" s="541">
        <f t="shared" si="1"/>
        <v>-2935428.6436400022</v>
      </c>
      <c r="G113" s="112"/>
      <c r="H113" s="112"/>
      <c r="I113" s="112"/>
      <c r="J113" s="112"/>
      <c r="K113" s="112"/>
    </row>
    <row r="114" spans="1:15" s="45" customFormat="1">
      <c r="A114" s="540">
        <v>300</v>
      </c>
      <c r="B114" s="36" t="s">
        <v>974</v>
      </c>
      <c r="C114" s="41">
        <v>417800.54040000006</v>
      </c>
      <c r="D114" s="41">
        <v>0</v>
      </c>
      <c r="E114" s="15">
        <v>41483.741599999994</v>
      </c>
      <c r="F114" s="541">
        <f t="shared" si="1"/>
        <v>376316.79880000005</v>
      </c>
      <c r="G114" s="112"/>
      <c r="H114" s="112"/>
      <c r="I114" s="112"/>
      <c r="J114" s="112"/>
      <c r="K114" s="112"/>
    </row>
    <row r="115" spans="1:15" s="45" customFormat="1">
      <c r="A115" s="540">
        <v>301</v>
      </c>
      <c r="B115" s="36" t="s">
        <v>975</v>
      </c>
      <c r="C115" s="41">
        <v>732113.96112999995</v>
      </c>
      <c r="D115" s="41">
        <v>0</v>
      </c>
      <c r="E115" s="15">
        <v>425208.35139999999</v>
      </c>
      <c r="F115" s="541">
        <f t="shared" si="1"/>
        <v>306905.60972999997</v>
      </c>
      <c r="G115" s="112"/>
      <c r="H115" s="112"/>
      <c r="I115" s="112"/>
      <c r="J115" s="112"/>
      <c r="K115" s="112"/>
    </row>
    <row r="116" spans="1:15" s="45" customFormat="1">
      <c r="A116" s="542">
        <v>304</v>
      </c>
      <c r="B116" s="36" t="s">
        <v>976</v>
      </c>
      <c r="C116" s="41">
        <v>7407.8109999999988</v>
      </c>
      <c r="D116" s="41">
        <v>0</v>
      </c>
      <c r="E116" s="15">
        <v>240013.07639999999</v>
      </c>
      <c r="F116" s="541">
        <f t="shared" si="1"/>
        <v>-232605.2654</v>
      </c>
      <c r="G116" s="112"/>
      <c r="H116" s="112"/>
      <c r="I116" s="112"/>
      <c r="J116" s="112"/>
      <c r="K116" s="112"/>
    </row>
    <row r="117" spans="1:15" s="45" customFormat="1">
      <c r="A117" s="540">
        <v>305</v>
      </c>
      <c r="B117" s="36" t="s">
        <v>977</v>
      </c>
      <c r="C117" s="41">
        <v>124599.38102</v>
      </c>
      <c r="D117" s="41">
        <v>0</v>
      </c>
      <c r="E117" s="15">
        <v>134896.23830999999</v>
      </c>
      <c r="F117" s="541">
        <f t="shared" si="1"/>
        <v>-10296.857289999985</v>
      </c>
      <c r="G117" s="112"/>
      <c r="H117" s="112"/>
      <c r="I117" s="112"/>
      <c r="J117" s="112"/>
      <c r="K117" s="112"/>
    </row>
    <row r="118" spans="1:15" s="45" customFormat="1">
      <c r="A118" s="540">
        <v>309</v>
      </c>
      <c r="B118" s="36" t="s">
        <v>978</v>
      </c>
      <c r="C118" s="41">
        <v>188158.39939999999</v>
      </c>
      <c r="D118" s="41">
        <v>0</v>
      </c>
      <c r="E118" s="15">
        <v>137134.34291000001</v>
      </c>
      <c r="F118" s="541">
        <f t="shared" si="1"/>
        <v>51024.056489999988</v>
      </c>
      <c r="G118" s="112"/>
      <c r="H118" s="112"/>
      <c r="I118" s="112"/>
      <c r="J118" s="112"/>
      <c r="K118" s="112"/>
    </row>
    <row r="119" spans="1:15" s="45" customFormat="1">
      <c r="A119" s="540">
        <v>312</v>
      </c>
      <c r="B119" s="36" t="s">
        <v>979</v>
      </c>
      <c r="C119" s="41">
        <v>41483.741599999994</v>
      </c>
      <c r="D119" s="41">
        <v>0</v>
      </c>
      <c r="E119" s="15">
        <v>23704.995200000001</v>
      </c>
      <c r="F119" s="541">
        <f t="shared" si="1"/>
        <v>17778.746399999993</v>
      </c>
      <c r="G119" s="112"/>
      <c r="H119" s="112"/>
      <c r="I119" s="112"/>
      <c r="J119" s="112"/>
      <c r="K119" s="112"/>
    </row>
    <row r="120" spans="1:15" s="45" customFormat="1">
      <c r="A120" s="540">
        <v>316</v>
      </c>
      <c r="B120" s="36" t="s">
        <v>980</v>
      </c>
      <c r="C120" s="41">
        <v>112598.72720000001</v>
      </c>
      <c r="D120" s="41">
        <v>0</v>
      </c>
      <c r="E120" s="15">
        <v>211926.43979999999</v>
      </c>
      <c r="F120" s="541">
        <f t="shared" si="1"/>
        <v>-99327.712599999984</v>
      </c>
      <c r="G120" s="112"/>
      <c r="H120" s="112"/>
      <c r="I120" s="112"/>
      <c r="J120" s="112"/>
      <c r="K120" s="112"/>
    </row>
    <row r="121" spans="1:15" s="45" customFormat="1">
      <c r="A121" s="540">
        <v>317</v>
      </c>
      <c r="B121" s="36" t="s">
        <v>981</v>
      </c>
      <c r="C121" s="41">
        <v>11852.497600000001</v>
      </c>
      <c r="D121" s="41">
        <v>0</v>
      </c>
      <c r="E121" s="15">
        <v>38520.617200000001</v>
      </c>
      <c r="F121" s="541">
        <f t="shared" si="1"/>
        <v>-26668.119599999998</v>
      </c>
      <c r="G121" s="112"/>
      <c r="H121" s="112"/>
      <c r="I121" s="112"/>
      <c r="J121" s="112"/>
      <c r="K121" s="112"/>
    </row>
    <row r="122" spans="1:15" s="45" customFormat="1">
      <c r="A122" s="540">
        <v>320</v>
      </c>
      <c r="B122" s="36" t="s">
        <v>982</v>
      </c>
      <c r="C122" s="41">
        <v>177935.62021999998</v>
      </c>
      <c r="D122" s="41">
        <v>0</v>
      </c>
      <c r="E122" s="15">
        <v>167564.68481999999</v>
      </c>
      <c r="F122" s="541">
        <f t="shared" si="1"/>
        <v>10370.935399999988</v>
      </c>
      <c r="G122" s="112"/>
      <c r="H122" s="112"/>
      <c r="I122" s="112"/>
      <c r="J122" s="112"/>
      <c r="K122" s="112"/>
    </row>
    <row r="123" spans="1:15" s="45" customFormat="1">
      <c r="A123" s="540">
        <v>322</v>
      </c>
      <c r="B123" s="36" t="s">
        <v>1156</v>
      </c>
      <c r="C123" s="41">
        <v>248902.44959999999</v>
      </c>
      <c r="D123" s="41">
        <v>0</v>
      </c>
      <c r="E123" s="15">
        <v>110292.84901000001</v>
      </c>
      <c r="F123" s="541">
        <f t="shared" si="1"/>
        <v>138609.60058999999</v>
      </c>
      <c r="G123" s="112"/>
      <c r="H123" s="112"/>
      <c r="I123" s="112"/>
      <c r="J123" s="112"/>
      <c r="K123" s="112"/>
    </row>
    <row r="124" spans="1:15" s="45" customFormat="1">
      <c r="A124" s="540">
        <v>398</v>
      </c>
      <c r="B124" s="36" t="s">
        <v>983</v>
      </c>
      <c r="C124" s="41">
        <v>4106742.2621799996</v>
      </c>
      <c r="D124" s="41">
        <v>0</v>
      </c>
      <c r="E124" s="15">
        <v>12482281.320880009</v>
      </c>
      <c r="F124" s="541">
        <f t="shared" si="1"/>
        <v>-8375539.0587000092</v>
      </c>
      <c r="G124" s="112"/>
      <c r="H124" s="112"/>
      <c r="I124" s="112"/>
      <c r="J124" s="112"/>
      <c r="K124" s="112"/>
    </row>
    <row r="125" spans="1:15" s="45" customFormat="1">
      <c r="A125" s="540">
        <v>399</v>
      </c>
      <c r="B125" s="36" t="s">
        <v>984</v>
      </c>
      <c r="C125" s="41">
        <v>115635.92970999998</v>
      </c>
      <c r="D125" s="41">
        <v>0</v>
      </c>
      <c r="E125" s="15">
        <v>89587.229200000002</v>
      </c>
      <c r="F125" s="541">
        <f t="shared" si="1"/>
        <v>26048.700509999981</v>
      </c>
      <c r="G125" s="112"/>
      <c r="H125" s="112"/>
      <c r="I125" s="112"/>
      <c r="J125" s="112"/>
      <c r="K125" s="112"/>
      <c r="M125" s="112"/>
      <c r="N125" s="543"/>
      <c r="O125" s="544"/>
    </row>
    <row r="126" spans="1:15" s="45" customFormat="1">
      <c r="A126" s="540">
        <v>400</v>
      </c>
      <c r="B126" s="36" t="s">
        <v>985</v>
      </c>
      <c r="C126" s="41">
        <v>253569.37052999999</v>
      </c>
      <c r="D126" s="41">
        <v>0</v>
      </c>
      <c r="E126" s="15">
        <v>151119.3444</v>
      </c>
      <c r="F126" s="541">
        <f t="shared" si="1"/>
        <v>102450.02612999998</v>
      </c>
      <c r="G126" s="112"/>
      <c r="H126" s="112"/>
      <c r="I126" s="112"/>
      <c r="J126" s="112"/>
      <c r="K126" s="112"/>
      <c r="M126" s="112"/>
      <c r="N126" s="543"/>
    </row>
    <row r="127" spans="1:15" s="45" customFormat="1">
      <c r="A127" s="540">
        <v>402</v>
      </c>
      <c r="B127" s="36" t="s">
        <v>986</v>
      </c>
      <c r="C127" s="41">
        <v>635590.1838</v>
      </c>
      <c r="D127" s="41">
        <v>0</v>
      </c>
      <c r="E127" s="15">
        <v>250205.90911000001</v>
      </c>
      <c r="F127" s="541">
        <f t="shared" si="1"/>
        <v>385384.27468999999</v>
      </c>
      <c r="G127" s="112"/>
      <c r="H127" s="112"/>
      <c r="I127" s="112"/>
      <c r="J127" s="112"/>
      <c r="K127" s="112"/>
    </row>
    <row r="128" spans="1:15" s="45" customFormat="1">
      <c r="A128" s="540">
        <v>403</v>
      </c>
      <c r="B128" s="36" t="s">
        <v>987</v>
      </c>
      <c r="C128" s="41">
        <v>44446.865999999995</v>
      </c>
      <c r="D128" s="41">
        <v>0</v>
      </c>
      <c r="E128" s="15">
        <v>69707.501510000002</v>
      </c>
      <c r="F128" s="541">
        <f t="shared" si="1"/>
        <v>-25260.635510000007</v>
      </c>
      <c r="G128" s="112"/>
      <c r="H128" s="112"/>
      <c r="I128" s="112"/>
      <c r="J128" s="112"/>
      <c r="K128" s="112"/>
    </row>
    <row r="129" spans="1:11" s="45" customFormat="1">
      <c r="A129" s="540">
        <v>405</v>
      </c>
      <c r="B129" s="36" t="s">
        <v>988</v>
      </c>
      <c r="C129" s="41">
        <v>1116134.8833700002</v>
      </c>
      <c r="D129" s="41">
        <v>0</v>
      </c>
      <c r="E129" s="15">
        <v>3044170.5807300005</v>
      </c>
      <c r="F129" s="541">
        <f t="shared" si="1"/>
        <v>-1928035.6973600003</v>
      </c>
      <c r="G129" s="112"/>
      <c r="H129" s="112"/>
      <c r="I129" s="112"/>
      <c r="J129" s="112"/>
      <c r="K129" s="112"/>
    </row>
    <row r="130" spans="1:11" s="45" customFormat="1">
      <c r="A130" s="540">
        <v>407</v>
      </c>
      <c r="B130" s="36" t="s">
        <v>989</v>
      </c>
      <c r="C130" s="41">
        <v>149785.93841999999</v>
      </c>
      <c r="D130" s="41">
        <v>0</v>
      </c>
      <c r="E130" s="15">
        <v>939857.35190999997</v>
      </c>
      <c r="F130" s="541">
        <f t="shared" si="1"/>
        <v>-790071.41348999995</v>
      </c>
      <c r="G130" s="112"/>
      <c r="H130" s="112"/>
      <c r="I130" s="112"/>
      <c r="J130" s="112"/>
      <c r="K130" s="112"/>
    </row>
    <row r="131" spans="1:11" s="45" customFormat="1">
      <c r="A131" s="540">
        <v>408</v>
      </c>
      <c r="B131" s="36" t="s">
        <v>990</v>
      </c>
      <c r="C131" s="41">
        <v>226753.09470999995</v>
      </c>
      <c r="D131" s="41">
        <v>0</v>
      </c>
      <c r="E131" s="15">
        <v>354198.96651</v>
      </c>
      <c r="F131" s="541">
        <f t="shared" si="1"/>
        <v>-127445.87180000005</v>
      </c>
      <c r="G131" s="112"/>
      <c r="H131" s="112"/>
      <c r="I131" s="112"/>
      <c r="J131" s="112"/>
      <c r="K131" s="112"/>
    </row>
    <row r="132" spans="1:11" s="45" customFormat="1">
      <c r="A132" s="540">
        <v>410</v>
      </c>
      <c r="B132" s="36" t="s">
        <v>991</v>
      </c>
      <c r="C132" s="41">
        <v>624404.38919000002</v>
      </c>
      <c r="D132" s="41">
        <v>0</v>
      </c>
      <c r="E132" s="15">
        <v>461371.07811999996</v>
      </c>
      <c r="F132" s="541">
        <f t="shared" si="1"/>
        <v>163033.31107000005</v>
      </c>
      <c r="G132" s="112"/>
      <c r="H132" s="112"/>
      <c r="I132" s="112"/>
      <c r="J132" s="112"/>
      <c r="K132" s="112"/>
    </row>
    <row r="133" spans="1:11" s="45" customFormat="1">
      <c r="A133" s="540">
        <v>416</v>
      </c>
      <c r="B133" s="36" t="s">
        <v>992</v>
      </c>
      <c r="C133" s="41">
        <v>105190.91620000001</v>
      </c>
      <c r="D133" s="41">
        <v>0</v>
      </c>
      <c r="E133" s="15">
        <v>124671.883</v>
      </c>
      <c r="F133" s="541">
        <f t="shared" si="1"/>
        <v>-19480.966799999995</v>
      </c>
      <c r="G133" s="112"/>
      <c r="H133" s="112"/>
      <c r="I133" s="112"/>
      <c r="J133" s="112"/>
      <c r="K133" s="112"/>
    </row>
    <row r="134" spans="1:11" s="45" customFormat="1">
      <c r="A134" s="540">
        <v>418</v>
      </c>
      <c r="B134" s="36" t="s">
        <v>993</v>
      </c>
      <c r="C134" s="41">
        <v>541140.59354999987</v>
      </c>
      <c r="D134" s="41">
        <v>0</v>
      </c>
      <c r="E134" s="15">
        <v>1256260.7210200001</v>
      </c>
      <c r="F134" s="541">
        <f t="shared" si="1"/>
        <v>-715120.12747000018</v>
      </c>
      <c r="G134" s="112"/>
      <c r="H134" s="112"/>
      <c r="I134" s="112"/>
      <c r="J134" s="112"/>
      <c r="K134" s="112"/>
    </row>
    <row r="135" spans="1:11" s="45" customFormat="1">
      <c r="A135" s="540">
        <v>420</v>
      </c>
      <c r="B135" s="36" t="s">
        <v>994</v>
      </c>
      <c r="C135" s="41">
        <v>162971.842</v>
      </c>
      <c r="D135" s="41">
        <v>0</v>
      </c>
      <c r="E135" s="15">
        <v>246634.39852999998</v>
      </c>
      <c r="F135" s="541">
        <f t="shared" si="1"/>
        <v>-83662.556529999973</v>
      </c>
      <c r="G135" s="112"/>
      <c r="H135" s="112"/>
      <c r="I135" s="112"/>
      <c r="J135" s="112"/>
      <c r="K135" s="112"/>
    </row>
    <row r="136" spans="1:11" s="45" customFormat="1">
      <c r="A136" s="540">
        <v>421</v>
      </c>
      <c r="B136" s="36" t="s">
        <v>995</v>
      </c>
      <c r="C136" s="41">
        <v>0</v>
      </c>
      <c r="D136" s="41">
        <v>0</v>
      </c>
      <c r="E136" s="15">
        <v>4518.7647099999995</v>
      </c>
      <c r="F136" s="541">
        <f t="shared" si="1"/>
        <v>-4518.7647099999995</v>
      </c>
      <c r="G136" s="112"/>
      <c r="H136" s="112"/>
      <c r="I136" s="112"/>
      <c r="J136" s="112"/>
      <c r="K136" s="112"/>
    </row>
    <row r="137" spans="1:11" s="45" customFormat="1">
      <c r="A137" s="540">
        <v>422</v>
      </c>
      <c r="B137" s="36" t="s">
        <v>996</v>
      </c>
      <c r="C137" s="41">
        <v>353130.35037</v>
      </c>
      <c r="D137" s="41">
        <v>0</v>
      </c>
      <c r="E137" s="15">
        <v>263792.14971000003</v>
      </c>
      <c r="F137" s="541">
        <f t="shared" ref="F137:F200" si="2">C137+D137-E137</f>
        <v>89338.200659999973</v>
      </c>
      <c r="G137" s="112"/>
      <c r="H137" s="112"/>
      <c r="I137" s="112"/>
      <c r="J137" s="112"/>
      <c r="K137" s="112"/>
    </row>
    <row r="138" spans="1:11" s="45" customFormat="1">
      <c r="A138" s="540">
        <v>423</v>
      </c>
      <c r="B138" s="36" t="s">
        <v>997</v>
      </c>
      <c r="C138" s="41">
        <v>739818.08456999995</v>
      </c>
      <c r="D138" s="41">
        <v>0</v>
      </c>
      <c r="E138" s="15">
        <v>1271593.31366</v>
      </c>
      <c r="F138" s="541">
        <f t="shared" si="2"/>
        <v>-531775.22909000004</v>
      </c>
      <c r="G138" s="112"/>
      <c r="H138" s="112"/>
      <c r="I138" s="112"/>
      <c r="J138" s="112"/>
      <c r="K138" s="112"/>
    </row>
    <row r="139" spans="1:11" s="45" customFormat="1">
      <c r="A139" s="540">
        <v>425</v>
      </c>
      <c r="B139" s="36" t="s">
        <v>998</v>
      </c>
      <c r="C139" s="41">
        <v>318609.95110999997</v>
      </c>
      <c r="D139" s="41">
        <v>0</v>
      </c>
      <c r="E139" s="15">
        <v>87885.008800000011</v>
      </c>
      <c r="F139" s="541">
        <f t="shared" si="2"/>
        <v>230724.94230999995</v>
      </c>
      <c r="G139" s="112"/>
      <c r="H139" s="112"/>
      <c r="I139" s="112"/>
      <c r="J139" s="112"/>
      <c r="K139" s="112"/>
    </row>
    <row r="140" spans="1:11" s="45" customFormat="1">
      <c r="A140" s="540">
        <v>426</v>
      </c>
      <c r="B140" s="36" t="s">
        <v>999</v>
      </c>
      <c r="C140" s="41">
        <v>428319.63201999996</v>
      </c>
      <c r="D140" s="41">
        <v>0</v>
      </c>
      <c r="E140" s="15">
        <v>1264886.88051</v>
      </c>
      <c r="F140" s="541">
        <f t="shared" si="2"/>
        <v>-836567.24849000014</v>
      </c>
      <c r="G140" s="112"/>
      <c r="H140" s="112"/>
      <c r="I140" s="112"/>
      <c r="J140" s="112"/>
      <c r="K140" s="112"/>
    </row>
    <row r="141" spans="1:11" s="45" customFormat="1">
      <c r="A141" s="540">
        <v>430</v>
      </c>
      <c r="B141" s="36" t="s">
        <v>1000</v>
      </c>
      <c r="C141" s="41">
        <v>793080.24565999978</v>
      </c>
      <c r="D141" s="41">
        <v>0</v>
      </c>
      <c r="E141" s="15">
        <v>496354.85959999991</v>
      </c>
      <c r="F141" s="541">
        <f t="shared" si="2"/>
        <v>296725.38605999987</v>
      </c>
      <c r="G141" s="112"/>
      <c r="H141" s="112"/>
      <c r="I141" s="112"/>
      <c r="J141" s="112"/>
      <c r="K141" s="112"/>
    </row>
    <row r="142" spans="1:11" s="45" customFormat="1">
      <c r="A142" s="542">
        <v>433</v>
      </c>
      <c r="B142" s="36" t="s">
        <v>1001</v>
      </c>
      <c r="C142" s="41">
        <v>260829.02531</v>
      </c>
      <c r="D142" s="41">
        <v>0</v>
      </c>
      <c r="E142" s="15">
        <v>170379.65299999999</v>
      </c>
      <c r="F142" s="541">
        <f t="shared" si="2"/>
        <v>90449.372310000006</v>
      </c>
      <c r="G142" s="112"/>
      <c r="H142" s="112"/>
      <c r="I142" s="112"/>
      <c r="J142" s="112"/>
      <c r="K142" s="112"/>
    </row>
    <row r="143" spans="1:11" s="45" customFormat="1">
      <c r="A143" s="540">
        <v>434</v>
      </c>
      <c r="B143" s="36" t="s">
        <v>1002</v>
      </c>
      <c r="C143" s="41">
        <v>1472820.9830199999</v>
      </c>
      <c r="D143" s="41">
        <v>0</v>
      </c>
      <c r="E143" s="15">
        <v>348200.21572999994</v>
      </c>
      <c r="F143" s="541">
        <f t="shared" si="2"/>
        <v>1124620.7672899999</v>
      </c>
      <c r="G143" s="112"/>
      <c r="H143" s="112"/>
      <c r="I143" s="112"/>
      <c r="J143" s="112"/>
      <c r="K143" s="112"/>
    </row>
    <row r="144" spans="1:11" s="45" customFormat="1">
      <c r="A144" s="540">
        <v>435</v>
      </c>
      <c r="B144" s="36" t="s">
        <v>1003</v>
      </c>
      <c r="C144" s="41">
        <v>93412.496709999992</v>
      </c>
      <c r="D144" s="41">
        <v>0</v>
      </c>
      <c r="E144" s="15">
        <v>201492.45920000001</v>
      </c>
      <c r="F144" s="541">
        <f t="shared" si="2"/>
        <v>-108079.96249000002</v>
      </c>
      <c r="G144" s="112"/>
      <c r="H144" s="112"/>
      <c r="I144" s="112"/>
      <c r="J144" s="112"/>
      <c r="K144" s="112"/>
    </row>
    <row r="145" spans="1:11" s="45" customFormat="1">
      <c r="A145" s="540">
        <v>436</v>
      </c>
      <c r="B145" s="36" t="s">
        <v>1004</v>
      </c>
      <c r="C145" s="41">
        <v>130451.55171</v>
      </c>
      <c r="D145" s="41">
        <v>0</v>
      </c>
      <c r="E145" s="15">
        <v>74550.948999999993</v>
      </c>
      <c r="F145" s="541">
        <f t="shared" si="2"/>
        <v>55900.602710000006</v>
      </c>
      <c r="G145" s="112"/>
      <c r="H145" s="112"/>
      <c r="I145" s="112"/>
      <c r="J145" s="112"/>
      <c r="K145" s="112"/>
    </row>
    <row r="146" spans="1:11" s="45" customFormat="1">
      <c r="A146" s="540">
        <v>440</v>
      </c>
      <c r="B146" s="36" t="s">
        <v>1005</v>
      </c>
      <c r="C146" s="41">
        <v>86004.685710000005</v>
      </c>
      <c r="D146" s="41">
        <v>0</v>
      </c>
      <c r="E146" s="15">
        <v>137859.36270999999</v>
      </c>
      <c r="F146" s="541">
        <f t="shared" si="2"/>
        <v>-51854.676999999981</v>
      </c>
      <c r="G146" s="112"/>
      <c r="H146" s="112"/>
      <c r="I146" s="112"/>
      <c r="J146" s="112"/>
      <c r="K146" s="112"/>
    </row>
    <row r="147" spans="1:11" s="45" customFormat="1">
      <c r="A147" s="540">
        <v>441</v>
      </c>
      <c r="B147" s="36" t="s">
        <v>1006</v>
      </c>
      <c r="C147" s="41">
        <v>38594.695309999996</v>
      </c>
      <c r="D147" s="41">
        <v>0</v>
      </c>
      <c r="E147" s="15">
        <v>71871.527999999991</v>
      </c>
      <c r="F147" s="541">
        <f t="shared" si="2"/>
        <v>-33276.832689999996</v>
      </c>
      <c r="G147" s="112"/>
      <c r="H147" s="112"/>
      <c r="I147" s="112"/>
      <c r="J147" s="112"/>
      <c r="K147" s="112"/>
    </row>
    <row r="148" spans="1:11" s="45" customFormat="1">
      <c r="A148" s="540">
        <v>444</v>
      </c>
      <c r="B148" s="36" t="s">
        <v>1007</v>
      </c>
      <c r="C148" s="41">
        <v>3916509.6757</v>
      </c>
      <c r="D148" s="41">
        <v>0</v>
      </c>
      <c r="E148" s="15">
        <v>1453897.9662399993</v>
      </c>
      <c r="F148" s="541">
        <f t="shared" si="2"/>
        <v>2462611.7094600005</v>
      </c>
      <c r="G148" s="112"/>
      <c r="H148" s="112"/>
      <c r="I148" s="112"/>
      <c r="J148" s="112"/>
      <c r="K148" s="112"/>
    </row>
    <row r="149" spans="1:11" s="45" customFormat="1">
      <c r="A149" s="540">
        <v>445</v>
      </c>
      <c r="B149" s="36" t="s">
        <v>1157</v>
      </c>
      <c r="C149" s="41">
        <v>333721.88554999995</v>
      </c>
      <c r="D149" s="41">
        <v>0</v>
      </c>
      <c r="E149" s="15">
        <v>157950.29181999998</v>
      </c>
      <c r="F149" s="541">
        <f t="shared" si="2"/>
        <v>175771.59372999996</v>
      </c>
      <c r="G149" s="112"/>
      <c r="H149" s="112"/>
      <c r="I149" s="112"/>
      <c r="J149" s="112"/>
      <c r="K149" s="112"/>
    </row>
    <row r="150" spans="1:11" s="45" customFormat="1">
      <c r="A150" s="540">
        <v>475</v>
      </c>
      <c r="B150" s="36" t="s">
        <v>1158</v>
      </c>
      <c r="C150" s="41">
        <v>951162.93240000005</v>
      </c>
      <c r="D150" s="41">
        <v>0</v>
      </c>
      <c r="E150" s="15">
        <v>154303.12700000001</v>
      </c>
      <c r="F150" s="541">
        <f t="shared" si="2"/>
        <v>796859.80540000007</v>
      </c>
      <c r="G150" s="112"/>
      <c r="H150" s="112"/>
      <c r="I150" s="112"/>
      <c r="J150" s="112"/>
      <c r="K150" s="112"/>
    </row>
    <row r="151" spans="1:11" s="45" customFormat="1">
      <c r="A151" s="540">
        <v>480</v>
      </c>
      <c r="B151" s="36" t="s">
        <v>1008</v>
      </c>
      <c r="C151" s="41">
        <v>68225.939310000002</v>
      </c>
      <c r="D151" s="41">
        <v>0</v>
      </c>
      <c r="E151" s="15">
        <v>837082.64300000004</v>
      </c>
      <c r="F151" s="541">
        <f t="shared" si="2"/>
        <v>-768856.70368999999</v>
      </c>
      <c r="G151" s="112"/>
      <c r="H151" s="112"/>
      <c r="I151" s="112"/>
      <c r="J151" s="112"/>
      <c r="K151" s="112"/>
    </row>
    <row r="152" spans="1:11" s="45" customFormat="1">
      <c r="A152" s="540">
        <v>481</v>
      </c>
      <c r="B152" s="36" t="s">
        <v>1009</v>
      </c>
      <c r="C152" s="41">
        <v>281793.13043999998</v>
      </c>
      <c r="D152" s="41">
        <v>0</v>
      </c>
      <c r="E152" s="15">
        <v>483317.11223999993</v>
      </c>
      <c r="F152" s="541">
        <f t="shared" si="2"/>
        <v>-201523.98179999995</v>
      </c>
      <c r="G152" s="112"/>
      <c r="H152" s="112"/>
      <c r="I152" s="112"/>
      <c r="J152" s="112"/>
      <c r="K152" s="112"/>
    </row>
    <row r="153" spans="1:11" s="45" customFormat="1">
      <c r="A153" s="540">
        <v>483</v>
      </c>
      <c r="B153" s="36" t="s">
        <v>1010</v>
      </c>
      <c r="C153" s="41">
        <v>38594.695309999996</v>
      </c>
      <c r="D153" s="41">
        <v>0</v>
      </c>
      <c r="E153" s="15">
        <v>23704.995200000001</v>
      </c>
      <c r="F153" s="541">
        <f t="shared" si="2"/>
        <v>14889.700109999994</v>
      </c>
      <c r="G153" s="112"/>
      <c r="H153" s="112"/>
      <c r="I153" s="112"/>
      <c r="J153" s="112"/>
      <c r="K153" s="112"/>
    </row>
    <row r="154" spans="1:11" s="45" customFormat="1">
      <c r="A154" s="540">
        <v>484</v>
      </c>
      <c r="B154" s="36" t="s">
        <v>1011</v>
      </c>
      <c r="C154" s="41">
        <v>102301.86991000001</v>
      </c>
      <c r="D154" s="41">
        <v>0</v>
      </c>
      <c r="E154" s="15">
        <v>40076.257509999996</v>
      </c>
      <c r="F154" s="541">
        <f t="shared" si="2"/>
        <v>62225.612400000013</v>
      </c>
      <c r="G154" s="112"/>
      <c r="H154" s="112"/>
      <c r="I154" s="112"/>
      <c r="J154" s="112"/>
      <c r="K154" s="112"/>
    </row>
    <row r="155" spans="1:11" s="45" customFormat="1">
      <c r="A155" s="540">
        <v>489</v>
      </c>
      <c r="B155" s="36" t="s">
        <v>1159</v>
      </c>
      <c r="C155" s="41">
        <v>0</v>
      </c>
      <c r="D155" s="41">
        <v>0</v>
      </c>
      <c r="E155" s="15">
        <v>1116208.9614800001</v>
      </c>
      <c r="F155" s="541">
        <f t="shared" si="2"/>
        <v>-1116208.9614800001</v>
      </c>
      <c r="G155" s="112"/>
      <c r="H155" s="112"/>
      <c r="I155" s="112"/>
      <c r="J155" s="112"/>
      <c r="K155" s="112"/>
    </row>
    <row r="156" spans="1:11" s="45" customFormat="1">
      <c r="A156" s="540">
        <v>491</v>
      </c>
      <c r="B156" s="36" t="s">
        <v>1012</v>
      </c>
      <c r="C156" s="41">
        <v>809451.50796999992</v>
      </c>
      <c r="D156" s="41">
        <v>0</v>
      </c>
      <c r="E156" s="15">
        <v>725002.46257000009</v>
      </c>
      <c r="F156" s="541">
        <f t="shared" si="2"/>
        <v>84449.045399999828</v>
      </c>
      <c r="G156" s="112"/>
      <c r="H156" s="112"/>
      <c r="I156" s="112"/>
      <c r="J156" s="112"/>
      <c r="K156" s="112"/>
    </row>
    <row r="157" spans="1:11" s="45" customFormat="1">
      <c r="A157" s="540">
        <v>494</v>
      </c>
      <c r="B157" s="36" t="s">
        <v>1013</v>
      </c>
      <c r="C157" s="41">
        <v>219493.43993000002</v>
      </c>
      <c r="D157" s="41">
        <v>0</v>
      </c>
      <c r="E157" s="15">
        <v>199801.27171</v>
      </c>
      <c r="F157" s="541">
        <f t="shared" si="2"/>
        <v>19692.168220000021</v>
      </c>
      <c r="G157" s="112"/>
      <c r="H157" s="112"/>
      <c r="I157" s="112"/>
      <c r="J157" s="112"/>
      <c r="K157" s="112"/>
    </row>
    <row r="158" spans="1:11" s="45" customFormat="1">
      <c r="A158" s="540">
        <v>495</v>
      </c>
      <c r="B158" s="36" t="s">
        <v>1014</v>
      </c>
      <c r="C158" s="41">
        <v>4518.7647099999995</v>
      </c>
      <c r="D158" s="41">
        <v>0</v>
      </c>
      <c r="E158" s="15">
        <v>50373.114800000003</v>
      </c>
      <c r="F158" s="541">
        <f t="shared" si="2"/>
        <v>-45854.350090000007</v>
      </c>
      <c r="G158" s="112"/>
      <c r="H158" s="112"/>
      <c r="I158" s="112"/>
      <c r="J158" s="112"/>
      <c r="K158" s="112"/>
    </row>
    <row r="159" spans="1:11" s="45" customFormat="1">
      <c r="A159" s="540">
        <v>498</v>
      </c>
      <c r="B159" s="36" t="s">
        <v>1015</v>
      </c>
      <c r="C159" s="41">
        <v>139415.00302</v>
      </c>
      <c r="D159" s="41">
        <v>0</v>
      </c>
      <c r="E159" s="15">
        <v>91131.83660000001</v>
      </c>
      <c r="F159" s="541">
        <f t="shared" si="2"/>
        <v>48283.166419999994</v>
      </c>
      <c r="G159" s="112"/>
      <c r="H159" s="112"/>
      <c r="I159" s="112"/>
      <c r="J159" s="112"/>
      <c r="K159" s="112"/>
    </row>
    <row r="160" spans="1:11" s="45" customFormat="1">
      <c r="A160" s="540">
        <v>499</v>
      </c>
      <c r="B160" s="36" t="s">
        <v>1160</v>
      </c>
      <c r="C160" s="41">
        <v>1182360.7137099996</v>
      </c>
      <c r="D160" s="41">
        <v>0</v>
      </c>
      <c r="E160" s="15">
        <v>737187.52360000007</v>
      </c>
      <c r="F160" s="541">
        <f t="shared" si="2"/>
        <v>445173.1901099995</v>
      </c>
      <c r="G160" s="112"/>
      <c r="H160" s="112"/>
      <c r="I160" s="112"/>
      <c r="J160" s="112"/>
      <c r="K160" s="112"/>
    </row>
    <row r="161" spans="1:11" s="45" customFormat="1">
      <c r="A161" s="540">
        <v>500</v>
      </c>
      <c r="B161" s="36" t="s">
        <v>1016</v>
      </c>
      <c r="C161" s="41">
        <v>207640.94232999999</v>
      </c>
      <c r="D161" s="41">
        <v>0</v>
      </c>
      <c r="E161" s="15">
        <v>370842.89931000001</v>
      </c>
      <c r="F161" s="541">
        <f t="shared" si="2"/>
        <v>-163201.95698000002</v>
      </c>
      <c r="G161" s="112"/>
      <c r="H161" s="112"/>
      <c r="I161" s="112"/>
      <c r="J161" s="112"/>
      <c r="K161" s="112"/>
    </row>
    <row r="162" spans="1:11" s="45" customFormat="1">
      <c r="A162" s="540">
        <v>503</v>
      </c>
      <c r="B162" s="36" t="s">
        <v>1017</v>
      </c>
      <c r="C162" s="41">
        <v>339351.82191000006</v>
      </c>
      <c r="D162" s="41">
        <v>0</v>
      </c>
      <c r="E162" s="15">
        <v>160229.37580000001</v>
      </c>
      <c r="F162" s="541">
        <f t="shared" si="2"/>
        <v>179122.44611000005</v>
      </c>
      <c r="G162" s="112"/>
      <c r="H162" s="112"/>
      <c r="I162" s="112"/>
      <c r="J162" s="112"/>
      <c r="K162" s="112"/>
    </row>
    <row r="163" spans="1:11" s="45" customFormat="1">
      <c r="A163" s="540">
        <v>504</v>
      </c>
      <c r="B163" s="36" t="s">
        <v>1018</v>
      </c>
      <c r="C163" s="41">
        <v>75707.828419999991</v>
      </c>
      <c r="D163" s="41">
        <v>0</v>
      </c>
      <c r="E163" s="15">
        <v>815153.94630999991</v>
      </c>
      <c r="F163" s="541">
        <f t="shared" si="2"/>
        <v>-739446.11788999988</v>
      </c>
      <c r="G163" s="112"/>
      <c r="H163" s="112"/>
      <c r="I163" s="112"/>
      <c r="J163" s="112"/>
      <c r="K163" s="112"/>
    </row>
    <row r="164" spans="1:11" s="45" customFormat="1">
      <c r="A164" s="540">
        <v>505</v>
      </c>
      <c r="B164" s="36" t="s">
        <v>1019</v>
      </c>
      <c r="C164" s="41">
        <v>979312.61419999972</v>
      </c>
      <c r="D164" s="41">
        <v>0</v>
      </c>
      <c r="E164" s="15">
        <v>2605374.4126000004</v>
      </c>
      <c r="F164" s="541">
        <f t="shared" si="2"/>
        <v>-1626061.7984000007</v>
      </c>
      <c r="G164" s="112"/>
      <c r="H164" s="112"/>
      <c r="I164" s="112"/>
      <c r="J164" s="112"/>
      <c r="K164" s="112"/>
    </row>
    <row r="165" spans="1:11" s="45" customFormat="1">
      <c r="A165" s="540">
        <v>507</v>
      </c>
      <c r="B165" s="36" t="s">
        <v>1020</v>
      </c>
      <c r="C165" s="41">
        <v>231123.70319999999</v>
      </c>
      <c r="D165" s="41">
        <v>0</v>
      </c>
      <c r="E165" s="15">
        <v>171136.19540000003</v>
      </c>
      <c r="F165" s="541">
        <f t="shared" si="2"/>
        <v>59987.507799999963</v>
      </c>
      <c r="G165" s="112"/>
      <c r="H165" s="112"/>
      <c r="I165" s="112"/>
      <c r="J165" s="112"/>
      <c r="K165" s="112"/>
    </row>
    <row r="166" spans="1:11" s="45" customFormat="1">
      <c r="A166" s="540">
        <v>508</v>
      </c>
      <c r="B166" s="36" t="s">
        <v>1021</v>
      </c>
      <c r="C166" s="41">
        <v>268236.83630999998</v>
      </c>
      <c r="D166" s="41">
        <v>0</v>
      </c>
      <c r="E166" s="15">
        <v>151299.02322</v>
      </c>
      <c r="F166" s="541">
        <f t="shared" si="2"/>
        <v>116937.81308999998</v>
      </c>
      <c r="G166" s="112"/>
      <c r="H166" s="112"/>
      <c r="I166" s="112"/>
      <c r="J166" s="112"/>
      <c r="K166" s="112"/>
    </row>
    <row r="167" spans="1:11" s="45" customFormat="1">
      <c r="A167" s="540">
        <v>529</v>
      </c>
      <c r="B167" s="36" t="s">
        <v>1022</v>
      </c>
      <c r="C167" s="41">
        <v>422615.61754999997</v>
      </c>
      <c r="D167" s="41">
        <v>0</v>
      </c>
      <c r="E167" s="15">
        <v>468506.21862999996</v>
      </c>
      <c r="F167" s="541">
        <f t="shared" si="2"/>
        <v>-45890.601079999993</v>
      </c>
      <c r="G167" s="112"/>
      <c r="H167" s="112"/>
      <c r="I167" s="112"/>
      <c r="J167" s="112"/>
      <c r="K167" s="112"/>
    </row>
    <row r="168" spans="1:11" s="45" customFormat="1">
      <c r="A168" s="540">
        <v>531</v>
      </c>
      <c r="B168" s="36" t="s">
        <v>1023</v>
      </c>
      <c r="C168" s="41">
        <v>143859.68962000002</v>
      </c>
      <c r="D168" s="41">
        <v>0</v>
      </c>
      <c r="E168" s="15">
        <v>185573.54620000001</v>
      </c>
      <c r="F168" s="541">
        <f t="shared" si="2"/>
        <v>-41713.856579999992</v>
      </c>
      <c r="G168" s="112"/>
      <c r="H168" s="112"/>
      <c r="I168" s="112"/>
      <c r="J168" s="112"/>
      <c r="K168" s="112"/>
    </row>
    <row r="169" spans="1:11" s="45" customFormat="1">
      <c r="A169" s="540">
        <v>535</v>
      </c>
      <c r="B169" s="36" t="s">
        <v>1024</v>
      </c>
      <c r="C169" s="41">
        <v>231197.78130999999</v>
      </c>
      <c r="D169" s="41">
        <v>0</v>
      </c>
      <c r="E169" s="15">
        <v>412022.44781999994</v>
      </c>
      <c r="F169" s="541">
        <f t="shared" si="2"/>
        <v>-180824.66650999995</v>
      </c>
      <c r="G169" s="112"/>
      <c r="H169" s="112"/>
      <c r="I169" s="112"/>
      <c r="J169" s="112"/>
      <c r="K169" s="112"/>
    </row>
    <row r="170" spans="1:11" s="45" customFormat="1">
      <c r="A170" s="540">
        <v>536</v>
      </c>
      <c r="B170" s="36" t="s">
        <v>1025</v>
      </c>
      <c r="C170" s="41">
        <v>1141321.4407699998</v>
      </c>
      <c r="D170" s="41">
        <v>0</v>
      </c>
      <c r="E170" s="15">
        <v>1017604.6925499999</v>
      </c>
      <c r="F170" s="541">
        <f t="shared" si="2"/>
        <v>123716.74821999983</v>
      </c>
      <c r="G170" s="112"/>
      <c r="H170" s="112"/>
      <c r="I170" s="112"/>
      <c r="J170" s="112"/>
      <c r="K170" s="112"/>
    </row>
    <row r="171" spans="1:11" s="45" customFormat="1">
      <c r="A171" s="540">
        <v>538</v>
      </c>
      <c r="B171" s="36" t="s">
        <v>1026</v>
      </c>
      <c r="C171" s="41">
        <v>213419.03490999996</v>
      </c>
      <c r="D171" s="41">
        <v>0</v>
      </c>
      <c r="E171" s="15">
        <v>215048.75332999998</v>
      </c>
      <c r="F171" s="541">
        <f t="shared" si="2"/>
        <v>-1629.7184200000193</v>
      </c>
      <c r="G171" s="112"/>
      <c r="H171" s="112"/>
      <c r="I171" s="112"/>
      <c r="J171" s="112"/>
      <c r="K171" s="112"/>
    </row>
    <row r="172" spans="1:11" s="45" customFormat="1">
      <c r="A172" s="540">
        <v>541</v>
      </c>
      <c r="B172" s="36" t="s">
        <v>1027</v>
      </c>
      <c r="C172" s="41">
        <v>87486.247909999991</v>
      </c>
      <c r="D172" s="41">
        <v>0</v>
      </c>
      <c r="E172" s="15">
        <v>140748.40899999999</v>
      </c>
      <c r="F172" s="541">
        <f t="shared" si="2"/>
        <v>-53262.161089999994</v>
      </c>
      <c r="G172" s="112"/>
      <c r="H172" s="112"/>
      <c r="I172" s="112"/>
      <c r="J172" s="112"/>
      <c r="K172" s="112"/>
    </row>
    <row r="173" spans="1:11" s="45" customFormat="1">
      <c r="A173" s="540">
        <v>543</v>
      </c>
      <c r="B173" s="36" t="s">
        <v>1028</v>
      </c>
      <c r="C173" s="41">
        <v>662480.53772999987</v>
      </c>
      <c r="D173" s="41">
        <v>0</v>
      </c>
      <c r="E173" s="15">
        <v>1026366.3992199999</v>
      </c>
      <c r="F173" s="541">
        <f t="shared" si="2"/>
        <v>-363885.86149000004</v>
      </c>
      <c r="G173" s="112"/>
      <c r="H173" s="112"/>
      <c r="I173" s="112"/>
      <c r="J173" s="112"/>
      <c r="K173" s="112"/>
    </row>
    <row r="174" spans="1:11" s="45" customFormat="1">
      <c r="A174" s="540">
        <v>545</v>
      </c>
      <c r="B174" s="36" t="s">
        <v>1029</v>
      </c>
      <c r="C174" s="41">
        <v>201492.45920000001</v>
      </c>
      <c r="D174" s="41">
        <v>0</v>
      </c>
      <c r="E174" s="15">
        <v>118673.13221999998</v>
      </c>
      <c r="F174" s="541">
        <f t="shared" si="2"/>
        <v>82819.326980000027</v>
      </c>
      <c r="G174" s="112"/>
      <c r="H174" s="112"/>
      <c r="I174" s="112"/>
      <c r="J174" s="112"/>
      <c r="K174" s="112"/>
    </row>
    <row r="175" spans="1:11" s="45" customFormat="1">
      <c r="A175" s="540">
        <v>560</v>
      </c>
      <c r="B175" s="36" t="s">
        <v>1030</v>
      </c>
      <c r="C175" s="41">
        <v>1299700.4399499998</v>
      </c>
      <c r="D175" s="41">
        <v>0</v>
      </c>
      <c r="E175" s="15">
        <v>962396.01091000007</v>
      </c>
      <c r="F175" s="541">
        <f t="shared" si="2"/>
        <v>337304.42903999973</v>
      </c>
      <c r="G175" s="112"/>
      <c r="H175" s="112"/>
      <c r="I175" s="112"/>
      <c r="J175" s="112"/>
      <c r="K175" s="112"/>
    </row>
    <row r="176" spans="1:11" s="45" customFormat="1">
      <c r="A176" s="540">
        <v>561</v>
      </c>
      <c r="B176" s="36" t="s">
        <v>1031</v>
      </c>
      <c r="C176" s="41">
        <v>44446.866000000002</v>
      </c>
      <c r="D176" s="41">
        <v>0</v>
      </c>
      <c r="E176" s="15">
        <v>808356.09762000002</v>
      </c>
      <c r="F176" s="541">
        <f t="shared" si="2"/>
        <v>-763909.23161999998</v>
      </c>
      <c r="G176" s="112"/>
      <c r="H176" s="112"/>
      <c r="I176" s="112"/>
      <c r="J176" s="112"/>
      <c r="K176" s="112"/>
    </row>
    <row r="177" spans="1:11" s="45" customFormat="1">
      <c r="A177" s="540">
        <v>562</v>
      </c>
      <c r="B177" s="36" t="s">
        <v>1032</v>
      </c>
      <c r="C177" s="41">
        <v>263792.14970999997</v>
      </c>
      <c r="D177" s="41">
        <v>0</v>
      </c>
      <c r="E177" s="15">
        <v>469577.98702999996</v>
      </c>
      <c r="F177" s="541">
        <f t="shared" si="2"/>
        <v>-205785.83731999999</v>
      </c>
      <c r="G177" s="112"/>
      <c r="H177" s="112"/>
      <c r="I177" s="112"/>
      <c r="J177" s="112"/>
      <c r="K177" s="112"/>
    </row>
    <row r="178" spans="1:11" s="45" customFormat="1">
      <c r="A178" s="540">
        <v>563</v>
      </c>
      <c r="B178" s="36" t="s">
        <v>1033</v>
      </c>
      <c r="C178" s="41">
        <v>321498.99739999999</v>
      </c>
      <c r="D178" s="41">
        <v>0</v>
      </c>
      <c r="E178" s="15">
        <v>208175.25040000002</v>
      </c>
      <c r="F178" s="541">
        <f t="shared" si="2"/>
        <v>113323.74699999997</v>
      </c>
      <c r="G178" s="112"/>
      <c r="H178" s="112"/>
      <c r="I178" s="112"/>
      <c r="J178" s="112"/>
      <c r="K178" s="112"/>
    </row>
    <row r="179" spans="1:11" s="45" customFormat="1">
      <c r="A179" s="540">
        <v>564</v>
      </c>
      <c r="B179" s="36" t="s">
        <v>1034</v>
      </c>
      <c r="C179" s="41">
        <v>1559344.2154999997</v>
      </c>
      <c r="D179" s="41">
        <v>0</v>
      </c>
      <c r="E179" s="15">
        <v>15581895.426620007</v>
      </c>
      <c r="F179" s="541">
        <f t="shared" si="2"/>
        <v>-14022551.211120008</v>
      </c>
      <c r="G179" s="112"/>
      <c r="H179" s="112"/>
      <c r="I179" s="112"/>
      <c r="J179" s="112"/>
      <c r="K179" s="112"/>
    </row>
    <row r="180" spans="1:11" s="45" customFormat="1">
      <c r="A180" s="540">
        <v>576</v>
      </c>
      <c r="B180" s="36" t="s">
        <v>1035</v>
      </c>
      <c r="C180" s="41">
        <v>14815.621999999998</v>
      </c>
      <c r="D180" s="41">
        <v>0</v>
      </c>
      <c r="E180" s="15">
        <v>62225.612399999998</v>
      </c>
      <c r="F180" s="541">
        <f t="shared" si="2"/>
        <v>-47409.990400000002</v>
      </c>
      <c r="G180" s="112"/>
      <c r="H180" s="112"/>
      <c r="I180" s="112"/>
      <c r="J180" s="112"/>
      <c r="K180" s="112"/>
    </row>
    <row r="181" spans="1:11" s="45" customFormat="1">
      <c r="A181" s="540">
        <v>577</v>
      </c>
      <c r="B181" s="36" t="s">
        <v>1036</v>
      </c>
      <c r="C181" s="41">
        <v>484767.15184000006</v>
      </c>
      <c r="D181" s="41">
        <v>0</v>
      </c>
      <c r="E181" s="15">
        <v>373648.41070999997</v>
      </c>
      <c r="F181" s="541">
        <f t="shared" si="2"/>
        <v>111118.7411300001</v>
      </c>
      <c r="G181" s="112"/>
      <c r="H181" s="112"/>
      <c r="I181" s="112"/>
      <c r="J181" s="112"/>
      <c r="K181" s="112"/>
    </row>
    <row r="182" spans="1:11" s="45" customFormat="1">
      <c r="A182" s="540">
        <v>578</v>
      </c>
      <c r="B182" s="36" t="s">
        <v>1037</v>
      </c>
      <c r="C182" s="41">
        <v>322091.62228000001</v>
      </c>
      <c r="D182" s="41">
        <v>0</v>
      </c>
      <c r="E182" s="15">
        <v>90375.294200000004</v>
      </c>
      <c r="F182" s="541">
        <f t="shared" si="2"/>
        <v>231716.32808000001</v>
      </c>
      <c r="G182" s="112"/>
      <c r="H182" s="112"/>
      <c r="I182" s="112"/>
      <c r="J182" s="112"/>
      <c r="K182" s="112"/>
    </row>
    <row r="183" spans="1:11" s="45" customFormat="1">
      <c r="A183" s="540">
        <v>580</v>
      </c>
      <c r="B183" s="36" t="s">
        <v>1038</v>
      </c>
      <c r="C183" s="41">
        <v>56299.363600000004</v>
      </c>
      <c r="D183" s="41">
        <v>0</v>
      </c>
      <c r="E183" s="15">
        <v>34075.9306</v>
      </c>
      <c r="F183" s="541">
        <f t="shared" si="2"/>
        <v>22223.433000000005</v>
      </c>
      <c r="G183" s="112"/>
      <c r="H183" s="112"/>
      <c r="I183" s="112"/>
      <c r="J183" s="112"/>
      <c r="K183" s="112"/>
    </row>
    <row r="184" spans="1:11" s="45" customFormat="1">
      <c r="A184" s="540">
        <v>581</v>
      </c>
      <c r="B184" s="36" t="s">
        <v>1039</v>
      </c>
      <c r="C184" s="41">
        <v>163119.99821999995</v>
      </c>
      <c r="D184" s="41">
        <v>0</v>
      </c>
      <c r="E184" s="15">
        <v>94715.956219999993</v>
      </c>
      <c r="F184" s="541">
        <f t="shared" si="2"/>
        <v>68404.041999999958</v>
      </c>
      <c r="G184" s="112"/>
      <c r="H184" s="112"/>
      <c r="I184" s="112"/>
      <c r="J184" s="112"/>
      <c r="K184" s="112"/>
    </row>
    <row r="185" spans="1:11" s="45" customFormat="1">
      <c r="A185" s="540">
        <v>583</v>
      </c>
      <c r="B185" s="36" t="s">
        <v>1040</v>
      </c>
      <c r="C185" s="41">
        <v>59410.644220000002</v>
      </c>
      <c r="D185" s="41">
        <v>0</v>
      </c>
      <c r="E185" s="15">
        <v>0</v>
      </c>
      <c r="F185" s="541">
        <f t="shared" si="2"/>
        <v>59410.644220000002</v>
      </c>
      <c r="G185" s="112"/>
      <c r="H185" s="112"/>
      <c r="I185" s="112"/>
      <c r="J185" s="112"/>
      <c r="K185" s="112"/>
    </row>
    <row r="186" spans="1:11" s="45" customFormat="1">
      <c r="A186" s="540">
        <v>584</v>
      </c>
      <c r="B186" s="36" t="s">
        <v>1041</v>
      </c>
      <c r="C186" s="41">
        <v>23704.995200000001</v>
      </c>
      <c r="D186" s="41">
        <v>0</v>
      </c>
      <c r="E186" s="15">
        <v>0</v>
      </c>
      <c r="F186" s="541">
        <f t="shared" si="2"/>
        <v>23704.995200000001</v>
      </c>
      <c r="G186" s="112"/>
      <c r="H186" s="112"/>
      <c r="I186" s="112"/>
      <c r="J186" s="112"/>
      <c r="K186" s="112"/>
    </row>
    <row r="187" spans="1:11" s="45" customFormat="1">
      <c r="A187" s="540">
        <v>592</v>
      </c>
      <c r="B187" s="36" t="s">
        <v>1042</v>
      </c>
      <c r="C187" s="41">
        <v>198751.56912999996</v>
      </c>
      <c r="D187" s="41">
        <v>0</v>
      </c>
      <c r="E187" s="15">
        <v>62225.612399999998</v>
      </c>
      <c r="F187" s="541">
        <f t="shared" si="2"/>
        <v>136525.95672999998</v>
      </c>
      <c r="G187" s="112"/>
      <c r="H187" s="112"/>
      <c r="I187" s="112"/>
      <c r="J187" s="112"/>
      <c r="K187" s="112"/>
    </row>
    <row r="188" spans="1:11" s="45" customFormat="1">
      <c r="A188" s="540">
        <v>593</v>
      </c>
      <c r="B188" s="36" t="s">
        <v>1043</v>
      </c>
      <c r="C188" s="41">
        <v>510250.02167999995</v>
      </c>
      <c r="D188" s="41">
        <v>0</v>
      </c>
      <c r="E188" s="15">
        <v>536473.67261999997</v>
      </c>
      <c r="F188" s="541">
        <f t="shared" si="2"/>
        <v>-26223.650940000021</v>
      </c>
      <c r="G188" s="112"/>
      <c r="H188" s="112"/>
      <c r="I188" s="112"/>
      <c r="J188" s="112"/>
      <c r="K188" s="112"/>
    </row>
    <row r="189" spans="1:11" s="45" customFormat="1">
      <c r="A189" s="540">
        <v>595</v>
      </c>
      <c r="B189" s="36" t="s">
        <v>1044</v>
      </c>
      <c r="C189" s="41">
        <v>207418.70800000001</v>
      </c>
      <c r="D189" s="41">
        <v>0</v>
      </c>
      <c r="E189" s="15">
        <v>134822.16020000001</v>
      </c>
      <c r="F189" s="541">
        <f t="shared" si="2"/>
        <v>72596.5478</v>
      </c>
      <c r="G189" s="112"/>
      <c r="H189" s="112"/>
      <c r="I189" s="112"/>
      <c r="J189" s="112"/>
      <c r="K189" s="112"/>
    </row>
    <row r="190" spans="1:11" s="45" customFormat="1">
      <c r="A190" s="540">
        <v>598</v>
      </c>
      <c r="B190" s="36" t="s">
        <v>1161</v>
      </c>
      <c r="C190" s="41">
        <v>1299478.2056200001</v>
      </c>
      <c r="D190" s="41">
        <v>0</v>
      </c>
      <c r="E190" s="15">
        <v>320017.43519999995</v>
      </c>
      <c r="F190" s="541">
        <f t="shared" si="2"/>
        <v>979460.77042000019</v>
      </c>
      <c r="G190" s="112"/>
      <c r="H190" s="112"/>
      <c r="I190" s="112"/>
      <c r="J190" s="112"/>
      <c r="K190" s="112"/>
    </row>
    <row r="191" spans="1:11" s="45" customFormat="1">
      <c r="A191" s="540">
        <v>599</v>
      </c>
      <c r="B191" s="36" t="s">
        <v>1162</v>
      </c>
      <c r="C191" s="41">
        <v>238531.51419999998</v>
      </c>
      <c r="D191" s="41">
        <v>0</v>
      </c>
      <c r="E191" s="15">
        <v>634256.77781999996</v>
      </c>
      <c r="F191" s="541">
        <f t="shared" si="2"/>
        <v>-395725.26361999998</v>
      </c>
      <c r="G191" s="112"/>
      <c r="H191" s="112"/>
      <c r="I191" s="112"/>
      <c r="J191" s="112"/>
      <c r="K191" s="112"/>
    </row>
    <row r="192" spans="1:11" s="45" customFormat="1">
      <c r="A192" s="540">
        <v>601</v>
      </c>
      <c r="B192" s="36" t="s">
        <v>1045</v>
      </c>
      <c r="C192" s="41">
        <v>31186.884309999998</v>
      </c>
      <c r="D192" s="41">
        <v>0</v>
      </c>
      <c r="E192" s="15">
        <v>77041.234400000001</v>
      </c>
      <c r="F192" s="541">
        <f t="shared" si="2"/>
        <v>-45854.350090000007</v>
      </c>
      <c r="G192" s="112"/>
      <c r="H192" s="112"/>
      <c r="I192" s="112"/>
      <c r="J192" s="112"/>
      <c r="K192" s="112"/>
    </row>
    <row r="193" spans="1:11" s="45" customFormat="1">
      <c r="A193" s="540">
        <v>604</v>
      </c>
      <c r="B193" s="36" t="s">
        <v>1046</v>
      </c>
      <c r="C193" s="41">
        <v>224012.20463999995</v>
      </c>
      <c r="D193" s="41">
        <v>0</v>
      </c>
      <c r="E193" s="15">
        <v>932455.84542999999</v>
      </c>
      <c r="F193" s="541">
        <f t="shared" si="2"/>
        <v>-708443.64079000009</v>
      </c>
      <c r="G193" s="112"/>
      <c r="H193" s="112"/>
      <c r="I193" s="112"/>
      <c r="J193" s="112"/>
      <c r="K193" s="112"/>
    </row>
    <row r="194" spans="1:11" s="45" customFormat="1">
      <c r="A194" s="540">
        <v>607</v>
      </c>
      <c r="B194" s="36" t="s">
        <v>1047</v>
      </c>
      <c r="C194" s="41">
        <v>82967.483200000002</v>
      </c>
      <c r="D194" s="41">
        <v>0</v>
      </c>
      <c r="E194" s="15">
        <v>105737.83331</v>
      </c>
      <c r="F194" s="541">
        <f t="shared" si="2"/>
        <v>-22770.350109999999</v>
      </c>
      <c r="G194" s="112"/>
      <c r="H194" s="112"/>
      <c r="I194" s="112"/>
      <c r="J194" s="112"/>
      <c r="K194" s="112"/>
    </row>
    <row r="195" spans="1:11" s="45" customFormat="1">
      <c r="A195" s="540">
        <v>608</v>
      </c>
      <c r="B195" s="36" t="s">
        <v>1048</v>
      </c>
      <c r="C195" s="41">
        <v>31112.806199999999</v>
      </c>
      <c r="D195" s="41">
        <v>0</v>
      </c>
      <c r="E195" s="15">
        <v>31112.806199999999</v>
      </c>
      <c r="F195" s="541">
        <f t="shared" si="2"/>
        <v>0</v>
      </c>
      <c r="G195" s="112"/>
      <c r="H195" s="112"/>
      <c r="I195" s="112"/>
      <c r="J195" s="112"/>
      <c r="K195" s="112"/>
    </row>
    <row r="196" spans="1:11" s="45" customFormat="1">
      <c r="A196" s="540">
        <v>609</v>
      </c>
      <c r="B196" s="36" t="s">
        <v>1049</v>
      </c>
      <c r="C196" s="41">
        <v>1761207.0652499995</v>
      </c>
      <c r="D196" s="41">
        <v>0</v>
      </c>
      <c r="E196" s="15">
        <v>4669906.120219999</v>
      </c>
      <c r="F196" s="541">
        <f t="shared" si="2"/>
        <v>-2908699.0549699995</v>
      </c>
      <c r="G196" s="112"/>
      <c r="H196" s="112"/>
      <c r="I196" s="112"/>
      <c r="J196" s="112"/>
      <c r="K196" s="112"/>
    </row>
    <row r="197" spans="1:11" s="45" customFormat="1">
      <c r="A197" s="540">
        <v>611</v>
      </c>
      <c r="B197" s="36" t="s">
        <v>1050</v>
      </c>
      <c r="C197" s="41">
        <v>254902.77651</v>
      </c>
      <c r="D197" s="41">
        <v>0</v>
      </c>
      <c r="E197" s="15">
        <v>235254.73992999998</v>
      </c>
      <c r="F197" s="541">
        <f t="shared" si="2"/>
        <v>19648.036580000015</v>
      </c>
      <c r="G197" s="112"/>
      <c r="H197" s="112"/>
      <c r="I197" s="112"/>
      <c r="J197" s="112"/>
      <c r="K197" s="112"/>
    </row>
    <row r="198" spans="1:11" s="45" customFormat="1">
      <c r="A198" s="540">
        <v>614</v>
      </c>
      <c r="B198" s="36" t="s">
        <v>1051</v>
      </c>
      <c r="C198" s="41">
        <v>19260.3086</v>
      </c>
      <c r="D198" s="41">
        <v>0</v>
      </c>
      <c r="E198" s="15">
        <v>24461.537600000003</v>
      </c>
      <c r="F198" s="541">
        <f t="shared" si="2"/>
        <v>-5201.229000000003</v>
      </c>
      <c r="G198" s="112"/>
      <c r="H198" s="112"/>
      <c r="I198" s="112"/>
      <c r="J198" s="112"/>
      <c r="K198" s="112"/>
    </row>
    <row r="199" spans="1:11" s="45" customFormat="1">
      <c r="A199" s="540">
        <v>615</v>
      </c>
      <c r="B199" s="36" t="s">
        <v>1052</v>
      </c>
      <c r="C199" s="41">
        <v>175046.57393000001</v>
      </c>
      <c r="D199" s="41">
        <v>0</v>
      </c>
      <c r="E199" s="15">
        <v>62225.612399999998</v>
      </c>
      <c r="F199" s="541">
        <f t="shared" si="2"/>
        <v>112820.96153000002</v>
      </c>
      <c r="G199" s="112"/>
      <c r="H199" s="112"/>
      <c r="I199" s="112"/>
      <c r="J199" s="112"/>
      <c r="K199" s="112"/>
    </row>
    <row r="200" spans="1:11" s="45" customFormat="1">
      <c r="A200" s="540">
        <v>616</v>
      </c>
      <c r="B200" s="36" t="s">
        <v>1053</v>
      </c>
      <c r="C200" s="41">
        <v>48965.63070999999</v>
      </c>
      <c r="D200" s="41">
        <v>0</v>
      </c>
      <c r="E200" s="15">
        <v>770412.34400000004</v>
      </c>
      <c r="F200" s="541">
        <f t="shared" si="2"/>
        <v>-721446.7132900001</v>
      </c>
      <c r="G200" s="112"/>
      <c r="H200" s="112"/>
      <c r="I200" s="112"/>
      <c r="J200" s="112"/>
      <c r="K200" s="112"/>
    </row>
    <row r="201" spans="1:11" s="45" customFormat="1">
      <c r="A201" s="540">
        <v>619</v>
      </c>
      <c r="B201" s="36" t="s">
        <v>1054</v>
      </c>
      <c r="C201" s="41">
        <v>145267.17371</v>
      </c>
      <c r="D201" s="41">
        <v>0</v>
      </c>
      <c r="E201" s="15">
        <v>28223.759910000001</v>
      </c>
      <c r="F201" s="541">
        <f t="shared" ref="F201:F264" si="3">C201+D201-E201</f>
        <v>117043.41380000001</v>
      </c>
      <c r="G201" s="112"/>
      <c r="H201" s="112"/>
      <c r="I201" s="112"/>
      <c r="J201" s="112"/>
      <c r="K201" s="112"/>
    </row>
    <row r="202" spans="1:11" s="45" customFormat="1">
      <c r="A202" s="542">
        <v>620</v>
      </c>
      <c r="B202" s="36" t="s">
        <v>1055</v>
      </c>
      <c r="C202" s="41">
        <v>20890.027020000001</v>
      </c>
      <c r="D202" s="41">
        <v>0</v>
      </c>
      <c r="E202" s="15">
        <v>50447.192909999998</v>
      </c>
      <c r="F202" s="541">
        <f t="shared" si="3"/>
        <v>-29557.165889999997</v>
      </c>
      <c r="G202" s="112"/>
      <c r="H202" s="112"/>
      <c r="I202" s="112"/>
      <c r="J202" s="112"/>
      <c r="K202" s="112"/>
    </row>
    <row r="203" spans="1:11" s="45" customFormat="1">
      <c r="A203" s="540">
        <v>623</v>
      </c>
      <c r="B203" s="36" t="s">
        <v>1056</v>
      </c>
      <c r="C203" s="41">
        <v>19260.3086</v>
      </c>
      <c r="D203" s="41">
        <v>0</v>
      </c>
      <c r="E203" s="15">
        <v>74152.188110000003</v>
      </c>
      <c r="F203" s="541">
        <f t="shared" si="3"/>
        <v>-54891.879509999999</v>
      </c>
      <c r="G203" s="112"/>
      <c r="H203" s="112"/>
      <c r="I203" s="112"/>
      <c r="J203" s="112"/>
      <c r="K203" s="112"/>
    </row>
    <row r="204" spans="1:11" s="45" customFormat="1">
      <c r="A204" s="540">
        <v>624</v>
      </c>
      <c r="B204" s="36" t="s">
        <v>1057</v>
      </c>
      <c r="C204" s="41">
        <v>154156.54691</v>
      </c>
      <c r="D204" s="41">
        <v>0</v>
      </c>
      <c r="E204" s="15">
        <v>334497.34151</v>
      </c>
      <c r="F204" s="541">
        <f t="shared" si="3"/>
        <v>-180340.79459999999</v>
      </c>
      <c r="G204" s="112"/>
      <c r="H204" s="112"/>
      <c r="I204" s="112"/>
      <c r="J204" s="112"/>
      <c r="K204" s="112"/>
    </row>
    <row r="205" spans="1:11" s="45" customFormat="1">
      <c r="A205" s="540">
        <v>625</v>
      </c>
      <c r="B205" s="36" t="s">
        <v>1058</v>
      </c>
      <c r="C205" s="41">
        <v>50447.192909999998</v>
      </c>
      <c r="D205" s="41">
        <v>0</v>
      </c>
      <c r="E205" s="15">
        <v>111191.24311000001</v>
      </c>
      <c r="F205" s="541">
        <f t="shared" si="3"/>
        <v>-60744.050200000012</v>
      </c>
      <c r="G205" s="112"/>
      <c r="H205" s="112"/>
      <c r="I205" s="112"/>
      <c r="J205" s="112"/>
      <c r="K205" s="112"/>
    </row>
    <row r="206" spans="1:11" s="45" customFormat="1">
      <c r="A206" s="540">
        <v>626</v>
      </c>
      <c r="B206" s="36" t="s">
        <v>1059</v>
      </c>
      <c r="C206" s="41">
        <v>91856.85639999999</v>
      </c>
      <c r="D206" s="41">
        <v>0</v>
      </c>
      <c r="E206" s="15">
        <v>105264.99431000001</v>
      </c>
      <c r="F206" s="541">
        <f t="shared" si="3"/>
        <v>-13408.137910000019</v>
      </c>
      <c r="G206" s="112"/>
      <c r="H206" s="112"/>
      <c r="I206" s="112"/>
      <c r="J206" s="112"/>
      <c r="K206" s="112"/>
    </row>
    <row r="207" spans="1:11" s="45" customFormat="1">
      <c r="A207" s="540">
        <v>630</v>
      </c>
      <c r="B207" s="36" t="s">
        <v>1060</v>
      </c>
      <c r="C207" s="41">
        <v>185343.43121999997</v>
      </c>
      <c r="D207" s="41">
        <v>0</v>
      </c>
      <c r="E207" s="15">
        <v>7407.8109999999988</v>
      </c>
      <c r="F207" s="541">
        <f t="shared" si="3"/>
        <v>177935.62021999998</v>
      </c>
      <c r="G207" s="112"/>
      <c r="H207" s="112"/>
      <c r="I207" s="112"/>
      <c r="J207" s="112"/>
      <c r="K207" s="112"/>
    </row>
    <row r="208" spans="1:11" s="45" customFormat="1">
      <c r="A208" s="540">
        <v>631</v>
      </c>
      <c r="B208" s="36" t="s">
        <v>1061</v>
      </c>
      <c r="C208" s="41">
        <v>7407.8109999999988</v>
      </c>
      <c r="D208" s="41">
        <v>0</v>
      </c>
      <c r="E208" s="15">
        <v>721993.63040000002</v>
      </c>
      <c r="F208" s="541">
        <f t="shared" si="3"/>
        <v>-714585.81940000004</v>
      </c>
      <c r="G208" s="112"/>
      <c r="H208" s="112"/>
      <c r="I208" s="112"/>
      <c r="J208" s="112"/>
      <c r="K208" s="112"/>
    </row>
    <row r="209" spans="1:11" s="45" customFormat="1">
      <c r="A209" s="540">
        <v>635</v>
      </c>
      <c r="B209" s="36" t="s">
        <v>1062</v>
      </c>
      <c r="C209" s="41">
        <v>306757.45350999996</v>
      </c>
      <c r="D209" s="41">
        <v>0</v>
      </c>
      <c r="E209" s="15">
        <v>743124.80530999997</v>
      </c>
      <c r="F209" s="541">
        <f t="shared" si="3"/>
        <v>-436367.3518</v>
      </c>
      <c r="G209" s="112"/>
      <c r="H209" s="112"/>
      <c r="I209" s="112"/>
      <c r="J209" s="112"/>
      <c r="K209" s="112"/>
    </row>
    <row r="210" spans="1:11" s="45" customFormat="1">
      <c r="A210" s="540">
        <v>636</v>
      </c>
      <c r="B210" s="36" t="s">
        <v>1063</v>
      </c>
      <c r="C210" s="41">
        <v>905308.58230999985</v>
      </c>
      <c r="D210" s="41">
        <v>0</v>
      </c>
      <c r="E210" s="15">
        <v>127488.42731</v>
      </c>
      <c r="F210" s="541">
        <f t="shared" si="3"/>
        <v>777820.1549999998</v>
      </c>
      <c r="G210" s="112"/>
      <c r="H210" s="112"/>
      <c r="I210" s="112"/>
      <c r="J210" s="112"/>
      <c r="K210" s="112"/>
    </row>
    <row r="211" spans="1:11" s="45" customFormat="1">
      <c r="A211" s="540">
        <v>638</v>
      </c>
      <c r="B211" s="36" t="s">
        <v>1064</v>
      </c>
      <c r="C211" s="41">
        <v>770930.89076999994</v>
      </c>
      <c r="D211" s="41">
        <v>0</v>
      </c>
      <c r="E211" s="15">
        <v>1513863.4082199994</v>
      </c>
      <c r="F211" s="541">
        <f t="shared" si="3"/>
        <v>-742932.51744999946</v>
      </c>
      <c r="G211" s="112"/>
      <c r="H211" s="112"/>
      <c r="I211" s="112"/>
      <c r="J211" s="112"/>
      <c r="K211" s="112"/>
    </row>
    <row r="212" spans="1:11" s="45" customFormat="1">
      <c r="A212" s="540">
        <v>678</v>
      </c>
      <c r="B212" s="36" t="s">
        <v>1065</v>
      </c>
      <c r="C212" s="41">
        <v>584476.2879</v>
      </c>
      <c r="D212" s="41">
        <v>0</v>
      </c>
      <c r="E212" s="15">
        <v>445404.88121999998</v>
      </c>
      <c r="F212" s="541">
        <f t="shared" si="3"/>
        <v>139071.40668000001</v>
      </c>
      <c r="G212" s="112"/>
      <c r="H212" s="112"/>
      <c r="I212" s="112"/>
      <c r="J212" s="112"/>
      <c r="K212" s="112"/>
    </row>
    <row r="213" spans="1:11" s="45" customFormat="1">
      <c r="A213" s="540">
        <v>680</v>
      </c>
      <c r="B213" s="36" t="s">
        <v>1066</v>
      </c>
      <c r="C213" s="41">
        <v>1222881.43988</v>
      </c>
      <c r="D213" s="41">
        <v>0</v>
      </c>
      <c r="E213" s="15">
        <v>1584719.9084999999</v>
      </c>
      <c r="F213" s="541">
        <f t="shared" si="3"/>
        <v>-361838.46861999994</v>
      </c>
      <c r="G213" s="112"/>
      <c r="H213" s="112"/>
      <c r="I213" s="112"/>
      <c r="J213" s="112"/>
      <c r="K213" s="112"/>
    </row>
    <row r="214" spans="1:11" s="45" customFormat="1">
      <c r="A214" s="540">
        <v>681</v>
      </c>
      <c r="B214" s="36" t="s">
        <v>1067</v>
      </c>
      <c r="C214" s="41">
        <v>46002.506309999997</v>
      </c>
      <c r="D214" s="41">
        <v>0</v>
      </c>
      <c r="E214" s="15">
        <v>65188.736799999999</v>
      </c>
      <c r="F214" s="541">
        <f t="shared" si="3"/>
        <v>-19186.230490000002</v>
      </c>
      <c r="G214" s="112"/>
      <c r="H214" s="112"/>
      <c r="I214" s="112"/>
      <c r="J214" s="112"/>
      <c r="K214" s="112"/>
    </row>
    <row r="215" spans="1:11" s="45" customFormat="1">
      <c r="A215" s="540">
        <v>683</v>
      </c>
      <c r="B215" s="36" t="s">
        <v>1068</v>
      </c>
      <c r="C215" s="41">
        <v>164601.56042000002</v>
      </c>
      <c r="D215" s="41">
        <v>0</v>
      </c>
      <c r="E215" s="15">
        <v>135294.99919999999</v>
      </c>
      <c r="F215" s="541">
        <f t="shared" si="3"/>
        <v>29306.561220000032</v>
      </c>
      <c r="G215" s="112"/>
      <c r="H215" s="112"/>
      <c r="I215" s="112"/>
      <c r="J215" s="112"/>
      <c r="K215" s="112"/>
    </row>
    <row r="216" spans="1:11" s="45" customFormat="1">
      <c r="A216" s="540">
        <v>684</v>
      </c>
      <c r="B216" s="36" t="s">
        <v>1069</v>
      </c>
      <c r="C216" s="41">
        <v>1186212.7754299999</v>
      </c>
      <c r="D216" s="41">
        <v>0</v>
      </c>
      <c r="E216" s="15">
        <v>4109918.1641299999</v>
      </c>
      <c r="F216" s="541">
        <f t="shared" si="3"/>
        <v>-2923705.3887</v>
      </c>
      <c r="G216" s="112"/>
      <c r="H216" s="112"/>
      <c r="I216" s="112"/>
      <c r="J216" s="112"/>
      <c r="K216" s="112"/>
    </row>
    <row r="217" spans="1:11" s="45" customFormat="1">
      <c r="A217" s="540">
        <v>686</v>
      </c>
      <c r="B217" s="36" t="s">
        <v>1070</v>
      </c>
      <c r="C217" s="41">
        <v>106672.47840000001</v>
      </c>
      <c r="D217" s="41">
        <v>0</v>
      </c>
      <c r="E217" s="15">
        <v>88893.732000000004</v>
      </c>
      <c r="F217" s="541">
        <f t="shared" si="3"/>
        <v>17778.746400000004</v>
      </c>
      <c r="G217" s="112"/>
      <c r="H217" s="112"/>
      <c r="I217" s="112"/>
      <c r="J217" s="112"/>
      <c r="K217" s="112"/>
    </row>
    <row r="218" spans="1:11" s="45" customFormat="1">
      <c r="A218" s="540">
        <v>687</v>
      </c>
      <c r="B218" s="36" t="s">
        <v>1071</v>
      </c>
      <c r="C218" s="41">
        <v>176305.90179999999</v>
      </c>
      <c r="D218" s="41">
        <v>0</v>
      </c>
      <c r="E218" s="15">
        <v>23779.07331</v>
      </c>
      <c r="F218" s="541">
        <f t="shared" si="3"/>
        <v>152526.82848999999</v>
      </c>
      <c r="G218" s="112"/>
      <c r="H218" s="112"/>
      <c r="I218" s="112"/>
      <c r="J218" s="112"/>
      <c r="K218" s="112"/>
    </row>
    <row r="219" spans="1:11" s="45" customFormat="1">
      <c r="A219" s="540">
        <v>689</v>
      </c>
      <c r="B219" s="36" t="s">
        <v>1072</v>
      </c>
      <c r="C219" s="41">
        <v>22223.432999999997</v>
      </c>
      <c r="D219" s="41">
        <v>0</v>
      </c>
      <c r="E219" s="15">
        <v>27424.661999999997</v>
      </c>
      <c r="F219" s="541">
        <f t="shared" si="3"/>
        <v>-5201.2289999999994</v>
      </c>
      <c r="G219" s="112"/>
      <c r="H219" s="112"/>
      <c r="I219" s="112"/>
      <c r="J219" s="112"/>
      <c r="K219" s="112"/>
    </row>
    <row r="220" spans="1:11" s="45" customFormat="1">
      <c r="A220" s="540">
        <v>691</v>
      </c>
      <c r="B220" s="36" t="s">
        <v>1073</v>
      </c>
      <c r="C220" s="41">
        <v>45928.428200000002</v>
      </c>
      <c r="D220" s="41">
        <v>0</v>
      </c>
      <c r="E220" s="15">
        <v>74078.11</v>
      </c>
      <c r="F220" s="541">
        <f t="shared" si="3"/>
        <v>-28149.681799999998</v>
      </c>
      <c r="G220" s="112"/>
      <c r="H220" s="112"/>
      <c r="I220" s="112"/>
      <c r="J220" s="112"/>
      <c r="K220" s="112"/>
    </row>
    <row r="221" spans="1:11" s="45" customFormat="1">
      <c r="A221" s="540">
        <v>694</v>
      </c>
      <c r="B221" s="36" t="s">
        <v>1074</v>
      </c>
      <c r="C221" s="41">
        <v>882122.13387999998</v>
      </c>
      <c r="D221" s="41">
        <v>0</v>
      </c>
      <c r="E221" s="15">
        <v>576907.71163999988</v>
      </c>
      <c r="F221" s="541">
        <f t="shared" si="3"/>
        <v>305214.4222400001</v>
      </c>
      <c r="G221" s="112"/>
      <c r="H221" s="112"/>
      <c r="I221" s="112"/>
      <c r="J221" s="112"/>
      <c r="K221" s="112"/>
    </row>
    <row r="222" spans="1:11" s="45" customFormat="1">
      <c r="A222" s="540">
        <v>697</v>
      </c>
      <c r="B222" s="36" t="s">
        <v>1075</v>
      </c>
      <c r="C222" s="41">
        <v>38520.617200000001</v>
      </c>
      <c r="D222" s="41">
        <v>0</v>
      </c>
      <c r="E222" s="15">
        <v>24461.537600000003</v>
      </c>
      <c r="F222" s="541">
        <f t="shared" si="3"/>
        <v>14059.079599999997</v>
      </c>
      <c r="G222" s="112"/>
      <c r="H222" s="112"/>
      <c r="I222" s="112"/>
      <c r="J222" s="112"/>
      <c r="K222" s="112"/>
    </row>
    <row r="223" spans="1:11" s="45" customFormat="1">
      <c r="A223" s="540">
        <v>698</v>
      </c>
      <c r="B223" s="36" t="s">
        <v>1076</v>
      </c>
      <c r="C223" s="41">
        <v>828637.73845999991</v>
      </c>
      <c r="D223" s="41">
        <v>0</v>
      </c>
      <c r="E223" s="15">
        <v>6220376.723819999</v>
      </c>
      <c r="F223" s="541">
        <f t="shared" si="3"/>
        <v>-5391738.9853599994</v>
      </c>
      <c r="G223" s="112"/>
      <c r="H223" s="112"/>
      <c r="I223" s="112"/>
      <c r="J223" s="112"/>
      <c r="K223" s="112"/>
    </row>
    <row r="224" spans="1:11" s="45" customFormat="1">
      <c r="A224" s="540">
        <v>700</v>
      </c>
      <c r="B224" s="36" t="s">
        <v>1077</v>
      </c>
      <c r="C224" s="41">
        <v>115635.92971</v>
      </c>
      <c r="D224" s="41">
        <v>0</v>
      </c>
      <c r="E224" s="15">
        <v>148944.285</v>
      </c>
      <c r="F224" s="541">
        <f t="shared" si="3"/>
        <v>-33308.355290000007</v>
      </c>
      <c r="G224" s="112"/>
      <c r="H224" s="112"/>
      <c r="I224" s="112"/>
      <c r="J224" s="112"/>
      <c r="K224" s="112"/>
    </row>
    <row r="225" spans="1:11" s="45" customFormat="1">
      <c r="A225" s="540">
        <v>702</v>
      </c>
      <c r="B225" s="36" t="s">
        <v>1078</v>
      </c>
      <c r="C225" s="41">
        <v>94894.058910000007</v>
      </c>
      <c r="D225" s="41">
        <v>0</v>
      </c>
      <c r="E225" s="15">
        <v>88357.847799999989</v>
      </c>
      <c r="F225" s="541">
        <f t="shared" si="3"/>
        <v>6536.2111100000184</v>
      </c>
      <c r="G225" s="112"/>
      <c r="H225" s="112"/>
      <c r="I225" s="112"/>
      <c r="J225" s="112"/>
      <c r="K225" s="112"/>
    </row>
    <row r="226" spans="1:11" s="45" customFormat="1">
      <c r="A226" s="540">
        <v>704</v>
      </c>
      <c r="B226" s="36" t="s">
        <v>1079</v>
      </c>
      <c r="C226" s="41">
        <v>357204.64642</v>
      </c>
      <c r="D226" s="41">
        <v>0</v>
      </c>
      <c r="E226" s="15">
        <v>267734.05083999992</v>
      </c>
      <c r="F226" s="541">
        <f t="shared" si="3"/>
        <v>89470.595580000081</v>
      </c>
      <c r="G226" s="112"/>
      <c r="H226" s="112"/>
      <c r="I226" s="112"/>
      <c r="J226" s="112"/>
      <c r="K226" s="112"/>
    </row>
    <row r="227" spans="1:11" s="45" customFormat="1">
      <c r="A227" s="540">
        <v>707</v>
      </c>
      <c r="B227" s="36" t="s">
        <v>1080</v>
      </c>
      <c r="C227" s="41">
        <v>14815.621999999998</v>
      </c>
      <c r="D227" s="41">
        <v>0</v>
      </c>
      <c r="E227" s="15">
        <v>45928.428199999995</v>
      </c>
      <c r="F227" s="541">
        <f t="shared" si="3"/>
        <v>-31112.806199999999</v>
      </c>
      <c r="G227" s="112"/>
      <c r="H227" s="112"/>
      <c r="I227" s="112"/>
      <c r="J227" s="112"/>
      <c r="K227" s="112"/>
    </row>
    <row r="228" spans="1:11" s="45" customFormat="1">
      <c r="A228" s="540">
        <v>710</v>
      </c>
      <c r="B228" s="36" t="s">
        <v>1163</v>
      </c>
      <c r="C228" s="41">
        <v>391428.73323999991</v>
      </c>
      <c r="D228" s="41">
        <v>0</v>
      </c>
      <c r="E228" s="15">
        <v>1571759.3915099998</v>
      </c>
      <c r="F228" s="541">
        <f t="shared" si="3"/>
        <v>-1180330.6582699998</v>
      </c>
      <c r="G228" s="112"/>
      <c r="H228" s="112"/>
      <c r="I228" s="112"/>
      <c r="J228" s="112"/>
      <c r="K228" s="112"/>
    </row>
    <row r="229" spans="1:11" s="45" customFormat="1">
      <c r="A229" s="540">
        <v>729</v>
      </c>
      <c r="B229" s="36" t="s">
        <v>1081</v>
      </c>
      <c r="C229" s="41">
        <v>213419.03490999999</v>
      </c>
      <c r="D229" s="41">
        <v>0</v>
      </c>
      <c r="E229" s="15">
        <v>145267.17371</v>
      </c>
      <c r="F229" s="541">
        <f t="shared" si="3"/>
        <v>68151.861199999985</v>
      </c>
      <c r="G229" s="112"/>
      <c r="H229" s="112"/>
      <c r="I229" s="112"/>
      <c r="J229" s="112"/>
      <c r="K229" s="112"/>
    </row>
    <row r="230" spans="1:11" s="45" customFormat="1">
      <c r="A230" s="540">
        <v>732</v>
      </c>
      <c r="B230" s="36" t="s">
        <v>1082</v>
      </c>
      <c r="C230" s="41">
        <v>14815.621999999998</v>
      </c>
      <c r="D230" s="41">
        <v>0</v>
      </c>
      <c r="E230" s="15">
        <v>93412.496710000007</v>
      </c>
      <c r="F230" s="541">
        <f t="shared" si="3"/>
        <v>-78596.874710000004</v>
      </c>
      <c r="G230" s="112"/>
      <c r="H230" s="112"/>
      <c r="I230" s="112"/>
      <c r="J230" s="112"/>
      <c r="K230" s="112"/>
    </row>
    <row r="231" spans="1:11" s="45" customFormat="1">
      <c r="A231" s="540">
        <v>734</v>
      </c>
      <c r="B231" s="36" t="s">
        <v>1083</v>
      </c>
      <c r="C231" s="41">
        <v>702779.02957000001</v>
      </c>
      <c r="D231" s="41">
        <v>0</v>
      </c>
      <c r="E231" s="15">
        <v>1269714.5666999996</v>
      </c>
      <c r="F231" s="541">
        <f t="shared" si="3"/>
        <v>-566935.5371299996</v>
      </c>
      <c r="G231" s="112"/>
      <c r="H231" s="112"/>
      <c r="I231" s="112"/>
      <c r="J231" s="112"/>
      <c r="K231" s="112"/>
    </row>
    <row r="232" spans="1:11" s="45" customFormat="1">
      <c r="A232" s="540">
        <v>738</v>
      </c>
      <c r="B232" s="36" t="s">
        <v>1084</v>
      </c>
      <c r="C232" s="41">
        <v>324462.12180000002</v>
      </c>
      <c r="D232" s="41">
        <v>0</v>
      </c>
      <c r="E232" s="15">
        <v>193181.52570999999</v>
      </c>
      <c r="F232" s="541">
        <f t="shared" si="3"/>
        <v>131280.59609000004</v>
      </c>
      <c r="G232" s="112"/>
      <c r="H232" s="112"/>
      <c r="I232" s="112"/>
      <c r="J232" s="112"/>
      <c r="K232" s="112"/>
    </row>
    <row r="233" spans="1:11" s="45" customFormat="1">
      <c r="A233" s="540">
        <v>739</v>
      </c>
      <c r="B233" s="36" t="s">
        <v>1085</v>
      </c>
      <c r="C233" s="41">
        <v>109857.83713</v>
      </c>
      <c r="D233" s="41">
        <v>0</v>
      </c>
      <c r="E233" s="15">
        <v>35305.311999999998</v>
      </c>
      <c r="F233" s="541">
        <f t="shared" si="3"/>
        <v>74552.525129999995</v>
      </c>
      <c r="G233" s="112"/>
      <c r="H233" s="112"/>
      <c r="I233" s="112"/>
      <c r="J233" s="112"/>
      <c r="K233" s="112"/>
    </row>
    <row r="234" spans="1:11" s="45" customFormat="1">
      <c r="A234" s="540">
        <v>740</v>
      </c>
      <c r="B234" s="36" t="s">
        <v>1086</v>
      </c>
      <c r="C234" s="41">
        <v>410911.27616999997</v>
      </c>
      <c r="D234" s="41">
        <v>0</v>
      </c>
      <c r="E234" s="15">
        <v>733669.60143999988</v>
      </c>
      <c r="F234" s="541">
        <f t="shared" si="3"/>
        <v>-322758.32526999991</v>
      </c>
      <c r="G234" s="112"/>
      <c r="H234" s="112"/>
      <c r="I234" s="112"/>
      <c r="J234" s="112"/>
      <c r="K234" s="112"/>
    </row>
    <row r="235" spans="1:11" s="45" customFormat="1">
      <c r="A235" s="540">
        <v>742</v>
      </c>
      <c r="B235" s="36" t="s">
        <v>1087</v>
      </c>
      <c r="C235" s="41">
        <v>34075.9306</v>
      </c>
      <c r="D235" s="41">
        <v>0</v>
      </c>
      <c r="E235" s="15">
        <v>4518.7647099999995</v>
      </c>
      <c r="F235" s="541">
        <f t="shared" si="3"/>
        <v>29557.16589</v>
      </c>
      <c r="G235" s="112"/>
      <c r="H235" s="112"/>
      <c r="I235" s="112"/>
      <c r="J235" s="112"/>
      <c r="K235" s="112"/>
    </row>
    <row r="236" spans="1:11" s="45" customFormat="1">
      <c r="A236" s="540">
        <v>743</v>
      </c>
      <c r="B236" s="36" t="s">
        <v>1088</v>
      </c>
      <c r="C236" s="41">
        <v>1430596.4603199998</v>
      </c>
      <c r="D236" s="41">
        <v>0</v>
      </c>
      <c r="E236" s="15">
        <v>1471118.7626199995</v>
      </c>
      <c r="F236" s="541">
        <f t="shared" si="3"/>
        <v>-40522.302299999632</v>
      </c>
      <c r="G236" s="112"/>
      <c r="H236" s="112"/>
      <c r="I236" s="112"/>
      <c r="J236" s="112"/>
      <c r="K236" s="112"/>
    </row>
    <row r="237" spans="1:11" s="45" customFormat="1">
      <c r="A237" s="540">
        <v>746</v>
      </c>
      <c r="B237" s="36" t="s">
        <v>1089</v>
      </c>
      <c r="C237" s="41">
        <v>63781.252709999986</v>
      </c>
      <c r="D237" s="41">
        <v>0</v>
      </c>
      <c r="E237" s="15">
        <v>53410.317309999999</v>
      </c>
      <c r="F237" s="541">
        <f t="shared" si="3"/>
        <v>10370.935399999988</v>
      </c>
      <c r="G237" s="112"/>
      <c r="H237" s="112"/>
      <c r="I237" s="112"/>
      <c r="J237" s="112"/>
      <c r="K237" s="112"/>
    </row>
    <row r="238" spans="1:11" s="45" customFormat="1">
      <c r="A238" s="540">
        <v>747</v>
      </c>
      <c r="B238" s="36" t="s">
        <v>1090</v>
      </c>
      <c r="C238" s="41">
        <v>149711.86030999999</v>
      </c>
      <c r="D238" s="41">
        <v>0</v>
      </c>
      <c r="E238" s="15">
        <v>97857.183310000008</v>
      </c>
      <c r="F238" s="541">
        <f t="shared" si="3"/>
        <v>51854.676999999981</v>
      </c>
      <c r="G238" s="112"/>
      <c r="H238" s="112"/>
      <c r="I238" s="112"/>
      <c r="J238" s="112"/>
      <c r="K238" s="112"/>
    </row>
    <row r="239" spans="1:11" s="45" customFormat="1">
      <c r="A239" s="540">
        <v>748</v>
      </c>
      <c r="B239" s="36" t="s">
        <v>1091</v>
      </c>
      <c r="C239" s="41">
        <v>223864.04842000001</v>
      </c>
      <c r="D239" s="41">
        <v>0</v>
      </c>
      <c r="E239" s="15">
        <v>68448.173639999994</v>
      </c>
      <c r="F239" s="541">
        <f t="shared" si="3"/>
        <v>155415.87478000001</v>
      </c>
      <c r="G239" s="112"/>
      <c r="H239" s="112"/>
      <c r="I239" s="112"/>
      <c r="J239" s="112"/>
      <c r="K239" s="112"/>
    </row>
    <row r="240" spans="1:11" s="45" customFormat="1">
      <c r="A240" s="540">
        <v>749</v>
      </c>
      <c r="B240" s="36" t="s">
        <v>1092</v>
      </c>
      <c r="C240" s="41">
        <v>843157.04801999987</v>
      </c>
      <c r="D240" s="41">
        <v>0</v>
      </c>
      <c r="E240" s="15">
        <v>542636.3409200001</v>
      </c>
      <c r="F240" s="541">
        <f t="shared" si="3"/>
        <v>300520.70709999977</v>
      </c>
      <c r="G240" s="112"/>
      <c r="H240" s="112"/>
      <c r="I240" s="112"/>
      <c r="J240" s="112"/>
      <c r="K240" s="112"/>
    </row>
    <row r="241" spans="1:11" s="45" customFormat="1">
      <c r="A241" s="540">
        <v>751</v>
      </c>
      <c r="B241" s="36" t="s">
        <v>1093</v>
      </c>
      <c r="C241" s="41">
        <v>91856.85639999999</v>
      </c>
      <c r="D241" s="41">
        <v>0</v>
      </c>
      <c r="E241" s="15">
        <v>23779.07331</v>
      </c>
      <c r="F241" s="541">
        <f t="shared" si="3"/>
        <v>68077.783089999983</v>
      </c>
      <c r="G241" s="112"/>
      <c r="H241" s="112"/>
      <c r="I241" s="112"/>
      <c r="J241" s="112"/>
      <c r="K241" s="112"/>
    </row>
    <row r="242" spans="1:11" s="45" customFormat="1">
      <c r="A242" s="540">
        <v>753</v>
      </c>
      <c r="B242" s="36" t="s">
        <v>1164</v>
      </c>
      <c r="C242" s="41">
        <v>1157396.3906399999</v>
      </c>
      <c r="D242" s="41">
        <v>0</v>
      </c>
      <c r="E242" s="15">
        <v>1400128.2912900001</v>
      </c>
      <c r="F242" s="541">
        <f t="shared" si="3"/>
        <v>-242731.9006500002</v>
      </c>
      <c r="G242" s="112"/>
      <c r="H242" s="112"/>
      <c r="I242" s="112"/>
      <c r="J242" s="112"/>
      <c r="K242" s="112"/>
    </row>
    <row r="243" spans="1:11" s="45" customFormat="1">
      <c r="A243" s="540">
        <v>755</v>
      </c>
      <c r="B243" s="36" t="s">
        <v>1094</v>
      </c>
      <c r="C243" s="41">
        <v>294904.95590999996</v>
      </c>
      <c r="D243" s="41">
        <v>0</v>
      </c>
      <c r="E243" s="15">
        <v>1414240.9593099998</v>
      </c>
      <c r="F243" s="541">
        <f t="shared" si="3"/>
        <v>-1119336.0033999998</v>
      </c>
      <c r="G243" s="112"/>
      <c r="H243" s="112"/>
      <c r="I243" s="112"/>
      <c r="J243" s="112"/>
      <c r="K243" s="112"/>
    </row>
    <row r="244" spans="1:11" s="45" customFormat="1">
      <c r="A244" s="540">
        <v>758</v>
      </c>
      <c r="B244" s="36" t="s">
        <v>1095</v>
      </c>
      <c r="C244" s="41">
        <v>43113.460019999999</v>
      </c>
      <c r="D244" s="41">
        <v>0</v>
      </c>
      <c r="E244" s="15">
        <v>146748.73591000002</v>
      </c>
      <c r="F244" s="541">
        <f t="shared" si="3"/>
        <v>-103635.27589000002</v>
      </c>
      <c r="G244" s="112"/>
      <c r="H244" s="112"/>
      <c r="I244" s="112"/>
      <c r="J244" s="112"/>
      <c r="K244" s="112"/>
    </row>
    <row r="245" spans="1:11" s="45" customFormat="1">
      <c r="A245" s="540">
        <v>759</v>
      </c>
      <c r="B245" s="36" t="s">
        <v>1096</v>
      </c>
      <c r="C245" s="41">
        <v>453358.03320000001</v>
      </c>
      <c r="D245" s="41">
        <v>0</v>
      </c>
      <c r="E245" s="15">
        <v>11852.497600000001</v>
      </c>
      <c r="F245" s="541">
        <f t="shared" si="3"/>
        <v>441505.5356</v>
      </c>
      <c r="G245" s="112"/>
      <c r="H245" s="112"/>
      <c r="I245" s="112"/>
      <c r="J245" s="112"/>
      <c r="K245" s="112"/>
    </row>
    <row r="246" spans="1:11" s="45" customFormat="1">
      <c r="A246" s="540">
        <v>761</v>
      </c>
      <c r="B246" s="36" t="s">
        <v>1097</v>
      </c>
      <c r="C246" s="41">
        <v>652479.99287999992</v>
      </c>
      <c r="D246" s="41">
        <v>0</v>
      </c>
      <c r="E246" s="15">
        <v>91930.934509999992</v>
      </c>
      <c r="F246" s="541">
        <f t="shared" si="3"/>
        <v>560549.05836999998</v>
      </c>
      <c r="G246" s="112"/>
      <c r="H246" s="112"/>
      <c r="I246" s="112"/>
      <c r="J246" s="112"/>
      <c r="K246" s="112"/>
    </row>
    <row r="247" spans="1:11" s="45" customFormat="1">
      <c r="A247" s="540">
        <v>762</v>
      </c>
      <c r="B247" s="36" t="s">
        <v>1098</v>
      </c>
      <c r="C247" s="41">
        <v>91930.934510000006</v>
      </c>
      <c r="D247" s="41">
        <v>0</v>
      </c>
      <c r="E247" s="15">
        <v>72596.547799999986</v>
      </c>
      <c r="F247" s="541">
        <f t="shared" si="3"/>
        <v>19334.386710000021</v>
      </c>
      <c r="G247" s="112"/>
      <c r="H247" s="112"/>
      <c r="I247" s="112"/>
      <c r="J247" s="112"/>
      <c r="K247" s="112"/>
    </row>
    <row r="248" spans="1:11" s="45" customFormat="1">
      <c r="A248" s="540">
        <v>765</v>
      </c>
      <c r="B248" s="36" t="s">
        <v>1099</v>
      </c>
      <c r="C248" s="41">
        <v>125932.78700000001</v>
      </c>
      <c r="D248" s="41">
        <v>0</v>
      </c>
      <c r="E248" s="15">
        <v>158601.23350999999</v>
      </c>
      <c r="F248" s="541">
        <f t="shared" si="3"/>
        <v>-32668.44650999998</v>
      </c>
      <c r="G248" s="112"/>
      <c r="H248" s="112"/>
      <c r="I248" s="112"/>
      <c r="J248" s="112"/>
      <c r="K248" s="112"/>
    </row>
    <row r="249" spans="1:11" s="45" customFormat="1">
      <c r="A249" s="540">
        <v>768</v>
      </c>
      <c r="B249" s="36" t="s">
        <v>1100</v>
      </c>
      <c r="C249" s="41">
        <v>112598.72719999999</v>
      </c>
      <c r="D249" s="41">
        <v>0</v>
      </c>
      <c r="E249" s="15">
        <v>77041.234400000001</v>
      </c>
      <c r="F249" s="541">
        <f t="shared" si="3"/>
        <v>35557.492799999993</v>
      </c>
      <c r="G249" s="112"/>
      <c r="H249" s="112"/>
      <c r="I249" s="112"/>
      <c r="J249" s="112"/>
      <c r="K249" s="112"/>
    </row>
    <row r="250" spans="1:11" s="45" customFormat="1">
      <c r="A250" s="540">
        <v>777</v>
      </c>
      <c r="B250" s="36" t="s">
        <v>1101</v>
      </c>
      <c r="C250" s="41">
        <v>85930.607600000003</v>
      </c>
      <c r="D250" s="41">
        <v>0</v>
      </c>
      <c r="E250" s="15">
        <v>98613.725709999999</v>
      </c>
      <c r="F250" s="541">
        <f t="shared" si="3"/>
        <v>-12683.118109999996</v>
      </c>
      <c r="G250" s="112"/>
      <c r="H250" s="112"/>
      <c r="I250" s="112"/>
      <c r="J250" s="112"/>
      <c r="K250" s="112"/>
    </row>
    <row r="251" spans="1:11" s="45" customFormat="1">
      <c r="A251" s="540">
        <v>778</v>
      </c>
      <c r="B251" s="36" t="s">
        <v>1102</v>
      </c>
      <c r="C251" s="41">
        <v>303794.32910999999</v>
      </c>
      <c r="D251" s="41">
        <v>0</v>
      </c>
      <c r="E251" s="15">
        <v>125932.78700000001</v>
      </c>
      <c r="F251" s="541">
        <f t="shared" si="3"/>
        <v>177861.54210999998</v>
      </c>
      <c r="G251" s="112"/>
      <c r="H251" s="112"/>
      <c r="I251" s="112"/>
      <c r="J251" s="112"/>
      <c r="K251" s="112"/>
    </row>
    <row r="252" spans="1:11" s="45" customFormat="1">
      <c r="A252" s="540">
        <v>781</v>
      </c>
      <c r="B252" s="36" t="s">
        <v>1103</v>
      </c>
      <c r="C252" s="41">
        <v>85930.607600000003</v>
      </c>
      <c r="D252" s="41">
        <v>0</v>
      </c>
      <c r="E252" s="15">
        <v>65945.27919999999</v>
      </c>
      <c r="F252" s="541">
        <f t="shared" si="3"/>
        <v>19985.328400000013</v>
      </c>
      <c r="G252" s="112"/>
      <c r="H252" s="112"/>
      <c r="I252" s="112"/>
      <c r="J252" s="112"/>
      <c r="K252" s="112"/>
    </row>
    <row r="253" spans="1:11" s="45" customFormat="1">
      <c r="A253" s="540">
        <v>783</v>
      </c>
      <c r="B253" s="36" t="s">
        <v>1104</v>
      </c>
      <c r="C253" s="41">
        <v>80004.358799999987</v>
      </c>
      <c r="D253" s="41">
        <v>0</v>
      </c>
      <c r="E253" s="15">
        <v>219345.28371000002</v>
      </c>
      <c r="F253" s="541">
        <f t="shared" si="3"/>
        <v>-139340.92491000003</v>
      </c>
      <c r="G253" s="112"/>
      <c r="H253" s="112"/>
      <c r="I253" s="112"/>
      <c r="J253" s="112"/>
      <c r="K253" s="112"/>
    </row>
    <row r="254" spans="1:11" s="45" customFormat="1">
      <c r="A254" s="540">
        <v>785</v>
      </c>
      <c r="B254" s="36" t="s">
        <v>1105</v>
      </c>
      <c r="C254" s="41">
        <v>45928.428200000002</v>
      </c>
      <c r="D254" s="41">
        <v>0</v>
      </c>
      <c r="E254" s="15">
        <v>93633.154909999997</v>
      </c>
      <c r="F254" s="541">
        <f t="shared" si="3"/>
        <v>-47704.726709999995</v>
      </c>
      <c r="G254" s="112"/>
      <c r="H254" s="112"/>
      <c r="I254" s="112"/>
      <c r="J254" s="112"/>
      <c r="K254" s="112"/>
    </row>
    <row r="255" spans="1:11" s="45" customFormat="1">
      <c r="A255" s="540">
        <v>790</v>
      </c>
      <c r="B255" s="36" t="s">
        <v>1106</v>
      </c>
      <c r="C255" s="41">
        <v>870269.63627999986</v>
      </c>
      <c r="D255" s="41">
        <v>0</v>
      </c>
      <c r="E255" s="15">
        <v>355018.55410999997</v>
      </c>
      <c r="F255" s="541">
        <f t="shared" si="3"/>
        <v>515251.08216999989</v>
      </c>
      <c r="G255" s="112"/>
      <c r="H255" s="112"/>
      <c r="I255" s="112"/>
      <c r="J255" s="112"/>
      <c r="K255" s="112"/>
    </row>
    <row r="256" spans="1:11" s="45" customFormat="1">
      <c r="A256" s="540">
        <v>791</v>
      </c>
      <c r="B256" s="36" t="s">
        <v>1107</v>
      </c>
      <c r="C256" s="41">
        <v>174824.33960000001</v>
      </c>
      <c r="D256" s="41">
        <v>0</v>
      </c>
      <c r="E256" s="15">
        <v>264339.06682000001</v>
      </c>
      <c r="F256" s="541">
        <f t="shared" si="3"/>
        <v>-89514.727220000001</v>
      </c>
      <c r="G256" s="112"/>
      <c r="H256" s="112"/>
      <c r="I256" s="112"/>
      <c r="J256" s="112"/>
      <c r="K256" s="112"/>
    </row>
    <row r="257" spans="1:11" s="45" customFormat="1">
      <c r="A257" s="540">
        <v>831</v>
      </c>
      <c r="B257" s="36" t="s">
        <v>1108</v>
      </c>
      <c r="C257" s="41">
        <v>186750.91531000001</v>
      </c>
      <c r="D257" s="41">
        <v>0</v>
      </c>
      <c r="E257" s="15">
        <v>311753.78561000002</v>
      </c>
      <c r="F257" s="541">
        <f t="shared" si="3"/>
        <v>-125002.87030000001</v>
      </c>
      <c r="G257" s="112"/>
      <c r="H257" s="112"/>
      <c r="I257" s="112"/>
      <c r="J257" s="112"/>
      <c r="K257" s="112"/>
    </row>
    <row r="258" spans="1:11" s="45" customFormat="1">
      <c r="A258" s="540">
        <v>832</v>
      </c>
      <c r="B258" s="36" t="s">
        <v>1109</v>
      </c>
      <c r="C258" s="41">
        <v>69633.4234</v>
      </c>
      <c r="D258" s="41">
        <v>0</v>
      </c>
      <c r="E258" s="15">
        <v>47484.068509999997</v>
      </c>
      <c r="F258" s="541">
        <f t="shared" si="3"/>
        <v>22149.354890000002</v>
      </c>
      <c r="G258" s="112"/>
      <c r="H258" s="112"/>
      <c r="I258" s="112"/>
      <c r="J258" s="112"/>
      <c r="K258" s="112"/>
    </row>
    <row r="259" spans="1:11" s="45" customFormat="1">
      <c r="A259" s="540">
        <v>833</v>
      </c>
      <c r="B259" s="36" t="s">
        <v>1110</v>
      </c>
      <c r="C259" s="41">
        <v>259347.46310999998</v>
      </c>
      <c r="D259" s="41">
        <v>0</v>
      </c>
      <c r="E259" s="15">
        <v>0</v>
      </c>
      <c r="F259" s="541">
        <f t="shared" si="3"/>
        <v>259347.46310999998</v>
      </c>
      <c r="G259" s="112"/>
      <c r="H259" s="112"/>
      <c r="I259" s="112"/>
      <c r="J259" s="112"/>
      <c r="K259" s="112"/>
    </row>
    <row r="260" spans="1:11" s="45" customFormat="1">
      <c r="A260" s="540">
        <v>834</v>
      </c>
      <c r="B260" s="36" t="s">
        <v>1111</v>
      </c>
      <c r="C260" s="41">
        <v>130525.62982000002</v>
      </c>
      <c r="D260" s="41">
        <v>0</v>
      </c>
      <c r="E260" s="15">
        <v>381518.02779999998</v>
      </c>
      <c r="F260" s="541">
        <f t="shared" si="3"/>
        <v>-250992.39797999995</v>
      </c>
      <c r="G260" s="112"/>
      <c r="H260" s="112"/>
      <c r="I260" s="112"/>
      <c r="J260" s="112"/>
      <c r="K260" s="112"/>
    </row>
    <row r="261" spans="1:11" s="45" customFormat="1">
      <c r="A261" s="540">
        <v>837</v>
      </c>
      <c r="B261" s="36" t="s">
        <v>1112</v>
      </c>
      <c r="C261" s="41">
        <v>4732257.82302</v>
      </c>
      <c r="D261" s="41">
        <v>0</v>
      </c>
      <c r="E261" s="15">
        <v>17819760.454860006</v>
      </c>
      <c r="F261" s="541">
        <f t="shared" si="3"/>
        <v>-13087502.631840006</v>
      </c>
      <c r="G261" s="112"/>
      <c r="H261" s="112"/>
      <c r="I261" s="112"/>
      <c r="J261" s="112"/>
      <c r="K261" s="112"/>
    </row>
    <row r="262" spans="1:11" s="45" customFormat="1">
      <c r="A262" s="540">
        <v>844</v>
      </c>
      <c r="B262" s="36" t="s">
        <v>1113</v>
      </c>
      <c r="C262" s="41">
        <v>31186.884309999998</v>
      </c>
      <c r="D262" s="41">
        <v>0</v>
      </c>
      <c r="E262" s="15">
        <v>80004.358800000002</v>
      </c>
      <c r="F262" s="541">
        <f t="shared" si="3"/>
        <v>-48817.474490000008</v>
      </c>
      <c r="G262" s="112"/>
      <c r="H262" s="112"/>
      <c r="I262" s="112"/>
      <c r="J262" s="112"/>
      <c r="K262" s="112"/>
    </row>
    <row r="263" spans="1:11" s="45" customFormat="1">
      <c r="A263" s="540">
        <v>845</v>
      </c>
      <c r="B263" s="36" t="s">
        <v>1114</v>
      </c>
      <c r="C263" s="41">
        <v>34075.9306</v>
      </c>
      <c r="D263" s="41">
        <v>0</v>
      </c>
      <c r="E263" s="15">
        <v>54891.879510000006</v>
      </c>
      <c r="F263" s="541">
        <f t="shared" si="3"/>
        <v>-20815.948910000006</v>
      </c>
      <c r="G263" s="112"/>
      <c r="H263" s="112"/>
      <c r="I263" s="112"/>
      <c r="J263" s="112"/>
      <c r="K263" s="112"/>
    </row>
    <row r="264" spans="1:11" s="45" customFormat="1">
      <c r="A264" s="540">
        <v>846</v>
      </c>
      <c r="B264" s="36" t="s">
        <v>1115</v>
      </c>
      <c r="C264" s="41">
        <v>57780.925799999997</v>
      </c>
      <c r="D264" s="41">
        <v>0</v>
      </c>
      <c r="E264" s="15">
        <v>161638.43602000002</v>
      </c>
      <c r="F264" s="541">
        <f t="shared" si="3"/>
        <v>-103857.51022000003</v>
      </c>
      <c r="G264" s="112"/>
      <c r="H264" s="112"/>
      <c r="I264" s="112"/>
      <c r="J264" s="112"/>
      <c r="K264" s="112"/>
    </row>
    <row r="265" spans="1:11" s="45" customFormat="1">
      <c r="A265" s="540">
        <v>848</v>
      </c>
      <c r="B265" s="36" t="s">
        <v>1116</v>
      </c>
      <c r="C265" s="41">
        <v>127414.3492</v>
      </c>
      <c r="D265" s="41">
        <v>0</v>
      </c>
      <c r="E265" s="15">
        <v>131859.03579999998</v>
      </c>
      <c r="F265" s="541">
        <f t="shared" ref="F265:F328" si="4">C265+D265-E265</f>
        <v>-4444.6865999999864</v>
      </c>
      <c r="G265" s="112"/>
      <c r="H265" s="112"/>
      <c r="I265" s="112"/>
      <c r="J265" s="112"/>
      <c r="K265" s="112"/>
    </row>
    <row r="266" spans="1:11" s="45" customFormat="1">
      <c r="A266" s="540">
        <v>849</v>
      </c>
      <c r="B266" s="36" t="s">
        <v>1117</v>
      </c>
      <c r="C266" s="41">
        <v>248902.44959999999</v>
      </c>
      <c r="D266" s="41">
        <v>0</v>
      </c>
      <c r="E266" s="15">
        <v>16371.26231</v>
      </c>
      <c r="F266" s="541">
        <f t="shared" si="4"/>
        <v>232531.18729</v>
      </c>
      <c r="G266" s="112"/>
      <c r="H266" s="112"/>
      <c r="I266" s="112"/>
      <c r="J266" s="112"/>
      <c r="K266" s="112"/>
    </row>
    <row r="267" spans="1:11" s="45" customFormat="1">
      <c r="A267" s="540">
        <v>850</v>
      </c>
      <c r="B267" s="36" t="s">
        <v>1118</v>
      </c>
      <c r="C267" s="41">
        <v>369057.14401999995</v>
      </c>
      <c r="D267" s="41">
        <v>0</v>
      </c>
      <c r="E267" s="15">
        <v>128244.96971</v>
      </c>
      <c r="F267" s="541">
        <f t="shared" si="4"/>
        <v>240812.17430999994</v>
      </c>
      <c r="G267" s="112"/>
      <c r="H267" s="112"/>
      <c r="I267" s="112"/>
      <c r="J267" s="112"/>
      <c r="K267" s="112"/>
    </row>
    <row r="268" spans="1:11" s="45" customFormat="1">
      <c r="A268" s="540">
        <v>851</v>
      </c>
      <c r="B268" s="36" t="s">
        <v>1119</v>
      </c>
      <c r="C268" s="41">
        <v>281644.97421999997</v>
      </c>
      <c r="D268" s="41">
        <v>0</v>
      </c>
      <c r="E268" s="15">
        <v>339099.64110999997</v>
      </c>
      <c r="F268" s="541">
        <f t="shared" si="4"/>
        <v>-57454.666889999993</v>
      </c>
      <c r="G268" s="112"/>
      <c r="H268" s="112"/>
      <c r="I268" s="112"/>
      <c r="J268" s="112"/>
      <c r="K268" s="112"/>
    </row>
    <row r="269" spans="1:11" s="45" customFormat="1">
      <c r="A269" s="540">
        <v>853</v>
      </c>
      <c r="B269" s="36" t="s">
        <v>1120</v>
      </c>
      <c r="C269" s="41">
        <v>6604063.5065000039</v>
      </c>
      <c r="D269" s="41">
        <v>0</v>
      </c>
      <c r="E269" s="15">
        <v>9938484.7312500048</v>
      </c>
      <c r="F269" s="541">
        <f t="shared" si="4"/>
        <v>-3334421.224750001</v>
      </c>
      <c r="G269" s="112"/>
      <c r="H269" s="112"/>
      <c r="I269" s="112"/>
      <c r="J269" s="112"/>
      <c r="K269" s="112"/>
    </row>
    <row r="270" spans="1:11" s="45" customFormat="1">
      <c r="A270" s="540">
        <v>854</v>
      </c>
      <c r="B270" s="36" t="s">
        <v>1121</v>
      </c>
      <c r="C270" s="41">
        <v>0</v>
      </c>
      <c r="D270" s="41">
        <v>0</v>
      </c>
      <c r="E270" s="15">
        <v>80477.197799999994</v>
      </c>
      <c r="F270" s="541">
        <f t="shared" si="4"/>
        <v>-80477.197799999994</v>
      </c>
      <c r="G270" s="112"/>
      <c r="H270" s="112"/>
      <c r="I270" s="112"/>
      <c r="J270" s="112"/>
      <c r="K270" s="112"/>
    </row>
    <row r="271" spans="1:11" s="45" customFormat="1">
      <c r="A271" s="540">
        <v>857</v>
      </c>
      <c r="B271" s="36" t="s">
        <v>1122</v>
      </c>
      <c r="C271" s="41">
        <v>909679.19079999998</v>
      </c>
      <c r="D271" s="41">
        <v>0</v>
      </c>
      <c r="E271" s="15">
        <v>133340.598</v>
      </c>
      <c r="F271" s="541">
        <f t="shared" si="4"/>
        <v>776338.59279999998</v>
      </c>
      <c r="G271" s="112"/>
      <c r="H271" s="112"/>
      <c r="I271" s="112"/>
      <c r="J271" s="112"/>
      <c r="K271" s="112"/>
    </row>
    <row r="272" spans="1:11" s="45" customFormat="1">
      <c r="A272" s="540">
        <v>858</v>
      </c>
      <c r="B272" s="36" t="s">
        <v>1123</v>
      </c>
      <c r="C272" s="41">
        <v>3927176.9235400003</v>
      </c>
      <c r="D272" s="41">
        <v>0</v>
      </c>
      <c r="E272" s="15">
        <v>1620803.8287199999</v>
      </c>
      <c r="F272" s="541">
        <f t="shared" si="4"/>
        <v>2306373.0948200002</v>
      </c>
      <c r="G272" s="112"/>
      <c r="H272" s="112"/>
      <c r="I272" s="112"/>
      <c r="J272" s="112"/>
      <c r="K272" s="112"/>
    </row>
    <row r="273" spans="1:11" s="45" customFormat="1">
      <c r="A273" s="540">
        <v>859</v>
      </c>
      <c r="B273" s="36" t="s">
        <v>1124</v>
      </c>
      <c r="C273" s="41">
        <v>194158.72630999997</v>
      </c>
      <c r="D273" s="41">
        <v>0</v>
      </c>
      <c r="E273" s="15">
        <v>150142.14380000002</v>
      </c>
      <c r="F273" s="541">
        <f t="shared" si="4"/>
        <v>44016.582509999949</v>
      </c>
      <c r="G273" s="112"/>
      <c r="H273" s="112"/>
      <c r="I273" s="112"/>
      <c r="J273" s="112"/>
      <c r="K273" s="112"/>
    </row>
    <row r="274" spans="1:11" s="45" customFormat="1">
      <c r="A274" s="540">
        <v>886</v>
      </c>
      <c r="B274" s="36" t="s">
        <v>1125</v>
      </c>
      <c r="C274" s="41">
        <v>871306.72982000001</v>
      </c>
      <c r="D274" s="41">
        <v>0</v>
      </c>
      <c r="E274" s="15">
        <v>736378.96891000005</v>
      </c>
      <c r="F274" s="541">
        <f t="shared" si="4"/>
        <v>134927.76090999995</v>
      </c>
      <c r="G274" s="112"/>
      <c r="H274" s="112"/>
      <c r="I274" s="112"/>
      <c r="J274" s="112"/>
      <c r="K274" s="112"/>
    </row>
    <row r="275" spans="1:11" s="45" customFormat="1">
      <c r="A275" s="540">
        <v>887</v>
      </c>
      <c r="B275" s="36" t="s">
        <v>1126</v>
      </c>
      <c r="C275" s="41">
        <v>423800.86731</v>
      </c>
      <c r="D275" s="41">
        <v>0</v>
      </c>
      <c r="E275" s="15">
        <v>203804.64191000001</v>
      </c>
      <c r="F275" s="541">
        <f t="shared" si="4"/>
        <v>219996.2254</v>
      </c>
      <c r="G275" s="112"/>
      <c r="H275" s="112"/>
      <c r="I275" s="112"/>
      <c r="J275" s="112"/>
      <c r="K275" s="112"/>
    </row>
    <row r="276" spans="1:11" s="45" customFormat="1">
      <c r="A276" s="540">
        <v>889</v>
      </c>
      <c r="B276" s="36" t="s">
        <v>1127</v>
      </c>
      <c r="C276" s="41">
        <v>161564.35790999999</v>
      </c>
      <c r="D276" s="41">
        <v>0</v>
      </c>
      <c r="E276" s="15">
        <v>7407.8109999999988</v>
      </c>
      <c r="F276" s="541">
        <f t="shared" si="4"/>
        <v>154156.54691</v>
      </c>
      <c r="G276" s="112"/>
      <c r="H276" s="112"/>
      <c r="I276" s="112"/>
      <c r="J276" s="112"/>
      <c r="K276" s="112"/>
    </row>
    <row r="277" spans="1:11" s="45" customFormat="1">
      <c r="A277" s="540">
        <v>890</v>
      </c>
      <c r="B277" s="36" t="s">
        <v>1128</v>
      </c>
      <c r="C277" s="41">
        <v>7407.8109999999988</v>
      </c>
      <c r="D277" s="41">
        <v>0</v>
      </c>
      <c r="E277" s="15">
        <v>34075.9306</v>
      </c>
      <c r="F277" s="541">
        <f t="shared" si="4"/>
        <v>-26668.119600000002</v>
      </c>
      <c r="G277" s="112"/>
      <c r="H277" s="112"/>
      <c r="I277" s="112"/>
      <c r="J277" s="112"/>
      <c r="K277" s="112"/>
    </row>
    <row r="278" spans="1:11" s="45" customFormat="1">
      <c r="A278" s="540">
        <v>892</v>
      </c>
      <c r="B278" s="36" t="s">
        <v>1129</v>
      </c>
      <c r="C278" s="41">
        <v>26668.119599999998</v>
      </c>
      <c r="D278" s="41">
        <v>0</v>
      </c>
      <c r="E278" s="15">
        <v>66670.298999999999</v>
      </c>
      <c r="F278" s="541">
        <f t="shared" si="4"/>
        <v>-40002.179400000001</v>
      </c>
      <c r="G278" s="112"/>
      <c r="H278" s="112"/>
      <c r="I278" s="112"/>
      <c r="J278" s="112"/>
      <c r="K278" s="112"/>
    </row>
    <row r="279" spans="1:11" s="45" customFormat="1">
      <c r="A279" s="540">
        <v>893</v>
      </c>
      <c r="B279" s="36" t="s">
        <v>1165</v>
      </c>
      <c r="C279" s="41">
        <v>186750.91530999998</v>
      </c>
      <c r="D279" s="41">
        <v>0</v>
      </c>
      <c r="E279" s="15">
        <v>217789.64339999997</v>
      </c>
      <c r="F279" s="541">
        <f t="shared" si="4"/>
        <v>-31038.72808999999</v>
      </c>
      <c r="G279" s="112"/>
      <c r="H279" s="112"/>
      <c r="I279" s="112"/>
      <c r="J279" s="112"/>
      <c r="K279" s="112"/>
    </row>
    <row r="280" spans="1:11" s="45" customFormat="1">
      <c r="A280" s="540">
        <v>895</v>
      </c>
      <c r="B280" s="36" t="s">
        <v>1130</v>
      </c>
      <c r="C280" s="41">
        <v>616774.34386000002</v>
      </c>
      <c r="D280" s="41">
        <v>0</v>
      </c>
      <c r="E280" s="15">
        <v>134822.16020000001</v>
      </c>
      <c r="F280" s="541">
        <f t="shared" si="4"/>
        <v>481952.18365999998</v>
      </c>
      <c r="G280" s="112"/>
      <c r="H280" s="112"/>
      <c r="I280" s="112"/>
      <c r="J280" s="112"/>
      <c r="K280" s="112"/>
    </row>
    <row r="281" spans="1:11" s="45" customFormat="1">
      <c r="A281" s="540">
        <v>905</v>
      </c>
      <c r="B281" s="36" t="s">
        <v>1131</v>
      </c>
      <c r="C281" s="41">
        <v>1689351.2985499997</v>
      </c>
      <c r="D281" s="41">
        <v>0</v>
      </c>
      <c r="E281" s="15">
        <v>7454008.9464299995</v>
      </c>
      <c r="F281" s="541">
        <f t="shared" si="4"/>
        <v>-5764657.6478800001</v>
      </c>
      <c r="G281" s="112"/>
      <c r="H281" s="112"/>
      <c r="I281" s="112"/>
      <c r="J281" s="112"/>
      <c r="K281" s="112"/>
    </row>
    <row r="282" spans="1:11" s="45" customFormat="1">
      <c r="A282" s="540">
        <v>908</v>
      </c>
      <c r="B282" s="36" t="s">
        <v>1132</v>
      </c>
      <c r="C282" s="41">
        <v>415430.04087999999</v>
      </c>
      <c r="D282" s="41">
        <v>0</v>
      </c>
      <c r="E282" s="15">
        <v>540330.46272999991</v>
      </c>
      <c r="F282" s="541">
        <f t="shared" si="4"/>
        <v>-124900.42184999993</v>
      </c>
      <c r="G282" s="112"/>
      <c r="H282" s="112"/>
      <c r="I282" s="112"/>
      <c r="J282" s="112"/>
      <c r="K282" s="112"/>
    </row>
    <row r="283" spans="1:11" s="45" customFormat="1">
      <c r="A283" s="540">
        <v>915</v>
      </c>
      <c r="B283" s="36" t="s">
        <v>1133</v>
      </c>
      <c r="C283" s="41">
        <v>393058.4516599999</v>
      </c>
      <c r="D283" s="41">
        <v>0</v>
      </c>
      <c r="E283" s="15">
        <v>268162.75819999998</v>
      </c>
      <c r="F283" s="541">
        <f t="shared" si="4"/>
        <v>124895.69345999992</v>
      </c>
      <c r="G283" s="112"/>
      <c r="H283" s="112"/>
      <c r="I283" s="112"/>
      <c r="J283" s="112"/>
      <c r="K283" s="112"/>
    </row>
    <row r="284" spans="1:11" s="45" customFormat="1">
      <c r="A284" s="540">
        <v>918</v>
      </c>
      <c r="B284" s="36" t="s">
        <v>1134</v>
      </c>
      <c r="C284" s="41">
        <v>125932.787</v>
      </c>
      <c r="D284" s="41">
        <v>0</v>
      </c>
      <c r="E284" s="15">
        <v>48891.552599999995</v>
      </c>
      <c r="F284" s="541">
        <f t="shared" si="4"/>
        <v>77041.234400000001</v>
      </c>
      <c r="G284" s="112"/>
      <c r="H284" s="112"/>
      <c r="I284" s="112"/>
      <c r="J284" s="112"/>
      <c r="K284" s="112"/>
    </row>
    <row r="285" spans="1:11" s="45" customFormat="1">
      <c r="A285" s="540">
        <v>921</v>
      </c>
      <c r="B285" s="36" t="s">
        <v>1135</v>
      </c>
      <c r="C285" s="41">
        <v>271125.88260000001</v>
      </c>
      <c r="D285" s="41">
        <v>0</v>
      </c>
      <c r="E285" s="15">
        <v>26668.119599999998</v>
      </c>
      <c r="F285" s="541">
        <f t="shared" si="4"/>
        <v>244457.76300000001</v>
      </c>
      <c r="G285" s="112"/>
      <c r="H285" s="112"/>
      <c r="I285" s="112"/>
      <c r="J285" s="112"/>
      <c r="K285" s="112"/>
    </row>
    <row r="286" spans="1:11" s="45" customFormat="1">
      <c r="A286" s="540">
        <v>922</v>
      </c>
      <c r="B286" s="36" t="s">
        <v>1136</v>
      </c>
      <c r="C286" s="41">
        <v>259273.38499999998</v>
      </c>
      <c r="D286" s="41">
        <v>0</v>
      </c>
      <c r="E286" s="15">
        <v>173669.03631</v>
      </c>
      <c r="F286" s="541">
        <f t="shared" si="4"/>
        <v>85604.348689999984</v>
      </c>
      <c r="G286" s="112"/>
      <c r="H286" s="112"/>
      <c r="I286" s="112"/>
      <c r="J286" s="112"/>
      <c r="K286" s="112"/>
    </row>
    <row r="287" spans="1:11" s="45" customFormat="1">
      <c r="A287" s="540">
        <v>924</v>
      </c>
      <c r="B287" s="36" t="s">
        <v>1137</v>
      </c>
      <c r="C287" s="41">
        <v>82967.483200000002</v>
      </c>
      <c r="D287" s="41">
        <v>0</v>
      </c>
      <c r="E287" s="15">
        <v>56299.363599999997</v>
      </c>
      <c r="F287" s="541">
        <f t="shared" si="4"/>
        <v>26668.119600000005</v>
      </c>
      <c r="G287" s="112"/>
      <c r="H287" s="112"/>
      <c r="I287" s="112"/>
      <c r="J287" s="112"/>
      <c r="K287" s="112"/>
    </row>
    <row r="288" spans="1:11" s="45" customFormat="1">
      <c r="A288" s="540">
        <v>925</v>
      </c>
      <c r="B288" s="36" t="s">
        <v>1138</v>
      </c>
      <c r="C288" s="41">
        <v>93412.496710000007</v>
      </c>
      <c r="D288" s="41">
        <v>0</v>
      </c>
      <c r="E288" s="15">
        <v>60744.050199999998</v>
      </c>
      <c r="F288" s="541">
        <f t="shared" si="4"/>
        <v>32668.446510000009</v>
      </c>
      <c r="G288" s="112"/>
      <c r="H288" s="112"/>
      <c r="I288" s="112"/>
      <c r="J288" s="112"/>
      <c r="K288" s="112"/>
    </row>
    <row r="289" spans="1:11" s="45" customFormat="1">
      <c r="A289" s="540">
        <v>927</v>
      </c>
      <c r="B289" s="36" t="s">
        <v>1139</v>
      </c>
      <c r="C289" s="41">
        <v>927976.48396999971</v>
      </c>
      <c r="D289" s="41">
        <v>0</v>
      </c>
      <c r="E289" s="15">
        <v>1052196.0176599999</v>
      </c>
      <c r="F289" s="541">
        <f t="shared" si="4"/>
        <v>-124219.53369000019</v>
      </c>
      <c r="G289" s="112"/>
      <c r="H289" s="112"/>
      <c r="I289" s="112"/>
      <c r="J289" s="112"/>
      <c r="K289" s="112"/>
    </row>
    <row r="290" spans="1:11" s="45" customFormat="1">
      <c r="A290" s="540">
        <v>931</v>
      </c>
      <c r="B290" s="36" t="s">
        <v>1140</v>
      </c>
      <c r="C290" s="41">
        <v>128895.9114</v>
      </c>
      <c r="D290" s="41">
        <v>0</v>
      </c>
      <c r="E290" s="15">
        <v>181979.96979999999</v>
      </c>
      <c r="F290" s="541">
        <f t="shared" si="4"/>
        <v>-53084.058399999994</v>
      </c>
      <c r="G290" s="112"/>
      <c r="H290" s="112"/>
      <c r="I290" s="112"/>
      <c r="J290" s="112"/>
      <c r="K290" s="112"/>
    </row>
    <row r="291" spans="1:11" s="45" customFormat="1">
      <c r="A291" s="540">
        <v>934</v>
      </c>
      <c r="B291" s="36" t="s">
        <v>1166</v>
      </c>
      <c r="C291" s="41">
        <v>0</v>
      </c>
      <c r="D291" s="41">
        <v>0</v>
      </c>
      <c r="E291" s="15">
        <v>2524285.6763599999</v>
      </c>
      <c r="F291" s="541">
        <f t="shared" si="4"/>
        <v>-2524285.6763599999</v>
      </c>
      <c r="G291" s="112"/>
      <c r="H291" s="112"/>
      <c r="I291" s="112"/>
      <c r="J291" s="112"/>
      <c r="K291" s="112"/>
    </row>
    <row r="292" spans="1:11" s="45" customFormat="1">
      <c r="A292" s="540">
        <v>935</v>
      </c>
      <c r="B292" s="36" t="s">
        <v>1141</v>
      </c>
      <c r="C292" s="41">
        <v>1188805.5092800001</v>
      </c>
      <c r="D292" s="41">
        <v>0</v>
      </c>
      <c r="E292" s="15">
        <v>57780.925799999997</v>
      </c>
      <c r="F292" s="541">
        <f t="shared" si="4"/>
        <v>1131024.58348</v>
      </c>
      <c r="G292" s="112"/>
      <c r="H292" s="112"/>
      <c r="I292" s="112"/>
      <c r="J292" s="112"/>
      <c r="K292" s="112"/>
    </row>
    <row r="293" spans="1:11" s="45" customFormat="1">
      <c r="A293" s="540">
        <v>936</v>
      </c>
      <c r="B293" s="36" t="s">
        <v>1142</v>
      </c>
      <c r="C293" s="41">
        <v>255199.08894999998</v>
      </c>
      <c r="D293" s="41">
        <v>0</v>
      </c>
      <c r="E293" s="15">
        <v>90449.372310000006</v>
      </c>
      <c r="F293" s="541">
        <f t="shared" si="4"/>
        <v>164749.71663999997</v>
      </c>
      <c r="G293" s="112"/>
      <c r="H293" s="112"/>
      <c r="I293" s="112"/>
      <c r="J293" s="112"/>
      <c r="K293" s="112"/>
    </row>
    <row r="294" spans="1:11" s="45" customFormat="1">
      <c r="A294" s="540">
        <v>946</v>
      </c>
      <c r="B294" s="36" t="s">
        <v>1167</v>
      </c>
      <c r="C294" s="41">
        <v>210455.91050999999</v>
      </c>
      <c r="D294" s="41">
        <v>0</v>
      </c>
      <c r="E294" s="15">
        <v>327929.60779999994</v>
      </c>
      <c r="F294" s="541">
        <f t="shared" si="4"/>
        <v>-117473.69728999995</v>
      </c>
      <c r="G294" s="112"/>
      <c r="H294" s="112"/>
      <c r="I294" s="112"/>
      <c r="J294" s="112"/>
      <c r="K294" s="112"/>
    </row>
    <row r="295" spans="1:11" s="45" customFormat="1">
      <c r="A295" s="540">
        <v>976</v>
      </c>
      <c r="B295" s="36" t="s">
        <v>1143</v>
      </c>
      <c r="C295" s="41">
        <v>78522.796600000001</v>
      </c>
      <c r="D295" s="41">
        <v>0</v>
      </c>
      <c r="E295" s="15">
        <v>140822.48710999999</v>
      </c>
      <c r="F295" s="541">
        <f t="shared" si="4"/>
        <v>-62299.690509999986</v>
      </c>
      <c r="G295" s="112"/>
      <c r="H295" s="112"/>
      <c r="I295" s="112"/>
      <c r="J295" s="112"/>
      <c r="K295" s="112"/>
    </row>
    <row r="296" spans="1:11" s="45" customFormat="1">
      <c r="A296" s="540">
        <v>977</v>
      </c>
      <c r="B296" s="36" t="s">
        <v>1144</v>
      </c>
      <c r="C296" s="41">
        <v>653739.32074999996</v>
      </c>
      <c r="D296" s="41">
        <v>0</v>
      </c>
      <c r="E296" s="15">
        <v>282831.80011000001</v>
      </c>
      <c r="F296" s="541">
        <f t="shared" si="4"/>
        <v>370907.52063999994</v>
      </c>
      <c r="G296" s="112"/>
      <c r="H296" s="112"/>
      <c r="I296" s="112"/>
      <c r="J296" s="112"/>
      <c r="K296" s="112"/>
    </row>
    <row r="297" spans="1:11" s="45" customFormat="1">
      <c r="A297" s="540">
        <v>980</v>
      </c>
      <c r="B297" s="36" t="s">
        <v>1145</v>
      </c>
      <c r="C297" s="41">
        <v>964867.38274999999</v>
      </c>
      <c r="D297" s="41">
        <v>0</v>
      </c>
      <c r="E297" s="15">
        <v>1930618.9744299999</v>
      </c>
      <c r="F297" s="541">
        <f t="shared" si="4"/>
        <v>-965751.59167999995</v>
      </c>
      <c r="G297" s="112"/>
      <c r="H297" s="112"/>
      <c r="I297" s="112"/>
      <c r="J297" s="112"/>
      <c r="K297" s="112"/>
    </row>
    <row r="298" spans="1:11" s="45" customFormat="1">
      <c r="A298" s="540">
        <v>981</v>
      </c>
      <c r="B298" s="36" t="s">
        <v>1146</v>
      </c>
      <c r="C298" s="41">
        <v>14815.621999999998</v>
      </c>
      <c r="D298" s="41">
        <v>0</v>
      </c>
      <c r="E298" s="15">
        <v>31112.806199999999</v>
      </c>
      <c r="F298" s="541">
        <f t="shared" si="4"/>
        <v>-16297.184200000002</v>
      </c>
      <c r="G298" s="112"/>
      <c r="H298" s="112"/>
      <c r="I298" s="112"/>
      <c r="J298" s="112"/>
      <c r="K298" s="112"/>
    </row>
    <row r="299" spans="1:11" s="45" customFormat="1">
      <c r="A299" s="540">
        <v>989</v>
      </c>
      <c r="B299" s="36" t="s">
        <v>1147</v>
      </c>
      <c r="C299" s="41">
        <v>188232.47751</v>
      </c>
      <c r="D299" s="41">
        <v>0</v>
      </c>
      <c r="E299" s="15">
        <v>38520.617200000001</v>
      </c>
      <c r="F299" s="541">
        <f t="shared" si="4"/>
        <v>149711.86030999999</v>
      </c>
      <c r="G299" s="112"/>
      <c r="H299" s="112"/>
      <c r="I299" s="112"/>
      <c r="J299" s="112"/>
      <c r="K299" s="112"/>
    </row>
    <row r="300" spans="1:11">
      <c r="A300" s="540">
        <v>992</v>
      </c>
      <c r="B300" s="36" t="s">
        <v>1148</v>
      </c>
      <c r="C300" s="41">
        <v>406096.19901999994</v>
      </c>
      <c r="D300" s="41">
        <v>0</v>
      </c>
      <c r="E300" s="15">
        <v>342377.99151000002</v>
      </c>
      <c r="F300" s="541">
        <f t="shared" si="4"/>
        <v>63718.20750999992</v>
      </c>
    </row>
    <row r="301" spans="1:11">
      <c r="A301" s="540">
        <v>90000231</v>
      </c>
      <c r="B301" s="36" t="s">
        <v>305</v>
      </c>
      <c r="C301" s="41">
        <v>1799940.46</v>
      </c>
      <c r="D301" s="41">
        <v>71277.642216000007</v>
      </c>
      <c r="E301" s="15">
        <v>0</v>
      </c>
      <c r="F301" s="541">
        <f t="shared" si="4"/>
        <v>1871218.102216</v>
      </c>
    </row>
    <row r="302" spans="1:11">
      <c r="A302" s="540">
        <v>90000281</v>
      </c>
      <c r="B302" s="36" t="s">
        <v>1168</v>
      </c>
      <c r="C302" s="41">
        <v>2547026.0800000019</v>
      </c>
      <c r="D302" s="41">
        <v>100862.23276800009</v>
      </c>
      <c r="E302" s="15">
        <v>0</v>
      </c>
      <c r="F302" s="541">
        <f t="shared" si="4"/>
        <v>2647888.312768002</v>
      </c>
    </row>
    <row r="303" spans="1:11">
      <c r="A303" s="540">
        <v>90000381</v>
      </c>
      <c r="B303" s="36" t="s">
        <v>306</v>
      </c>
      <c r="C303" s="41">
        <v>1061287.1355000001</v>
      </c>
      <c r="D303" s="41">
        <v>42026.970565800009</v>
      </c>
      <c r="E303" s="15">
        <v>0</v>
      </c>
      <c r="F303" s="541">
        <f t="shared" si="4"/>
        <v>1103314.1060658002</v>
      </c>
    </row>
    <row r="304" spans="1:11">
      <c r="A304" s="540">
        <v>90000691</v>
      </c>
      <c r="B304" s="36" t="s">
        <v>307</v>
      </c>
      <c r="C304" s="41">
        <v>2712834.9559999998</v>
      </c>
      <c r="D304" s="41">
        <v>107428.26425759999</v>
      </c>
      <c r="E304" s="15">
        <v>0</v>
      </c>
      <c r="F304" s="541">
        <f t="shared" si="4"/>
        <v>2820263.2202575998</v>
      </c>
    </row>
    <row r="305" spans="1:11">
      <c r="A305" s="540">
        <v>90000851</v>
      </c>
      <c r="B305" s="36" t="s">
        <v>308</v>
      </c>
      <c r="C305" s="41">
        <v>5506459.9716049992</v>
      </c>
      <c r="D305" s="41">
        <v>218055.81487555799</v>
      </c>
      <c r="E305" s="15">
        <v>0</v>
      </c>
      <c r="F305" s="541">
        <f t="shared" si="4"/>
        <v>5724515.7864805572</v>
      </c>
    </row>
    <row r="306" spans="1:11">
      <c r="A306" s="540">
        <v>90000901</v>
      </c>
      <c r="B306" s="36" t="s">
        <v>1169</v>
      </c>
      <c r="C306" s="41">
        <v>5190196.0900000008</v>
      </c>
      <c r="D306" s="41">
        <v>205531.76516400004</v>
      </c>
      <c r="E306" s="15">
        <v>0</v>
      </c>
      <c r="F306" s="541">
        <f t="shared" si="4"/>
        <v>5395727.8551640008</v>
      </c>
    </row>
    <row r="307" spans="1:11">
      <c r="A307" s="540">
        <v>90001171</v>
      </c>
      <c r="B307" s="36" t="s">
        <v>309</v>
      </c>
      <c r="C307" s="41">
        <v>1383448.1074999999</v>
      </c>
      <c r="D307" s="41">
        <v>54784.545057000003</v>
      </c>
      <c r="E307" s="15">
        <v>0</v>
      </c>
      <c r="F307" s="541">
        <f t="shared" si="4"/>
        <v>1438232.6525569998</v>
      </c>
    </row>
    <row r="308" spans="1:11">
      <c r="A308" s="540">
        <v>90001361</v>
      </c>
      <c r="B308" s="38" t="s">
        <v>310</v>
      </c>
      <c r="C308" s="41">
        <v>2811815.9200000004</v>
      </c>
      <c r="D308" s="41">
        <v>111347.91043200002</v>
      </c>
      <c r="E308" s="15">
        <v>0</v>
      </c>
      <c r="F308" s="541">
        <f t="shared" si="4"/>
        <v>2923163.8304320006</v>
      </c>
    </row>
    <row r="309" spans="1:11">
      <c r="A309" s="540">
        <v>90001481</v>
      </c>
      <c r="B309" s="38" t="s">
        <v>311</v>
      </c>
      <c r="C309" s="41">
        <v>7026387.5400000019</v>
      </c>
      <c r="D309" s="41">
        <v>278244.94658400008</v>
      </c>
      <c r="E309" s="15">
        <v>0</v>
      </c>
      <c r="F309" s="541">
        <f t="shared" si="4"/>
        <v>7304632.4865840022</v>
      </c>
    </row>
    <row r="310" spans="1:11">
      <c r="A310" s="540">
        <v>90001791</v>
      </c>
      <c r="B310" s="38" t="s">
        <v>312</v>
      </c>
      <c r="C310" s="41">
        <v>5800158.4000000004</v>
      </c>
      <c r="D310" s="41">
        <v>229686.27264000004</v>
      </c>
      <c r="E310" s="15">
        <v>0</v>
      </c>
      <c r="F310" s="541">
        <f t="shared" si="4"/>
        <v>6029844.6726400005</v>
      </c>
    </row>
    <row r="311" spans="1:11">
      <c r="A311" s="540">
        <v>90001801</v>
      </c>
      <c r="B311" s="38" t="s">
        <v>313</v>
      </c>
      <c r="C311" s="41">
        <v>4867089.4400000004</v>
      </c>
      <c r="D311" s="41">
        <v>192736.74182400003</v>
      </c>
      <c r="E311" s="15">
        <v>0</v>
      </c>
      <c r="F311" s="541">
        <f t="shared" si="4"/>
        <v>5059826.1818240006</v>
      </c>
    </row>
    <row r="312" spans="1:11">
      <c r="A312" s="540">
        <v>90002401</v>
      </c>
      <c r="B312" s="38" t="s">
        <v>314</v>
      </c>
      <c r="C312" s="41">
        <v>5680372.5200000005</v>
      </c>
      <c r="D312" s="41">
        <v>224942.75179200002</v>
      </c>
      <c r="E312" s="15">
        <v>0</v>
      </c>
      <c r="F312" s="541">
        <f t="shared" si="4"/>
        <v>5905315.2717920002</v>
      </c>
    </row>
    <row r="313" spans="1:11">
      <c r="A313" s="540">
        <v>90003031</v>
      </c>
      <c r="B313" s="38" t="s">
        <v>315</v>
      </c>
      <c r="C313" s="41">
        <v>6853013.2400000012</v>
      </c>
      <c r="D313" s="41">
        <v>271379.32430400007</v>
      </c>
      <c r="E313" s="15">
        <v>0</v>
      </c>
      <c r="F313" s="541">
        <f t="shared" si="4"/>
        <v>7124392.5643040016</v>
      </c>
    </row>
    <row r="314" spans="1:11">
      <c r="A314" s="540">
        <v>90003941</v>
      </c>
      <c r="B314" s="38" t="s">
        <v>1170</v>
      </c>
      <c r="C314" s="41">
        <v>4165869.2030000007</v>
      </c>
      <c r="D314" s="41">
        <v>164968.42043880004</v>
      </c>
      <c r="E314" s="15">
        <v>0</v>
      </c>
      <c r="F314" s="541">
        <f t="shared" si="4"/>
        <v>4330837.6234388007</v>
      </c>
    </row>
    <row r="315" spans="1:11">
      <c r="A315" s="540">
        <v>90004041</v>
      </c>
      <c r="B315" s="38" t="s">
        <v>723</v>
      </c>
      <c r="C315" s="41">
        <v>8288867.6700000009</v>
      </c>
      <c r="D315" s="41">
        <v>328239.15973200009</v>
      </c>
      <c r="E315" s="15">
        <v>0</v>
      </c>
      <c r="F315" s="541">
        <f t="shared" si="4"/>
        <v>8617106.8297320008</v>
      </c>
    </row>
    <row r="316" spans="1:11">
      <c r="A316" s="540">
        <v>90004951</v>
      </c>
      <c r="B316" s="38" t="s">
        <v>1171</v>
      </c>
      <c r="C316" s="41">
        <v>2053618.5835000002</v>
      </c>
      <c r="D316" s="41">
        <v>81323.295906600018</v>
      </c>
      <c r="E316" s="15">
        <v>0</v>
      </c>
      <c r="F316" s="541">
        <f t="shared" si="4"/>
        <v>2134941.8794066003</v>
      </c>
    </row>
    <row r="317" spans="1:11">
      <c r="A317" s="540">
        <v>90004961</v>
      </c>
      <c r="B317" s="38" t="s">
        <v>316</v>
      </c>
      <c r="C317" s="41">
        <v>4337273.3405000009</v>
      </c>
      <c r="D317" s="41">
        <v>171756.02428380004</v>
      </c>
      <c r="E317" s="15">
        <v>0</v>
      </c>
      <c r="F317" s="541">
        <f t="shared" si="4"/>
        <v>4509029.3647838011</v>
      </c>
    </row>
    <row r="318" spans="1:11" s="45" customFormat="1">
      <c r="A318" s="540">
        <v>90006471</v>
      </c>
      <c r="B318" s="38" t="s">
        <v>317</v>
      </c>
      <c r="C318" s="41">
        <v>5770211.9300000006</v>
      </c>
      <c r="D318" s="41">
        <v>228500.39242800005</v>
      </c>
      <c r="E318" s="15">
        <v>0</v>
      </c>
      <c r="F318" s="541">
        <f t="shared" si="4"/>
        <v>5998712.3224280011</v>
      </c>
      <c r="G318" s="112"/>
      <c r="H318" s="112"/>
      <c r="I318" s="112"/>
      <c r="J318" s="112"/>
      <c r="K318" s="112"/>
    </row>
    <row r="319" spans="1:11" s="45" customFormat="1">
      <c r="A319" s="540">
        <v>90007291</v>
      </c>
      <c r="B319" s="38" t="s">
        <v>1172</v>
      </c>
      <c r="C319" s="41">
        <v>4956850.0435000006</v>
      </c>
      <c r="D319" s="41">
        <v>196291.26172260003</v>
      </c>
      <c r="E319" s="15">
        <v>0</v>
      </c>
      <c r="F319" s="541">
        <f t="shared" si="4"/>
        <v>5153141.3052226007</v>
      </c>
      <c r="G319" s="112"/>
      <c r="H319" s="112"/>
      <c r="I319" s="112"/>
      <c r="J319" s="112"/>
      <c r="K319" s="112"/>
    </row>
    <row r="320" spans="1:11">
      <c r="A320" s="540">
        <v>90008441</v>
      </c>
      <c r="B320" s="38" t="s">
        <v>318</v>
      </c>
      <c r="C320" s="41">
        <v>4131036.73</v>
      </c>
      <c r="D320" s="41">
        <v>163589.054508</v>
      </c>
      <c r="E320" s="15">
        <v>0</v>
      </c>
      <c r="F320" s="541">
        <f t="shared" si="4"/>
        <v>4294625.7845080001</v>
      </c>
    </row>
    <row r="321" spans="1:6">
      <c r="A321" s="540">
        <v>90031161</v>
      </c>
      <c r="B321" s="38" t="s">
        <v>319</v>
      </c>
      <c r="C321" s="41">
        <v>974678.79200000002</v>
      </c>
      <c r="D321" s="41">
        <v>38597.280163200005</v>
      </c>
      <c r="E321" s="15">
        <v>0</v>
      </c>
      <c r="F321" s="541">
        <f t="shared" si="4"/>
        <v>1013276.0721632</v>
      </c>
    </row>
    <row r="322" spans="1:6">
      <c r="A322" s="540">
        <v>90032731</v>
      </c>
      <c r="B322" s="38" t="s">
        <v>320</v>
      </c>
      <c r="C322" s="41">
        <v>529579.68000000005</v>
      </c>
      <c r="D322" s="41">
        <v>20971.355328000005</v>
      </c>
      <c r="E322" s="15">
        <v>0</v>
      </c>
      <c r="F322" s="541">
        <f t="shared" si="4"/>
        <v>550551.03532800009</v>
      </c>
    </row>
    <row r="323" spans="1:6">
      <c r="A323" s="540">
        <v>90033141</v>
      </c>
      <c r="B323" s="38" t="s">
        <v>321</v>
      </c>
      <c r="C323" s="41">
        <v>88263.28</v>
      </c>
      <c r="D323" s="41">
        <v>3495.2258880000004</v>
      </c>
      <c r="E323" s="15">
        <v>0</v>
      </c>
      <c r="F323" s="541">
        <f t="shared" si="4"/>
        <v>91758.505888</v>
      </c>
    </row>
    <row r="324" spans="1:6">
      <c r="A324" s="540">
        <v>90034021</v>
      </c>
      <c r="B324" s="38" t="s">
        <v>702</v>
      </c>
      <c r="C324" s="41">
        <v>6085437.9300000006</v>
      </c>
      <c r="D324" s="41">
        <v>240983.34202800004</v>
      </c>
      <c r="E324" s="15">
        <v>0</v>
      </c>
      <c r="F324" s="541">
        <f t="shared" si="4"/>
        <v>6326421.272028001</v>
      </c>
    </row>
    <row r="325" spans="1:6">
      <c r="A325" s="540">
        <v>90034091</v>
      </c>
      <c r="B325" s="38" t="s">
        <v>322</v>
      </c>
      <c r="C325" s="41">
        <v>433514.55650000001</v>
      </c>
      <c r="D325" s="41">
        <v>17167.176437400001</v>
      </c>
      <c r="E325" s="15">
        <v>0</v>
      </c>
      <c r="F325" s="541">
        <f t="shared" si="4"/>
        <v>450681.7329374</v>
      </c>
    </row>
    <row r="326" spans="1:6">
      <c r="A326" s="540">
        <v>90034101</v>
      </c>
      <c r="B326" s="38" t="s">
        <v>323</v>
      </c>
      <c r="C326" s="41">
        <v>665599.69900000002</v>
      </c>
      <c r="D326" s="41">
        <v>26357.748080400004</v>
      </c>
      <c r="E326" s="15">
        <v>0</v>
      </c>
      <c r="F326" s="541">
        <f t="shared" si="4"/>
        <v>691957.44708040007</v>
      </c>
    </row>
    <row r="327" spans="1:6">
      <c r="A327" s="540">
        <v>90035101</v>
      </c>
      <c r="B327" s="38" t="s">
        <v>324</v>
      </c>
      <c r="C327" s="41">
        <v>3231183.13362</v>
      </c>
      <c r="D327" s="41">
        <v>127954.852091352</v>
      </c>
      <c r="E327" s="15">
        <v>0</v>
      </c>
      <c r="F327" s="541">
        <f t="shared" si="4"/>
        <v>3359137.985711352</v>
      </c>
    </row>
    <row r="328" spans="1:6">
      <c r="A328" s="540">
        <v>90035401</v>
      </c>
      <c r="B328" s="38" t="s">
        <v>325</v>
      </c>
      <c r="C328" s="41">
        <v>1981195.41</v>
      </c>
      <c r="D328" s="41">
        <v>78455.338235999996</v>
      </c>
      <c r="E328" s="15">
        <v>0</v>
      </c>
      <c r="F328" s="541">
        <f t="shared" si="4"/>
        <v>2059650.7482359998</v>
      </c>
    </row>
    <row r="329" spans="1:6">
      <c r="A329" s="540">
        <v>90035411</v>
      </c>
      <c r="B329" s="38" t="s">
        <v>1173</v>
      </c>
      <c r="C329" s="41">
        <v>1487630.3005000001</v>
      </c>
      <c r="D329" s="41">
        <v>58910.159899800012</v>
      </c>
      <c r="E329" s="15">
        <v>0</v>
      </c>
      <c r="F329" s="541">
        <f t="shared" ref="F329:F375" si="5">C329+D329-E329</f>
        <v>1546540.4603998002</v>
      </c>
    </row>
    <row r="330" spans="1:6">
      <c r="A330" s="540">
        <v>90035421</v>
      </c>
      <c r="B330" s="38" t="s">
        <v>326</v>
      </c>
      <c r="C330" s="41">
        <v>1047259.5784999999</v>
      </c>
      <c r="D330" s="41">
        <v>41471.479308599999</v>
      </c>
      <c r="E330" s="15">
        <v>0</v>
      </c>
      <c r="F330" s="541">
        <f t="shared" si="5"/>
        <v>1088731.0578085999</v>
      </c>
    </row>
    <row r="331" spans="1:6">
      <c r="A331" s="540">
        <v>90035431</v>
      </c>
      <c r="B331" s="38" t="s">
        <v>1174</v>
      </c>
      <c r="C331" s="41">
        <v>1117949.0089999998</v>
      </c>
      <c r="D331" s="41">
        <v>44270.780756399996</v>
      </c>
      <c r="E331" s="15">
        <v>0</v>
      </c>
      <c r="F331" s="541">
        <f t="shared" si="5"/>
        <v>1162219.7897563998</v>
      </c>
    </row>
    <row r="332" spans="1:6">
      <c r="A332" s="540">
        <v>90035441</v>
      </c>
      <c r="B332" s="38" t="s">
        <v>327</v>
      </c>
      <c r="C332" s="41">
        <v>1665338.9579999999</v>
      </c>
      <c r="D332" s="41">
        <v>65947.422736799999</v>
      </c>
      <c r="E332" s="15">
        <v>0</v>
      </c>
      <c r="F332" s="541">
        <f t="shared" si="5"/>
        <v>1731286.3807367999</v>
      </c>
    </row>
    <row r="333" spans="1:6">
      <c r="A333" s="540">
        <v>90035451</v>
      </c>
      <c r="B333" s="38" t="s">
        <v>328</v>
      </c>
      <c r="C333" s="41">
        <v>858990.85000000009</v>
      </c>
      <c r="D333" s="41">
        <v>34016.037660000009</v>
      </c>
      <c r="E333" s="15">
        <v>0</v>
      </c>
      <c r="F333" s="541">
        <f t="shared" si="5"/>
        <v>893006.88766000012</v>
      </c>
    </row>
    <row r="334" spans="1:6">
      <c r="A334" s="540">
        <v>90035461</v>
      </c>
      <c r="B334" s="38" t="s">
        <v>1175</v>
      </c>
      <c r="C334" s="41">
        <v>981377.34450000012</v>
      </c>
      <c r="D334" s="41">
        <v>38862.542842200011</v>
      </c>
      <c r="E334" s="15">
        <v>0</v>
      </c>
      <c r="F334" s="541">
        <f t="shared" si="5"/>
        <v>1020239.8873422001</v>
      </c>
    </row>
    <row r="335" spans="1:6">
      <c r="A335" s="540">
        <v>90035471</v>
      </c>
      <c r="B335" s="38" t="s">
        <v>329</v>
      </c>
      <c r="C335" s="41">
        <v>777032.09</v>
      </c>
      <c r="D335" s="41">
        <v>30770.470764000002</v>
      </c>
      <c r="E335" s="15">
        <v>0</v>
      </c>
      <c r="F335" s="541">
        <f t="shared" si="5"/>
        <v>807802.56076399994</v>
      </c>
    </row>
    <row r="336" spans="1:6">
      <c r="A336" s="540">
        <v>90035481</v>
      </c>
      <c r="B336" s="38" t="s">
        <v>330</v>
      </c>
      <c r="C336" s="41">
        <v>1746982.4920000001</v>
      </c>
      <c r="D336" s="41">
        <v>69180.506683200016</v>
      </c>
      <c r="E336" s="15">
        <v>0</v>
      </c>
      <c r="F336" s="541">
        <f t="shared" si="5"/>
        <v>1816162.9986832002</v>
      </c>
    </row>
    <row r="337" spans="1:6">
      <c r="A337" s="540">
        <v>90035491</v>
      </c>
      <c r="B337" s="38" t="s">
        <v>331</v>
      </c>
      <c r="C337" s="41">
        <v>1845175.3909999998</v>
      </c>
      <c r="D337" s="41">
        <v>73068.945483599993</v>
      </c>
      <c r="E337" s="15">
        <v>0</v>
      </c>
      <c r="F337" s="541">
        <f t="shared" si="5"/>
        <v>1918244.3364835999</v>
      </c>
    </row>
    <row r="338" spans="1:6">
      <c r="A338" s="540">
        <v>90035501</v>
      </c>
      <c r="B338" s="38" t="s">
        <v>332</v>
      </c>
      <c r="C338" s="41">
        <v>822739.85999999987</v>
      </c>
      <c r="D338" s="41">
        <v>32580.498455999998</v>
      </c>
      <c r="E338" s="15">
        <v>0</v>
      </c>
      <c r="F338" s="541">
        <f t="shared" si="5"/>
        <v>855320.35845599987</v>
      </c>
    </row>
    <row r="339" spans="1:6">
      <c r="A339" s="540">
        <v>90035521</v>
      </c>
      <c r="B339" s="38" t="s">
        <v>333</v>
      </c>
      <c r="C339" s="41">
        <v>4695606.4959999993</v>
      </c>
      <c r="D339" s="41">
        <v>185946.0172416</v>
      </c>
      <c r="E339" s="15">
        <v>0</v>
      </c>
      <c r="F339" s="541">
        <f t="shared" si="5"/>
        <v>4881552.5132415993</v>
      </c>
    </row>
    <row r="340" spans="1:6">
      <c r="A340" s="540">
        <v>90035531</v>
      </c>
      <c r="B340" s="38" t="s">
        <v>334</v>
      </c>
      <c r="C340" s="41">
        <v>956710.91</v>
      </c>
      <c r="D340" s="41">
        <v>37885.752036000005</v>
      </c>
      <c r="E340" s="15">
        <v>0</v>
      </c>
      <c r="F340" s="541">
        <f t="shared" si="5"/>
        <v>994596.66203600005</v>
      </c>
    </row>
    <row r="341" spans="1:6">
      <c r="A341" s="540">
        <v>90035541</v>
      </c>
      <c r="B341" s="38" t="s">
        <v>335</v>
      </c>
      <c r="C341" s="41">
        <v>1926109.6665000001</v>
      </c>
      <c r="D341" s="41">
        <v>76273.942793400012</v>
      </c>
      <c r="E341" s="15">
        <v>0</v>
      </c>
      <c r="F341" s="541">
        <f t="shared" si="5"/>
        <v>2002383.6092934001</v>
      </c>
    </row>
    <row r="342" spans="1:6">
      <c r="A342" s="540">
        <v>90035551</v>
      </c>
      <c r="B342" s="38" t="s">
        <v>1176</v>
      </c>
      <c r="C342" s="41">
        <v>1209364.5489999999</v>
      </c>
      <c r="D342" s="41">
        <v>47890.836140400002</v>
      </c>
      <c r="E342" s="15">
        <v>0</v>
      </c>
      <c r="F342" s="541">
        <f t="shared" si="5"/>
        <v>1257255.3851403999</v>
      </c>
    </row>
    <row r="343" spans="1:6">
      <c r="A343" s="540">
        <v>90036381</v>
      </c>
      <c r="B343" s="38" t="s">
        <v>336</v>
      </c>
      <c r="C343" s="41">
        <v>2001685.1</v>
      </c>
      <c r="D343" s="41">
        <v>79266.729960000011</v>
      </c>
      <c r="E343" s="15">
        <v>0</v>
      </c>
      <c r="F343" s="541">
        <f t="shared" si="5"/>
        <v>2080951.82996</v>
      </c>
    </row>
    <row r="344" spans="1:6">
      <c r="A344" s="540">
        <v>90036811</v>
      </c>
      <c r="B344" s="38" t="s">
        <v>337</v>
      </c>
      <c r="C344" s="41">
        <v>4567273.2630099999</v>
      </c>
      <c r="D344" s="41">
        <v>180864.021215196</v>
      </c>
      <c r="E344" s="15">
        <v>0</v>
      </c>
      <c r="F344" s="541">
        <f t="shared" si="5"/>
        <v>4748137.2842251956</v>
      </c>
    </row>
    <row r="345" spans="1:6">
      <c r="A345" s="540">
        <v>90037151</v>
      </c>
      <c r="B345" s="38" t="s">
        <v>338</v>
      </c>
      <c r="C345" s="41">
        <v>1236552.7914999998</v>
      </c>
      <c r="D345" s="41">
        <v>48967.490543399996</v>
      </c>
      <c r="E345" s="15">
        <v>0</v>
      </c>
      <c r="F345" s="541">
        <f t="shared" si="5"/>
        <v>1285520.2820433998</v>
      </c>
    </row>
    <row r="346" spans="1:6">
      <c r="A346" s="540">
        <v>90037171</v>
      </c>
      <c r="B346" s="38" t="s">
        <v>339</v>
      </c>
      <c r="C346" s="41">
        <v>894611.38800000004</v>
      </c>
      <c r="D346" s="41">
        <v>35426.610964800006</v>
      </c>
      <c r="E346" s="15">
        <v>0</v>
      </c>
      <c r="F346" s="541">
        <f t="shared" si="5"/>
        <v>930037.99896480003</v>
      </c>
    </row>
    <row r="347" spans="1:6">
      <c r="A347" s="540">
        <v>90037181</v>
      </c>
      <c r="B347" s="38" t="s">
        <v>1177</v>
      </c>
      <c r="C347" s="41">
        <v>2719848.7344999998</v>
      </c>
      <c r="D347" s="41">
        <v>107706.0098862</v>
      </c>
      <c r="E347" s="15">
        <v>0</v>
      </c>
      <c r="F347" s="541">
        <f t="shared" si="5"/>
        <v>2827554.7443861999</v>
      </c>
    </row>
    <row r="348" spans="1:6">
      <c r="A348" s="540">
        <v>90037191</v>
      </c>
      <c r="B348" s="38" t="s">
        <v>340</v>
      </c>
      <c r="C348" s="41">
        <v>1493856.014</v>
      </c>
      <c r="D348" s="41">
        <v>59156.698154400001</v>
      </c>
      <c r="E348" s="15">
        <v>0</v>
      </c>
      <c r="F348" s="541">
        <f t="shared" si="5"/>
        <v>1553012.7121544001</v>
      </c>
    </row>
    <row r="349" spans="1:6">
      <c r="A349" s="540">
        <v>90037251</v>
      </c>
      <c r="B349" s="38" t="s">
        <v>341</v>
      </c>
      <c r="C349" s="41">
        <v>4724843.7075000005</v>
      </c>
      <c r="D349" s="41">
        <v>187103.81081700005</v>
      </c>
      <c r="E349" s="15">
        <v>0</v>
      </c>
      <c r="F349" s="541">
        <f t="shared" si="5"/>
        <v>4911947.5183170009</v>
      </c>
    </row>
    <row r="350" spans="1:6">
      <c r="A350" s="540">
        <v>90037591</v>
      </c>
      <c r="B350" s="38" t="s">
        <v>342</v>
      </c>
      <c r="C350" s="41">
        <v>2900079.2</v>
      </c>
      <c r="D350" s="41">
        <v>114843.13632000002</v>
      </c>
      <c r="E350" s="15">
        <v>0</v>
      </c>
      <c r="F350" s="541">
        <f t="shared" si="5"/>
        <v>3014922.3363200002</v>
      </c>
    </row>
    <row r="351" spans="1:6">
      <c r="A351" s="540">
        <v>90037841</v>
      </c>
      <c r="B351" s="38" t="s">
        <v>1178</v>
      </c>
      <c r="C351" s="41">
        <v>777268.50949999993</v>
      </c>
      <c r="D351" s="41">
        <v>30779.832976199999</v>
      </c>
      <c r="E351" s="15">
        <v>0</v>
      </c>
      <c r="F351" s="541">
        <f t="shared" si="5"/>
        <v>808048.34247619996</v>
      </c>
    </row>
    <row r="352" spans="1:6">
      <c r="A352" s="540">
        <v>90037851</v>
      </c>
      <c r="B352" s="38" t="s">
        <v>343</v>
      </c>
      <c r="C352" s="41">
        <v>502785.47000000003</v>
      </c>
      <c r="D352" s="41">
        <v>19910.304612000004</v>
      </c>
      <c r="E352" s="15">
        <v>0</v>
      </c>
      <c r="F352" s="541">
        <f t="shared" si="5"/>
        <v>522695.77461200004</v>
      </c>
    </row>
    <row r="353" spans="1:6">
      <c r="A353" s="540">
        <v>90037861</v>
      </c>
      <c r="B353" s="38" t="s">
        <v>344</v>
      </c>
      <c r="C353" s="41">
        <v>1472893.4850000001</v>
      </c>
      <c r="D353" s="41">
        <v>58326.582006000011</v>
      </c>
      <c r="E353" s="15">
        <v>0</v>
      </c>
      <c r="F353" s="541">
        <f t="shared" si="5"/>
        <v>1531220.0670060001</v>
      </c>
    </row>
    <row r="354" spans="1:6">
      <c r="A354" s="540">
        <v>90037981</v>
      </c>
      <c r="B354" s="38" t="s">
        <v>345</v>
      </c>
      <c r="C354" s="41">
        <v>2257018.1599999997</v>
      </c>
      <c r="D354" s="41">
        <v>89377.919135999997</v>
      </c>
      <c r="E354" s="15">
        <v>0</v>
      </c>
      <c r="F354" s="541">
        <f t="shared" si="5"/>
        <v>2346396.0791359995</v>
      </c>
    </row>
    <row r="355" spans="1:6">
      <c r="A355" s="540">
        <v>90037991</v>
      </c>
      <c r="B355" s="38" t="s">
        <v>346</v>
      </c>
      <c r="C355" s="41">
        <v>1114796.7490000001</v>
      </c>
      <c r="D355" s="41">
        <v>44145.951260400005</v>
      </c>
      <c r="E355" s="15">
        <v>0</v>
      </c>
      <c r="F355" s="541">
        <f t="shared" si="5"/>
        <v>1158942.7002604001</v>
      </c>
    </row>
    <row r="356" spans="1:6">
      <c r="A356" s="540">
        <v>90038081</v>
      </c>
      <c r="B356" s="38" t="s">
        <v>347</v>
      </c>
      <c r="C356" s="41">
        <v>1191554.28</v>
      </c>
      <c r="D356" s="41">
        <v>47185.549488000004</v>
      </c>
      <c r="E356" s="15">
        <v>0</v>
      </c>
      <c r="F356" s="541">
        <f t="shared" si="5"/>
        <v>1238739.8294880001</v>
      </c>
    </row>
    <row r="357" spans="1:6">
      <c r="A357" s="540">
        <v>90038581</v>
      </c>
      <c r="B357" s="38" t="s">
        <v>348</v>
      </c>
      <c r="C357" s="41">
        <v>312073.74</v>
      </c>
      <c r="D357" s="41">
        <v>12358.120104000001</v>
      </c>
      <c r="E357" s="15">
        <v>0</v>
      </c>
      <c r="F357" s="541">
        <f t="shared" si="5"/>
        <v>324431.86010399996</v>
      </c>
    </row>
    <row r="358" spans="1:6">
      <c r="A358" s="540">
        <v>90038611</v>
      </c>
      <c r="B358" s="38" t="s">
        <v>349</v>
      </c>
      <c r="C358" s="41">
        <v>764423.04999999993</v>
      </c>
      <c r="D358" s="41">
        <v>30271.15278</v>
      </c>
      <c r="E358" s="15">
        <v>0</v>
      </c>
      <c r="F358" s="541">
        <f t="shared" si="5"/>
        <v>794694.20277999993</v>
      </c>
    </row>
    <row r="359" spans="1:6">
      <c r="A359" s="540">
        <v>90038691</v>
      </c>
      <c r="B359" s="38" t="s">
        <v>350</v>
      </c>
      <c r="C359" s="41">
        <v>401913.14999999997</v>
      </c>
      <c r="D359" s="41">
        <v>15915.76074</v>
      </c>
      <c r="E359" s="15">
        <v>0</v>
      </c>
      <c r="F359" s="541">
        <f t="shared" si="5"/>
        <v>417828.91073999996</v>
      </c>
    </row>
    <row r="360" spans="1:6">
      <c r="A360" s="540">
        <v>90053421</v>
      </c>
      <c r="B360" s="38" t="s">
        <v>1179</v>
      </c>
      <c r="C360" s="41">
        <v>6443219.4400000004</v>
      </c>
      <c r="D360" s="41">
        <v>255151.48982400005</v>
      </c>
      <c r="E360" s="15">
        <v>0</v>
      </c>
      <c r="F360" s="541">
        <f t="shared" si="5"/>
        <v>6698370.9298240002</v>
      </c>
    </row>
    <row r="361" spans="1:6">
      <c r="A361" s="540">
        <v>90053431</v>
      </c>
      <c r="B361" s="38" t="s">
        <v>737</v>
      </c>
      <c r="C361" s="41">
        <v>6846708.7200000007</v>
      </c>
      <c r="D361" s="41">
        <v>271129.66531200003</v>
      </c>
      <c r="E361" s="15">
        <v>0</v>
      </c>
      <c r="F361" s="541">
        <f t="shared" si="5"/>
        <v>7117838.3853120003</v>
      </c>
    </row>
    <row r="362" spans="1:6">
      <c r="A362" s="540">
        <v>90000842</v>
      </c>
      <c r="B362" s="38" t="s">
        <v>351</v>
      </c>
      <c r="C362" s="41">
        <v>5570525.7157800011</v>
      </c>
      <c r="D362" s="41">
        <v>0</v>
      </c>
      <c r="E362" s="15">
        <v>0</v>
      </c>
      <c r="F362" s="541">
        <f t="shared" si="5"/>
        <v>5570525.7157800011</v>
      </c>
    </row>
    <row r="363" spans="1:6">
      <c r="A363" s="540">
        <v>90000872</v>
      </c>
      <c r="B363" s="38" t="s">
        <v>352</v>
      </c>
      <c r="C363" s="41">
        <v>4767830.1314420002</v>
      </c>
      <c r="D363" s="41">
        <v>0</v>
      </c>
      <c r="E363" s="15">
        <v>0</v>
      </c>
      <c r="F363" s="541">
        <f t="shared" si="5"/>
        <v>4767830.1314420002</v>
      </c>
    </row>
    <row r="364" spans="1:6">
      <c r="A364" s="540">
        <v>90053342</v>
      </c>
      <c r="B364" s="38" t="s">
        <v>353</v>
      </c>
      <c r="C364" s="41">
        <v>801525.15020000003</v>
      </c>
      <c r="D364" s="41">
        <v>0</v>
      </c>
      <c r="E364" s="15">
        <v>0</v>
      </c>
      <c r="F364" s="541">
        <f t="shared" si="5"/>
        <v>801525.15020000003</v>
      </c>
    </row>
    <row r="365" spans="1:6">
      <c r="A365" s="540">
        <v>90037822</v>
      </c>
      <c r="B365" s="38" t="s">
        <v>1180</v>
      </c>
      <c r="C365" s="41">
        <v>1930179.2341599995</v>
      </c>
      <c r="D365" s="41">
        <v>0</v>
      </c>
      <c r="E365" s="15">
        <v>0</v>
      </c>
      <c r="F365" s="541">
        <f t="shared" si="5"/>
        <v>1930179.2341599995</v>
      </c>
    </row>
    <row r="366" spans="1:6">
      <c r="A366" s="540">
        <v>90038382</v>
      </c>
      <c r="B366" s="38" t="s">
        <v>354</v>
      </c>
      <c r="C366" s="41">
        <v>2897935.6631999998</v>
      </c>
      <c r="D366" s="41">
        <v>0</v>
      </c>
      <c r="E366" s="15">
        <v>0</v>
      </c>
      <c r="F366" s="541">
        <f t="shared" si="5"/>
        <v>2897935.6631999998</v>
      </c>
    </row>
    <row r="367" spans="1:6">
      <c r="A367" s="540">
        <v>90053456</v>
      </c>
      <c r="B367" s="38" t="s">
        <v>738</v>
      </c>
      <c r="C367" s="41">
        <v>728928.60240000009</v>
      </c>
      <c r="D367" s="41">
        <v>0</v>
      </c>
      <c r="E367" s="15">
        <v>0</v>
      </c>
      <c r="F367" s="541">
        <f t="shared" si="5"/>
        <v>728928.60240000009</v>
      </c>
    </row>
    <row r="368" spans="1:6">
      <c r="A368" s="540">
        <v>90000837</v>
      </c>
      <c r="B368" s="38" t="s">
        <v>693</v>
      </c>
      <c r="C368" s="41">
        <v>11953317.907710001</v>
      </c>
      <c r="D368" s="41">
        <v>473351.38914531609</v>
      </c>
      <c r="E368" s="15">
        <v>0</v>
      </c>
      <c r="F368" s="541">
        <f t="shared" si="5"/>
        <v>12426669.296855317</v>
      </c>
    </row>
    <row r="369" spans="1:15">
      <c r="A369" s="540">
        <v>90002047</v>
      </c>
      <c r="B369" s="38" t="s">
        <v>694</v>
      </c>
      <c r="C369" s="41">
        <v>6751478.9454000015</v>
      </c>
      <c r="D369" s="41">
        <v>267358.5662378401</v>
      </c>
      <c r="E369" s="15">
        <v>0</v>
      </c>
      <c r="F369" s="541">
        <f t="shared" si="5"/>
        <v>7018837.5116378414</v>
      </c>
    </row>
    <row r="370" spans="1:15">
      <c r="A370" s="540">
        <v>90005997</v>
      </c>
      <c r="B370" s="38" t="s">
        <v>695</v>
      </c>
      <c r="C370" s="41">
        <v>7341140.7010000004</v>
      </c>
      <c r="D370" s="41">
        <v>290709.17175960005</v>
      </c>
      <c r="E370" s="15">
        <v>0</v>
      </c>
      <c r="F370" s="541">
        <f t="shared" si="5"/>
        <v>7631849.8727596002</v>
      </c>
    </row>
    <row r="371" spans="1:15">
      <c r="A371" s="540">
        <v>90008177</v>
      </c>
      <c r="B371" s="38" t="s">
        <v>703</v>
      </c>
      <c r="C371" s="41">
        <v>6025513.4674000004</v>
      </c>
      <c r="D371" s="41">
        <v>238610.33330904003</v>
      </c>
      <c r="E371" s="15">
        <v>0</v>
      </c>
      <c r="F371" s="541">
        <f t="shared" si="5"/>
        <v>6264123.8007090408</v>
      </c>
    </row>
    <row r="372" spans="1:15">
      <c r="A372" s="540">
        <v>90008367</v>
      </c>
      <c r="B372" s="38" t="s">
        <v>696</v>
      </c>
      <c r="C372" s="41">
        <v>8406383.9228000008</v>
      </c>
      <c r="D372" s="41">
        <v>332892.80334288004</v>
      </c>
      <c r="E372" s="15">
        <v>0</v>
      </c>
      <c r="F372" s="541">
        <f t="shared" si="5"/>
        <v>8739276.7261428814</v>
      </c>
    </row>
    <row r="373" spans="1:15">
      <c r="A373" s="540">
        <v>90008987</v>
      </c>
      <c r="B373" s="38" t="s">
        <v>697</v>
      </c>
      <c r="C373" s="41">
        <v>4724701.8558</v>
      </c>
      <c r="D373" s="41">
        <v>187098.19348968001</v>
      </c>
      <c r="E373" s="15">
        <v>0</v>
      </c>
      <c r="F373" s="541">
        <f t="shared" si="5"/>
        <v>4911800.0492896801</v>
      </c>
    </row>
    <row r="374" spans="1:15" s="45" customFormat="1">
      <c r="A374" s="540">
        <v>90038737</v>
      </c>
      <c r="B374" s="38" t="s">
        <v>355</v>
      </c>
      <c r="C374" s="41">
        <v>8766403.5373999998</v>
      </c>
      <c r="D374" s="41">
        <v>347149.58008104004</v>
      </c>
      <c r="E374" s="15">
        <v>0</v>
      </c>
      <c r="F374" s="541">
        <f t="shared" si="5"/>
        <v>9113553.1174810398</v>
      </c>
      <c r="G374" s="112"/>
      <c r="H374" s="112"/>
      <c r="I374" s="112"/>
      <c r="J374" s="112"/>
      <c r="K374" s="112"/>
    </row>
    <row r="375" spans="1:15">
      <c r="A375" s="540">
        <v>90042287</v>
      </c>
      <c r="B375" s="38" t="s">
        <v>698</v>
      </c>
      <c r="C375" s="41">
        <v>4700996.8605999984</v>
      </c>
      <c r="D375" s="41">
        <v>186159.47567975995</v>
      </c>
      <c r="E375" s="15">
        <v>0</v>
      </c>
      <c r="F375" s="541">
        <f t="shared" si="5"/>
        <v>4887156.3362797583</v>
      </c>
    </row>
    <row r="376" spans="1:15">
      <c r="A376" s="545"/>
      <c r="B376" s="38"/>
      <c r="F376" s="26"/>
    </row>
    <row r="377" spans="1:15">
      <c r="A377" s="545"/>
      <c r="B377" s="38"/>
      <c r="F377" s="26"/>
    </row>
    <row r="378" spans="1:15">
      <c r="A378" s="545"/>
      <c r="B378" s="38"/>
      <c r="F378" s="26"/>
    </row>
    <row r="379" spans="1:15">
      <c r="A379" s="545"/>
      <c r="B379" s="38"/>
      <c r="F379" s="26"/>
    </row>
    <row r="380" spans="1:15">
      <c r="A380" s="545"/>
      <c r="B380" s="38"/>
      <c r="F380" s="26"/>
    </row>
    <row r="381" spans="1:15">
      <c r="A381" s="545"/>
      <c r="B381" s="38"/>
      <c r="F381" s="26"/>
    </row>
    <row r="382" spans="1:15">
      <c r="A382" s="545"/>
      <c r="B382" s="38"/>
      <c r="F382" s="26"/>
    </row>
    <row r="383" spans="1:15" s="21" customFormat="1">
      <c r="A383" s="545"/>
      <c r="B383" s="38"/>
      <c r="C383" s="41"/>
      <c r="D383" s="41"/>
      <c r="E383" s="41"/>
      <c r="F383" s="26"/>
      <c r="L383"/>
      <c r="M383"/>
      <c r="N383"/>
      <c r="O383"/>
    </row>
    <row r="384" spans="1:15" s="21" customFormat="1">
      <c r="A384" s="545"/>
      <c r="B384" s="36"/>
      <c r="C384" s="41"/>
      <c r="D384" s="41"/>
      <c r="E384" s="41"/>
      <c r="F384" s="26"/>
      <c r="L384"/>
      <c r="M384"/>
      <c r="N384"/>
      <c r="O384"/>
    </row>
    <row r="385" spans="1:15" s="21" customFormat="1">
      <c r="A385" s="545"/>
      <c r="B385" s="36"/>
      <c r="C385" s="41"/>
      <c r="D385" s="41"/>
      <c r="E385" s="41"/>
      <c r="F385" s="26"/>
      <c r="L385"/>
      <c r="M385"/>
      <c r="N385"/>
      <c r="O385"/>
    </row>
    <row r="386" spans="1:15" s="21" customFormat="1">
      <c r="A386" s="545"/>
      <c r="B386" s="36"/>
      <c r="C386" s="41"/>
      <c r="D386" s="41"/>
      <c r="E386" s="41"/>
      <c r="F386" s="26"/>
      <c r="L386"/>
      <c r="M386"/>
      <c r="N386"/>
      <c r="O386"/>
    </row>
    <row r="387" spans="1:15" s="21" customFormat="1">
      <c r="A387" s="545"/>
      <c r="B387" s="36"/>
      <c r="C387" s="41"/>
      <c r="D387" s="41"/>
      <c r="E387" s="41"/>
      <c r="F387" s="26"/>
      <c r="L387"/>
      <c r="M387"/>
      <c r="N387"/>
      <c r="O387"/>
    </row>
    <row r="388" spans="1:15" s="21" customFormat="1">
      <c r="A388" s="545"/>
      <c r="B388" s="36"/>
      <c r="C388" s="41"/>
      <c r="D388" s="41"/>
      <c r="E388" s="41"/>
      <c r="F388" s="26"/>
      <c r="L388"/>
      <c r="M388"/>
      <c r="N388"/>
      <c r="O388"/>
    </row>
    <row r="389" spans="1:15" s="21" customFormat="1">
      <c r="A389" s="545"/>
      <c r="B389" s="36"/>
      <c r="C389" s="41"/>
      <c r="D389" s="41"/>
      <c r="E389" s="41"/>
      <c r="F389" s="132"/>
      <c r="L389"/>
      <c r="M389"/>
      <c r="N389"/>
      <c r="O389"/>
    </row>
    <row r="390" spans="1:15" s="21" customFormat="1">
      <c r="A390" s="545"/>
      <c r="B390" s="36"/>
      <c r="C390" s="41"/>
      <c r="D390" s="41"/>
      <c r="E390" s="41"/>
      <c r="F390" s="132"/>
      <c r="L390"/>
      <c r="M390"/>
      <c r="N390"/>
      <c r="O390"/>
    </row>
    <row r="391" spans="1:15" s="21" customFormat="1">
      <c r="A391" s="545"/>
      <c r="B391" s="36"/>
      <c r="C391" s="41"/>
      <c r="D391" s="41"/>
      <c r="E391" s="41"/>
      <c r="F391" s="132"/>
      <c r="L391"/>
      <c r="M391"/>
      <c r="N391"/>
      <c r="O391"/>
    </row>
    <row r="392" spans="1:15" s="21" customFormat="1">
      <c r="A392" s="545"/>
      <c r="B392" s="36"/>
      <c r="C392" s="41"/>
      <c r="D392" s="41"/>
      <c r="E392" s="41"/>
      <c r="F392" s="132"/>
      <c r="L392"/>
      <c r="M392"/>
      <c r="N392"/>
      <c r="O392"/>
    </row>
    <row r="393" spans="1:15" s="21" customFormat="1">
      <c r="A393" s="545"/>
      <c r="B393" s="36"/>
      <c r="C393" s="41"/>
      <c r="D393" s="41"/>
      <c r="E393" s="41"/>
      <c r="F393" s="132"/>
      <c r="L393"/>
      <c r="M393"/>
      <c r="N393"/>
      <c r="O393"/>
    </row>
    <row r="394" spans="1:15" s="21" customFormat="1">
      <c r="A394" s="546"/>
      <c r="B394" s="36"/>
      <c r="C394" s="41"/>
      <c r="D394" s="41"/>
      <c r="E394" s="41"/>
      <c r="F394" s="132"/>
      <c r="L394"/>
      <c r="M394"/>
      <c r="N394"/>
      <c r="O394"/>
    </row>
    <row r="395" spans="1:15" s="21" customFormat="1">
      <c r="A395" s="546"/>
      <c r="B395" s="36"/>
      <c r="C395" s="41"/>
      <c r="D395" s="41"/>
      <c r="E395" s="41"/>
      <c r="F395" s="132"/>
      <c r="L395"/>
      <c r="M395"/>
      <c r="N395"/>
      <c r="O395"/>
    </row>
    <row r="396" spans="1:15" s="21" customFormat="1">
      <c r="A396" s="546"/>
      <c r="B396" s="547"/>
      <c r="C396" s="41"/>
      <c r="D396" s="41"/>
      <c r="E396" s="41"/>
      <c r="F396" s="132"/>
      <c r="L396"/>
      <c r="M396"/>
      <c r="N396"/>
      <c r="O396"/>
    </row>
    <row r="397" spans="1:15" s="21" customFormat="1">
      <c r="A397" s="546"/>
      <c r="B397" s="36"/>
      <c r="C397" s="41"/>
      <c r="D397" s="41"/>
      <c r="E397" s="41"/>
      <c r="F397" s="132"/>
      <c r="L397"/>
      <c r="M397"/>
      <c r="N397"/>
      <c r="O397"/>
    </row>
    <row r="398" spans="1:15" s="21" customFormat="1">
      <c r="A398" s="546"/>
      <c r="B398" s="36"/>
      <c r="C398" s="41"/>
      <c r="D398" s="41"/>
      <c r="E398" s="41"/>
      <c r="F398" s="132"/>
      <c r="L398"/>
      <c r="M398"/>
      <c r="N398"/>
      <c r="O398"/>
    </row>
    <row r="399" spans="1:15" s="41" customFormat="1">
      <c r="A399" s="546"/>
      <c r="B399" s="36"/>
      <c r="F399" s="132"/>
      <c r="G399" s="21"/>
      <c r="H399" s="21"/>
      <c r="I399" s="21"/>
      <c r="J399" s="21"/>
      <c r="K399" s="21"/>
      <c r="L399"/>
      <c r="M399"/>
      <c r="N399"/>
      <c r="O399"/>
    </row>
    <row r="400" spans="1:15" s="41" customFormat="1">
      <c r="A400" s="546"/>
      <c r="B400" s="36"/>
      <c r="F400" s="132"/>
      <c r="G400" s="21"/>
      <c r="H400" s="21"/>
      <c r="I400" s="21"/>
      <c r="J400" s="21"/>
      <c r="K400" s="21"/>
      <c r="L400"/>
      <c r="M400"/>
      <c r="N400"/>
      <c r="O400"/>
    </row>
    <row r="401" spans="1:15" s="41" customFormat="1">
      <c r="A401" s="546"/>
      <c r="B401" s="36"/>
      <c r="F401" s="132"/>
      <c r="G401" s="21"/>
      <c r="H401" s="21"/>
      <c r="I401" s="21"/>
      <c r="J401" s="21"/>
      <c r="K401" s="21"/>
      <c r="L401"/>
      <c r="M401"/>
      <c r="N401"/>
      <c r="O401"/>
    </row>
    <row r="402" spans="1:15" s="41" customFormat="1">
      <c r="A402" s="545"/>
      <c r="B402" s="36"/>
      <c r="F402" s="132"/>
      <c r="G402" s="21"/>
      <c r="H402" s="21"/>
      <c r="I402" s="21"/>
      <c r="J402" s="21"/>
      <c r="K402" s="21"/>
      <c r="L402"/>
      <c r="M402"/>
      <c r="N402"/>
      <c r="O402"/>
    </row>
    <row r="403" spans="1:15" s="41" customFormat="1">
      <c r="A403" s="546"/>
      <c r="B403" s="36"/>
      <c r="F403" s="132"/>
      <c r="G403" s="21"/>
      <c r="H403" s="21"/>
      <c r="I403" s="21"/>
      <c r="J403" s="21"/>
      <c r="K403" s="21"/>
      <c r="L403"/>
      <c r="M403"/>
      <c r="N403"/>
      <c r="O403"/>
    </row>
    <row r="404" spans="1:15" s="41" customFormat="1">
      <c r="A404" s="546"/>
      <c r="B404" s="36"/>
      <c r="F404" s="132"/>
      <c r="G404" s="21"/>
      <c r="H404" s="21"/>
      <c r="I404" s="21"/>
      <c r="J404" s="21"/>
      <c r="K404" s="21"/>
      <c r="L404"/>
      <c r="M404"/>
      <c r="N404"/>
      <c r="O404"/>
    </row>
    <row r="405" spans="1:15" s="41" customFormat="1">
      <c r="A405" s="546"/>
      <c r="B405" s="36"/>
      <c r="F405" s="132"/>
      <c r="G405" s="21"/>
      <c r="H405" s="21"/>
      <c r="I405" s="21"/>
      <c r="J405" s="21"/>
      <c r="K405" s="21"/>
      <c r="L405"/>
      <c r="M405"/>
      <c r="N405"/>
      <c r="O405"/>
    </row>
    <row r="406" spans="1:15" s="41" customFormat="1">
      <c r="A406" s="545"/>
      <c r="B406" s="36"/>
      <c r="F406" s="132"/>
      <c r="G406" s="21"/>
      <c r="H406" s="21"/>
      <c r="I406" s="21"/>
      <c r="J406" s="21"/>
      <c r="K406" s="21"/>
      <c r="L406"/>
      <c r="M406"/>
      <c r="N406"/>
      <c r="O406"/>
    </row>
    <row r="407" spans="1:15" s="41" customFormat="1">
      <c r="A407" s="546"/>
      <c r="B407" s="36"/>
      <c r="F407" s="132"/>
      <c r="G407" s="21"/>
      <c r="H407" s="21"/>
      <c r="I407" s="21"/>
      <c r="J407" s="21"/>
      <c r="K407" s="21"/>
      <c r="L407"/>
      <c r="M407"/>
      <c r="N407"/>
      <c r="O407"/>
    </row>
    <row r="408" spans="1:15" s="41" customFormat="1">
      <c r="A408" s="546"/>
      <c r="B408" s="36"/>
      <c r="F408" s="132"/>
      <c r="G408" s="21"/>
      <c r="H408" s="21"/>
      <c r="I408" s="21"/>
      <c r="J408" s="21"/>
      <c r="K408" s="21"/>
      <c r="L408"/>
      <c r="M408"/>
      <c r="N408"/>
      <c r="O408"/>
    </row>
    <row r="409" spans="1:15" s="41" customFormat="1">
      <c r="A409" s="546"/>
      <c r="B409" s="36"/>
      <c r="F409" s="132"/>
      <c r="G409" s="21"/>
      <c r="H409" s="21"/>
      <c r="I409" s="21"/>
      <c r="J409" s="21"/>
      <c r="K409" s="21"/>
      <c r="L409"/>
      <c r="M409"/>
      <c r="N409"/>
      <c r="O409"/>
    </row>
    <row r="410" spans="1:15" s="41" customFormat="1">
      <c r="A410" s="546"/>
      <c r="B410" s="547"/>
      <c r="F410" s="132"/>
      <c r="G410" s="21"/>
      <c r="H410" s="21"/>
      <c r="I410" s="21"/>
      <c r="J410" s="21"/>
      <c r="K410" s="21"/>
      <c r="L410"/>
      <c r="M410"/>
      <c r="N410"/>
      <c r="O410"/>
    </row>
  </sheetData>
  <pageMargins left="0.7" right="0.7" top="0.75" bottom="0.75"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13</vt:i4>
      </vt:variant>
      <vt:variant>
        <vt:lpstr>Nimetyt alueet</vt:lpstr>
      </vt:variant>
      <vt:variant>
        <vt:i4>10</vt:i4>
      </vt:variant>
    </vt:vector>
  </HeadingPairs>
  <TitlesOfParts>
    <vt:vector size="23" baseType="lpstr">
      <vt:lpstr>INFO</vt:lpstr>
      <vt:lpstr>Yhteenveto</vt:lpstr>
      <vt:lpstr>Lask. kustannukset IKÄRAKENNE</vt:lpstr>
      <vt:lpstr>Lask. kustannukset MUUT</vt:lpstr>
      <vt:lpstr>Lisäosat</vt:lpstr>
      <vt:lpstr>Muut lis_väh</vt:lpstr>
      <vt:lpstr>Verotuloihin perust tasaus</vt:lpstr>
      <vt:lpstr>Verokorvaukset</vt:lpstr>
      <vt:lpstr>Kotikuntakorvaus</vt:lpstr>
      <vt:lpstr>TE25 Palveluiden rah, koko maa</vt:lpstr>
      <vt:lpstr>TE25 Palveluiden rah, kunnat</vt:lpstr>
      <vt:lpstr>TE25 Palveluiden kustannusarvio</vt:lpstr>
      <vt:lpstr>TE25 Etuuksien rahoitusvastuu</vt:lpstr>
      <vt:lpstr>'Lask. kustannukset IKÄRAKENNE'!Tulostusalue</vt:lpstr>
      <vt:lpstr>'Lask. kustannukset MUUT'!Tulostusalue</vt:lpstr>
      <vt:lpstr>Lisäosat!Tulostusalue</vt:lpstr>
      <vt:lpstr>'Muut lis_väh'!Tulostusalue</vt:lpstr>
      <vt:lpstr>Yhteenveto!Tulostusalue</vt:lpstr>
      <vt:lpstr>'Lask. kustannukset IKÄRAKENNE'!Tulostusotsikot</vt:lpstr>
      <vt:lpstr>'Lask. kustannukset MUUT'!Tulostusotsikot</vt:lpstr>
      <vt:lpstr>Lisäosat!Tulostusotsikot</vt:lpstr>
      <vt:lpstr>'Muut lis_väh'!Tulostusotsikot</vt:lpstr>
      <vt:lpstr>Yhteenveto!Tulostusotsikot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Kunnan peruspalvelujen valtionosuus</dc:title>
  <dc:creator>VM</dc:creator>
  <cp:lastModifiedBy>Heimberg Unna (VM)</cp:lastModifiedBy>
  <dcterms:created xsi:type="dcterms:W3CDTF">2020-05-15T09:22:39Z</dcterms:created>
  <dcterms:modified xsi:type="dcterms:W3CDTF">2024-06-26T12:29:33Z</dcterms:modified>
</cp:coreProperties>
</file>