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50757\Desktop\"/>
    </mc:Choice>
  </mc:AlternateContent>
  <bookViews>
    <workbookView xWindow="0" yWindow="0" windowWidth="19200" windowHeight="6765"/>
  </bookViews>
  <sheets>
    <sheet name="INFO" sheetId="7" r:id="rId1"/>
    <sheet name="Yhteenveto ja muutos nykytilaan" sheetId="16" r:id="rId2"/>
    <sheet name="Vuoden 2023 siirtymätasaus" sheetId="35" r:id="rId3"/>
    <sheet name="SOTE laskennallinen rahoitus" sheetId="14" r:id="rId4"/>
    <sheet name="PELA laskennallinen rahoitus" sheetId="15" r:id="rId5"/>
    <sheet name="Siirtymäkausi" sheetId="17" r:id="rId6"/>
    <sheet name="Arvio hyten vaikutuksesta" sheetId="37" r:id="rId7"/>
    <sheet name="Siirtyvät sote-kustannukset" sheetId="11" r:id="rId8"/>
    <sheet name="Siirtyvät pela-kustannukset" sheetId="29" r:id="rId9"/>
    <sheet name="Määräytymistekijät" sheetId="19" r:id="rId10"/>
    <sheet name="Määräytymistekijät kunnittain" sheetId="31" r:id="rId11"/>
    <sheet name="Hyte-kerroin" sheetId="22" r:id="rId12"/>
    <sheet name="TH, VH ja SH tarvekertoimet" sheetId="23" r:id="rId13"/>
    <sheet name="TH, VH, SH sektoripainot20" sheetId="33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7" l="1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8" i="29"/>
  <c r="L17" i="29"/>
  <c r="L16" i="29"/>
  <c r="L15" i="29"/>
  <c r="L14" i="29"/>
  <c r="L13" i="29"/>
  <c r="D12" i="29"/>
  <c r="E12" i="29"/>
  <c r="E12" i="11"/>
  <c r="D12" i="11"/>
  <c r="M22" i="14" l="1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K4" i="19"/>
  <c r="K26" i="19" s="1"/>
  <c r="K5" i="19"/>
  <c r="K6" i="19"/>
  <c r="K7" i="19"/>
  <c r="K8" i="19"/>
  <c r="K9" i="19"/>
  <c r="K12" i="19"/>
  <c r="K17" i="19"/>
  <c r="K23" i="19"/>
  <c r="I52" i="19" l="1"/>
  <c r="J52" i="19"/>
  <c r="K52" i="19" l="1"/>
  <c r="DG48" i="33" l="1"/>
  <c r="CQ48" i="33"/>
  <c r="CA48" i="33"/>
  <c r="BK48" i="33"/>
  <c r="FK47" i="33"/>
  <c r="FJ47" i="33"/>
  <c r="FI47" i="33"/>
  <c r="FH47" i="33"/>
  <c r="FG47" i="33"/>
  <c r="FF47" i="33"/>
  <c r="FE47" i="33"/>
  <c r="FD47" i="33"/>
  <c r="FC47" i="33"/>
  <c r="FB47" i="33"/>
  <c r="FA47" i="33"/>
  <c r="EZ47" i="33"/>
  <c r="EY47" i="33"/>
  <c r="EX47" i="33"/>
  <c r="EW47" i="33"/>
  <c r="EV47" i="33"/>
  <c r="EU47" i="33"/>
  <c r="ET47" i="33"/>
  <c r="ES47" i="33"/>
  <c r="ER47" i="33"/>
  <c r="EQ47" i="33"/>
  <c r="EP47" i="33"/>
  <c r="EO47" i="33"/>
  <c r="EN47" i="33"/>
  <c r="EM47" i="33"/>
  <c r="EL47" i="33"/>
  <c r="EK47" i="33"/>
  <c r="EJ47" i="33"/>
  <c r="EI47" i="33"/>
  <c r="EH47" i="33"/>
  <c r="EG47" i="33"/>
  <c r="EF47" i="33"/>
  <c r="EE47" i="33"/>
  <c r="ED47" i="33"/>
  <c r="EC47" i="33"/>
  <c r="EB47" i="33"/>
  <c r="EA47" i="33"/>
  <c r="DZ47" i="33"/>
  <c r="DY47" i="33"/>
  <c r="DX47" i="33"/>
  <c r="DW47" i="33"/>
  <c r="DV47" i="33"/>
  <c r="DU47" i="33"/>
  <c r="DT47" i="33"/>
  <c r="DS47" i="33"/>
  <c r="DR47" i="33"/>
  <c r="DQ47" i="33"/>
  <c r="DP47" i="33"/>
  <c r="DO47" i="33"/>
  <c r="DN47" i="33"/>
  <c r="DM47" i="33"/>
  <c r="DL47" i="33"/>
  <c r="DK47" i="33"/>
  <c r="DJ47" i="33"/>
  <c r="DG47" i="33"/>
  <c r="DF47" i="33"/>
  <c r="DE47" i="33"/>
  <c r="DD47" i="33"/>
  <c r="DC47" i="33"/>
  <c r="DB47" i="33"/>
  <c r="DA47" i="33"/>
  <c r="CZ47" i="33"/>
  <c r="CY47" i="33"/>
  <c r="CX47" i="33"/>
  <c r="CW47" i="33"/>
  <c r="CV47" i="33"/>
  <c r="CU47" i="33"/>
  <c r="CT47" i="33"/>
  <c r="CS47" i="33"/>
  <c r="CR47" i="33"/>
  <c r="CQ47" i="33"/>
  <c r="CP47" i="33"/>
  <c r="CO47" i="33"/>
  <c r="CN47" i="33"/>
  <c r="CM47" i="33"/>
  <c r="CL47" i="33"/>
  <c r="CK47" i="33"/>
  <c r="CJ47" i="33"/>
  <c r="CI47" i="33"/>
  <c r="CH47" i="33"/>
  <c r="CG47" i="33"/>
  <c r="CF47" i="33"/>
  <c r="CE47" i="33"/>
  <c r="CD47" i="33"/>
  <c r="CC47" i="33"/>
  <c r="CB47" i="33"/>
  <c r="CA47" i="33"/>
  <c r="BZ47" i="33"/>
  <c r="BY47" i="33"/>
  <c r="BX47" i="33"/>
  <c r="BW47" i="33"/>
  <c r="BV47" i="33"/>
  <c r="BU47" i="33"/>
  <c r="BT47" i="33"/>
  <c r="BS47" i="33"/>
  <c r="BR47" i="33"/>
  <c r="BQ47" i="33"/>
  <c r="BP47" i="33"/>
  <c r="BO47" i="33"/>
  <c r="BN47" i="33"/>
  <c r="BM47" i="33"/>
  <c r="BL47" i="33"/>
  <c r="BK47" i="33"/>
  <c r="BJ47" i="33"/>
  <c r="BI47" i="33"/>
  <c r="BH47" i="33"/>
  <c r="BG47" i="33"/>
  <c r="BF47" i="33"/>
  <c r="AY47" i="33"/>
  <c r="AI47" i="33"/>
  <c r="S47" i="33"/>
  <c r="C47" i="33"/>
  <c r="FK46" i="33"/>
  <c r="FK48" i="33" s="1"/>
  <c r="FJ46" i="33"/>
  <c r="FJ48" i="33" s="1"/>
  <c r="FI46" i="33"/>
  <c r="FI48" i="33" s="1"/>
  <c r="FH46" i="33"/>
  <c r="FH48" i="33" s="1"/>
  <c r="FG46" i="33"/>
  <c r="FG48" i="33" s="1"/>
  <c r="FF46" i="33"/>
  <c r="FF48" i="33" s="1"/>
  <c r="FE46" i="33"/>
  <c r="FE48" i="33" s="1"/>
  <c r="FD46" i="33"/>
  <c r="FD48" i="33" s="1"/>
  <c r="FC46" i="33"/>
  <c r="FC48" i="33" s="1"/>
  <c r="FB46" i="33"/>
  <c r="FB48" i="33" s="1"/>
  <c r="FA46" i="33"/>
  <c r="FA48" i="33" s="1"/>
  <c r="EZ46" i="33"/>
  <c r="EZ48" i="33" s="1"/>
  <c r="EY46" i="33"/>
  <c r="EY48" i="33" s="1"/>
  <c r="EX46" i="33"/>
  <c r="EX48" i="33" s="1"/>
  <c r="EW46" i="33"/>
  <c r="EW48" i="33" s="1"/>
  <c r="EV46" i="33"/>
  <c r="EV48" i="33" s="1"/>
  <c r="EU46" i="33"/>
  <c r="EU48" i="33" s="1"/>
  <c r="ET46" i="33"/>
  <c r="ET48" i="33" s="1"/>
  <c r="ES46" i="33"/>
  <c r="ES48" i="33" s="1"/>
  <c r="ER46" i="33"/>
  <c r="ER48" i="33" s="1"/>
  <c r="EQ46" i="33"/>
  <c r="EQ48" i="33" s="1"/>
  <c r="EP46" i="33"/>
  <c r="EP48" i="33" s="1"/>
  <c r="EO46" i="33"/>
  <c r="EO48" i="33" s="1"/>
  <c r="EN46" i="33"/>
  <c r="EN48" i="33" s="1"/>
  <c r="EM46" i="33"/>
  <c r="EM48" i="33" s="1"/>
  <c r="EL46" i="33"/>
  <c r="EL48" i="33" s="1"/>
  <c r="EK46" i="33"/>
  <c r="EK48" i="33" s="1"/>
  <c r="EJ46" i="33"/>
  <c r="EJ48" i="33" s="1"/>
  <c r="EI46" i="33"/>
  <c r="EI48" i="33" s="1"/>
  <c r="EH46" i="33"/>
  <c r="EH48" i="33" s="1"/>
  <c r="EG46" i="33"/>
  <c r="EG48" i="33" s="1"/>
  <c r="EF46" i="33"/>
  <c r="EF48" i="33" s="1"/>
  <c r="EE46" i="33"/>
  <c r="EE48" i="33" s="1"/>
  <c r="ED46" i="33"/>
  <c r="ED48" i="33" s="1"/>
  <c r="EC46" i="33"/>
  <c r="EC48" i="33" s="1"/>
  <c r="EB46" i="33"/>
  <c r="EB48" i="33" s="1"/>
  <c r="EA46" i="33"/>
  <c r="EA48" i="33" s="1"/>
  <c r="DZ46" i="33"/>
  <c r="DZ48" i="33" s="1"/>
  <c r="DY46" i="33"/>
  <c r="DY48" i="33" s="1"/>
  <c r="DX46" i="33"/>
  <c r="DX48" i="33" s="1"/>
  <c r="DW46" i="33"/>
  <c r="DW48" i="33" s="1"/>
  <c r="DV46" i="33"/>
  <c r="DV48" i="33" s="1"/>
  <c r="DU46" i="33"/>
  <c r="DU48" i="33" s="1"/>
  <c r="DT46" i="33"/>
  <c r="DT48" i="33" s="1"/>
  <c r="DS46" i="33"/>
  <c r="DS48" i="33" s="1"/>
  <c r="DR46" i="33"/>
  <c r="DR48" i="33" s="1"/>
  <c r="DQ46" i="33"/>
  <c r="DQ48" i="33" s="1"/>
  <c r="DP46" i="33"/>
  <c r="DP48" i="33" s="1"/>
  <c r="DO46" i="33"/>
  <c r="DO48" i="33" s="1"/>
  <c r="DN46" i="33"/>
  <c r="DN48" i="33" s="1"/>
  <c r="DM46" i="33"/>
  <c r="DM48" i="33" s="1"/>
  <c r="DL46" i="33"/>
  <c r="DL48" i="33" s="1"/>
  <c r="DK46" i="33"/>
  <c r="DK48" i="33" s="1"/>
  <c r="DJ46" i="33"/>
  <c r="DJ48" i="33" s="1"/>
  <c r="DG46" i="33"/>
  <c r="DF46" i="33"/>
  <c r="DF48" i="33" s="1"/>
  <c r="DE46" i="33"/>
  <c r="DE48" i="33" s="1"/>
  <c r="DD46" i="33"/>
  <c r="DD48" i="33" s="1"/>
  <c r="DC46" i="33"/>
  <c r="DC48" i="33" s="1"/>
  <c r="DB46" i="33"/>
  <c r="DB48" i="33" s="1"/>
  <c r="DA46" i="33"/>
  <c r="DA48" i="33" s="1"/>
  <c r="CZ46" i="33"/>
  <c r="CZ48" i="33" s="1"/>
  <c r="CY46" i="33"/>
  <c r="CY48" i="33" s="1"/>
  <c r="CX46" i="33"/>
  <c r="CX48" i="33" s="1"/>
  <c r="CW46" i="33"/>
  <c r="CW48" i="33" s="1"/>
  <c r="CV46" i="33"/>
  <c r="CV48" i="33" s="1"/>
  <c r="CU46" i="33"/>
  <c r="CU48" i="33" s="1"/>
  <c r="CT46" i="33"/>
  <c r="CT48" i="33" s="1"/>
  <c r="CS46" i="33"/>
  <c r="CS48" i="33" s="1"/>
  <c r="CR46" i="33"/>
  <c r="CR48" i="33" s="1"/>
  <c r="CQ46" i="33"/>
  <c r="CP46" i="33"/>
  <c r="CP48" i="33" s="1"/>
  <c r="CO46" i="33"/>
  <c r="CO48" i="33" s="1"/>
  <c r="CN46" i="33"/>
  <c r="CN48" i="33" s="1"/>
  <c r="CM46" i="33"/>
  <c r="CM48" i="33" s="1"/>
  <c r="CL46" i="33"/>
  <c r="CL48" i="33" s="1"/>
  <c r="CK46" i="33"/>
  <c r="CK48" i="33" s="1"/>
  <c r="CJ46" i="33"/>
  <c r="CJ48" i="33" s="1"/>
  <c r="CI46" i="33"/>
  <c r="CI48" i="33" s="1"/>
  <c r="CH46" i="33"/>
  <c r="CH48" i="33" s="1"/>
  <c r="CG46" i="33"/>
  <c r="CG48" i="33" s="1"/>
  <c r="CF46" i="33"/>
  <c r="CF48" i="33" s="1"/>
  <c r="CE46" i="33"/>
  <c r="CE48" i="33" s="1"/>
  <c r="CD46" i="33"/>
  <c r="CD48" i="33" s="1"/>
  <c r="CC46" i="33"/>
  <c r="CC48" i="33" s="1"/>
  <c r="CB46" i="33"/>
  <c r="CB48" i="33" s="1"/>
  <c r="CA46" i="33"/>
  <c r="BZ46" i="33"/>
  <c r="BZ48" i="33" s="1"/>
  <c r="BY46" i="33"/>
  <c r="BY48" i="33" s="1"/>
  <c r="BX46" i="33"/>
  <c r="BX48" i="33" s="1"/>
  <c r="BW46" i="33"/>
  <c r="BW48" i="33" s="1"/>
  <c r="BV46" i="33"/>
  <c r="BV48" i="33" s="1"/>
  <c r="BU46" i="33"/>
  <c r="BU48" i="33" s="1"/>
  <c r="BT46" i="33"/>
  <c r="BT48" i="33" s="1"/>
  <c r="BS46" i="33"/>
  <c r="BS48" i="33" s="1"/>
  <c r="BR46" i="33"/>
  <c r="BR48" i="33" s="1"/>
  <c r="BQ46" i="33"/>
  <c r="BQ48" i="33" s="1"/>
  <c r="BP46" i="33"/>
  <c r="BP48" i="33" s="1"/>
  <c r="BO46" i="33"/>
  <c r="BO48" i="33" s="1"/>
  <c r="BN46" i="33"/>
  <c r="BN48" i="33" s="1"/>
  <c r="BM46" i="33"/>
  <c r="BM48" i="33" s="1"/>
  <c r="BL46" i="33"/>
  <c r="BL48" i="33" s="1"/>
  <c r="BK46" i="33"/>
  <c r="BJ46" i="33"/>
  <c r="BJ48" i="33" s="1"/>
  <c r="BI46" i="33"/>
  <c r="BI48" i="33" s="1"/>
  <c r="BH46" i="33"/>
  <c r="BH48" i="33" s="1"/>
  <c r="BG46" i="33"/>
  <c r="BG48" i="33" s="1"/>
  <c r="BF46" i="33"/>
  <c r="BF48" i="33" s="1"/>
  <c r="AO46" i="33"/>
  <c r="AO48" i="33" s="1"/>
  <c r="Y46" i="33"/>
  <c r="Y48" i="33" s="1"/>
  <c r="I46" i="33"/>
  <c r="I48" i="33" s="1"/>
  <c r="BC45" i="33"/>
  <c r="BB45" i="33"/>
  <c r="BA45" i="33"/>
  <c r="AZ45" i="33"/>
  <c r="AY45" i="33"/>
  <c r="AX45" i="33"/>
  <c r="AW45" i="33"/>
  <c r="AV45" i="33"/>
  <c r="AU45" i="33"/>
  <c r="AT45" i="33"/>
  <c r="AS45" i="33"/>
  <c r="AR45" i="33"/>
  <c r="AQ45" i="33"/>
  <c r="AP45" i="33"/>
  <c r="AO45" i="33"/>
  <c r="AN45" i="33"/>
  <c r="AM45" i="33"/>
  <c r="AL45" i="33"/>
  <c r="AK45" i="33"/>
  <c r="AJ45" i="33"/>
  <c r="AI45" i="33"/>
  <c r="AH45" i="33"/>
  <c r="AG45" i="33"/>
  <c r="AF45" i="33"/>
  <c r="AE45" i="33"/>
  <c r="AD45" i="33"/>
  <c r="AC45" i="33"/>
  <c r="AB45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B45" i="33"/>
  <c r="BC44" i="33"/>
  <c r="BB44" i="33"/>
  <c r="BA44" i="33"/>
  <c r="AZ44" i="33"/>
  <c r="AY44" i="33"/>
  <c r="AX44" i="33"/>
  <c r="AW44" i="33"/>
  <c r="AV44" i="33"/>
  <c r="AU44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B44" i="33"/>
  <c r="BC43" i="33"/>
  <c r="BB43" i="33"/>
  <c r="BA43" i="33"/>
  <c r="AZ43" i="33"/>
  <c r="AY43" i="33"/>
  <c r="AX43" i="33"/>
  <c r="AW43" i="33"/>
  <c r="AV43" i="33"/>
  <c r="AU43" i="33"/>
  <c r="AT43" i="33"/>
  <c r="AS43" i="33"/>
  <c r="AR43" i="33"/>
  <c r="AQ43" i="33"/>
  <c r="AP43" i="33"/>
  <c r="AO43" i="33"/>
  <c r="AN43" i="33"/>
  <c r="AM43" i="33"/>
  <c r="AL43" i="33"/>
  <c r="AK43" i="33"/>
  <c r="AJ43" i="33"/>
  <c r="AI43" i="33"/>
  <c r="AH43" i="33"/>
  <c r="AG43" i="33"/>
  <c r="AF43" i="33"/>
  <c r="AE43" i="33"/>
  <c r="AD43" i="33"/>
  <c r="AC43" i="33"/>
  <c r="AB43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B43" i="33"/>
  <c r="BC42" i="33"/>
  <c r="BB42" i="33"/>
  <c r="BA42" i="33"/>
  <c r="AZ42" i="33"/>
  <c r="AY42" i="33"/>
  <c r="AX42" i="33"/>
  <c r="AW42" i="33"/>
  <c r="AV42" i="33"/>
  <c r="AU42" i="33"/>
  <c r="AT42" i="33"/>
  <c r="AS42" i="33"/>
  <c r="AR42" i="33"/>
  <c r="AQ42" i="33"/>
  <c r="AP42" i="33"/>
  <c r="AO42" i="33"/>
  <c r="AN42" i="33"/>
  <c r="AM42" i="33"/>
  <c r="AL42" i="33"/>
  <c r="AK42" i="33"/>
  <c r="AJ42" i="33"/>
  <c r="AI42" i="33"/>
  <c r="AH42" i="33"/>
  <c r="AG42" i="33"/>
  <c r="AF42" i="33"/>
  <c r="AE42" i="33"/>
  <c r="AD42" i="33"/>
  <c r="AC42" i="33"/>
  <c r="AB42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B42" i="33"/>
  <c r="BC41" i="33"/>
  <c r="BC47" i="33" s="1"/>
  <c r="BB41" i="33"/>
  <c r="BB47" i="33" s="1"/>
  <c r="BA41" i="33"/>
  <c r="BA47" i="33" s="1"/>
  <c r="AZ41" i="33"/>
  <c r="AZ47" i="33" s="1"/>
  <c r="AY41" i="33"/>
  <c r="AX41" i="33"/>
  <c r="AX47" i="33" s="1"/>
  <c r="AW41" i="33"/>
  <c r="AW47" i="33" s="1"/>
  <c r="AV41" i="33"/>
  <c r="AV47" i="33" s="1"/>
  <c r="AU41" i="33"/>
  <c r="AU47" i="33" s="1"/>
  <c r="AT41" i="33"/>
  <c r="AT47" i="33" s="1"/>
  <c r="AS41" i="33"/>
  <c r="AS47" i="33" s="1"/>
  <c r="AR41" i="33"/>
  <c r="AR47" i="33" s="1"/>
  <c r="AQ41" i="33"/>
  <c r="AQ47" i="33" s="1"/>
  <c r="AP41" i="33"/>
  <c r="AP47" i="33" s="1"/>
  <c r="AO41" i="33"/>
  <c r="AO47" i="33" s="1"/>
  <c r="AN41" i="33"/>
  <c r="AN47" i="33" s="1"/>
  <c r="AM41" i="33"/>
  <c r="AM47" i="33" s="1"/>
  <c r="AL41" i="33"/>
  <c r="AL47" i="33" s="1"/>
  <c r="AK41" i="33"/>
  <c r="AK47" i="33" s="1"/>
  <c r="AJ41" i="33"/>
  <c r="AJ47" i="33" s="1"/>
  <c r="AI41" i="33"/>
  <c r="AH41" i="33"/>
  <c r="AH47" i="33" s="1"/>
  <c r="AG41" i="33"/>
  <c r="AG47" i="33" s="1"/>
  <c r="AF41" i="33"/>
  <c r="AF47" i="33" s="1"/>
  <c r="AE41" i="33"/>
  <c r="AE47" i="33" s="1"/>
  <c r="AD41" i="33"/>
  <c r="AD47" i="33" s="1"/>
  <c r="AC41" i="33"/>
  <c r="AC47" i="33" s="1"/>
  <c r="AB41" i="33"/>
  <c r="AB47" i="33" s="1"/>
  <c r="AA41" i="33"/>
  <c r="AA47" i="33" s="1"/>
  <c r="Z41" i="33"/>
  <c r="Z47" i="33" s="1"/>
  <c r="Y41" i="33"/>
  <c r="Y47" i="33" s="1"/>
  <c r="X41" i="33"/>
  <c r="X47" i="33" s="1"/>
  <c r="W41" i="33"/>
  <c r="W47" i="33" s="1"/>
  <c r="V41" i="33"/>
  <c r="V47" i="33" s="1"/>
  <c r="U41" i="33"/>
  <c r="U47" i="33" s="1"/>
  <c r="T41" i="33"/>
  <c r="T47" i="33" s="1"/>
  <c r="S41" i="33"/>
  <c r="R41" i="33"/>
  <c r="R47" i="33" s="1"/>
  <c r="Q41" i="33"/>
  <c r="Q47" i="33" s="1"/>
  <c r="P41" i="33"/>
  <c r="P47" i="33" s="1"/>
  <c r="O41" i="33"/>
  <c r="O47" i="33" s="1"/>
  <c r="N41" i="33"/>
  <c r="N47" i="33" s="1"/>
  <c r="M41" i="33"/>
  <c r="M47" i="33" s="1"/>
  <c r="L41" i="33"/>
  <c r="L47" i="33" s="1"/>
  <c r="K41" i="33"/>
  <c r="K47" i="33" s="1"/>
  <c r="J41" i="33"/>
  <c r="J47" i="33" s="1"/>
  <c r="I41" i="33"/>
  <c r="I47" i="33" s="1"/>
  <c r="H41" i="33"/>
  <c r="H47" i="33" s="1"/>
  <c r="G41" i="33"/>
  <c r="G47" i="33" s="1"/>
  <c r="F41" i="33"/>
  <c r="F47" i="33" s="1"/>
  <c r="E41" i="33"/>
  <c r="E47" i="33" s="1"/>
  <c r="D41" i="33"/>
  <c r="D47" i="33" s="1"/>
  <c r="C41" i="33"/>
  <c r="B41" i="33"/>
  <c r="B47" i="33" s="1"/>
  <c r="BC40" i="33"/>
  <c r="BB40" i="33"/>
  <c r="BA40" i="33"/>
  <c r="AZ40" i="33"/>
  <c r="AY40" i="33"/>
  <c r="AX40" i="33"/>
  <c r="AW40" i="33"/>
  <c r="AV40" i="33"/>
  <c r="AU40" i="33"/>
  <c r="AT40" i="33"/>
  <c r="AS40" i="33"/>
  <c r="AR40" i="33"/>
  <c r="AQ40" i="33"/>
  <c r="AP40" i="33"/>
  <c r="AO40" i="33"/>
  <c r="AN40" i="33"/>
  <c r="AM40" i="33"/>
  <c r="AL40" i="33"/>
  <c r="AK40" i="33"/>
  <c r="AJ40" i="33"/>
  <c r="AI40" i="33"/>
  <c r="AH40" i="33"/>
  <c r="AG40" i="33"/>
  <c r="AF40" i="33"/>
  <c r="AE40" i="33"/>
  <c r="AD40" i="33"/>
  <c r="AC40" i="33"/>
  <c r="AB40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B40" i="33"/>
  <c r="BC39" i="33"/>
  <c r="BB39" i="33"/>
  <c r="BA39" i="33"/>
  <c r="AZ39" i="33"/>
  <c r="AY39" i="33"/>
  <c r="AX39" i="33"/>
  <c r="AW39" i="33"/>
  <c r="AV39" i="33"/>
  <c r="AU39" i="33"/>
  <c r="AT39" i="33"/>
  <c r="AS39" i="33"/>
  <c r="AR39" i="33"/>
  <c r="AQ39" i="33"/>
  <c r="AP39" i="33"/>
  <c r="AO39" i="33"/>
  <c r="AN39" i="33"/>
  <c r="AM39" i="33"/>
  <c r="AL39" i="33"/>
  <c r="AK39" i="33"/>
  <c r="AJ39" i="33"/>
  <c r="AI39" i="33"/>
  <c r="AH39" i="33"/>
  <c r="AG39" i="33"/>
  <c r="AF39" i="33"/>
  <c r="AE39" i="33"/>
  <c r="AD39" i="33"/>
  <c r="AC39" i="33"/>
  <c r="AB39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B39" i="33"/>
  <c r="BC38" i="33"/>
  <c r="BB38" i="33"/>
  <c r="BA38" i="33"/>
  <c r="AZ38" i="33"/>
  <c r="AY38" i="33"/>
  <c r="AX38" i="33"/>
  <c r="AW38" i="33"/>
  <c r="AV38" i="33"/>
  <c r="AU38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BC37" i="33"/>
  <c r="BB37" i="33"/>
  <c r="BA37" i="33"/>
  <c r="AZ37" i="33"/>
  <c r="AY37" i="33"/>
  <c r="AX37" i="33"/>
  <c r="AW37" i="33"/>
  <c r="AV37" i="33"/>
  <c r="AU37" i="33"/>
  <c r="AT37" i="33"/>
  <c r="AS37" i="33"/>
  <c r="AR37" i="33"/>
  <c r="AQ37" i="33"/>
  <c r="AP37" i="33"/>
  <c r="AO37" i="33"/>
  <c r="AN37" i="33"/>
  <c r="AM37" i="33"/>
  <c r="AL37" i="33"/>
  <c r="AK37" i="33"/>
  <c r="AJ37" i="33"/>
  <c r="AI37" i="33"/>
  <c r="AH37" i="33"/>
  <c r="AG37" i="33"/>
  <c r="AF37" i="33"/>
  <c r="AE37" i="33"/>
  <c r="AD37" i="33"/>
  <c r="AC37" i="33"/>
  <c r="AB37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B37" i="33"/>
  <c r="BC36" i="33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B36" i="33"/>
  <c r="BC35" i="33"/>
  <c r="BB35" i="33"/>
  <c r="BA35" i="33"/>
  <c r="AZ35" i="33"/>
  <c r="AY35" i="33"/>
  <c r="AX35" i="33"/>
  <c r="AW35" i="33"/>
  <c r="AV35" i="33"/>
  <c r="AU35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B35" i="33"/>
  <c r="BC34" i="33"/>
  <c r="BB34" i="33"/>
  <c r="BA34" i="33"/>
  <c r="AZ34" i="33"/>
  <c r="AY34" i="33"/>
  <c r="AX34" i="33"/>
  <c r="AW34" i="33"/>
  <c r="AV34" i="33"/>
  <c r="AU34" i="33"/>
  <c r="AT34" i="33"/>
  <c r="AS34" i="33"/>
  <c r="AR34" i="33"/>
  <c r="AQ34" i="33"/>
  <c r="AP34" i="33"/>
  <c r="AO34" i="33"/>
  <c r="AN34" i="33"/>
  <c r="AM34" i="33"/>
  <c r="AL34" i="33"/>
  <c r="AK34" i="33"/>
  <c r="AJ34" i="33"/>
  <c r="AI34" i="33"/>
  <c r="AH34" i="33"/>
  <c r="AG34" i="33"/>
  <c r="AF34" i="33"/>
  <c r="AE34" i="33"/>
  <c r="AD34" i="33"/>
  <c r="AC34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BC33" i="33"/>
  <c r="BB33" i="33"/>
  <c r="BA33" i="33"/>
  <c r="AZ33" i="33"/>
  <c r="AY33" i="33"/>
  <c r="AX33" i="33"/>
  <c r="AW33" i="33"/>
  <c r="AV33" i="33"/>
  <c r="AU33" i="33"/>
  <c r="AT33" i="33"/>
  <c r="AS33" i="33"/>
  <c r="AR33" i="33"/>
  <c r="AQ33" i="33"/>
  <c r="AP33" i="33"/>
  <c r="AO33" i="33"/>
  <c r="AN33" i="33"/>
  <c r="AM33" i="33"/>
  <c r="AL33" i="33"/>
  <c r="AK33" i="33"/>
  <c r="AJ33" i="33"/>
  <c r="AI33" i="33"/>
  <c r="AH33" i="33"/>
  <c r="AG33" i="33"/>
  <c r="AF33" i="33"/>
  <c r="AE33" i="33"/>
  <c r="AD33" i="33"/>
  <c r="AC33" i="33"/>
  <c r="AB33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B33" i="33"/>
  <c r="BC32" i="33"/>
  <c r="BB32" i="33"/>
  <c r="BA32" i="33"/>
  <c r="AZ32" i="33"/>
  <c r="AY32" i="33"/>
  <c r="AX32" i="33"/>
  <c r="AW32" i="33"/>
  <c r="AV32" i="33"/>
  <c r="AU32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BC30" i="33"/>
  <c r="BB30" i="33"/>
  <c r="BA30" i="33"/>
  <c r="AZ30" i="33"/>
  <c r="AY30" i="33"/>
  <c r="AX30" i="33"/>
  <c r="AW30" i="33"/>
  <c r="AV30" i="33"/>
  <c r="AU30" i="33"/>
  <c r="AT30" i="33"/>
  <c r="AS30" i="33"/>
  <c r="AR30" i="33"/>
  <c r="AQ30" i="33"/>
  <c r="AP30" i="33"/>
  <c r="AO30" i="33"/>
  <c r="AN30" i="33"/>
  <c r="AM30" i="33"/>
  <c r="AL30" i="33"/>
  <c r="AK30" i="33"/>
  <c r="AJ30" i="33"/>
  <c r="AI30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B30" i="33"/>
  <c r="BC29" i="33"/>
  <c r="BB29" i="33"/>
  <c r="BA29" i="33"/>
  <c r="AZ29" i="33"/>
  <c r="AY29" i="33"/>
  <c r="AX29" i="33"/>
  <c r="AW29" i="33"/>
  <c r="AV29" i="33"/>
  <c r="AU29" i="33"/>
  <c r="AT29" i="33"/>
  <c r="AS29" i="33"/>
  <c r="AR29" i="33"/>
  <c r="AQ29" i="33"/>
  <c r="AP29" i="33"/>
  <c r="AO29" i="33"/>
  <c r="AN29" i="33"/>
  <c r="AM29" i="33"/>
  <c r="AL29" i="33"/>
  <c r="AK29" i="33"/>
  <c r="AJ29" i="33"/>
  <c r="AI29" i="33"/>
  <c r="AH29" i="33"/>
  <c r="AG29" i="33"/>
  <c r="AF29" i="33"/>
  <c r="AE29" i="33"/>
  <c r="AD29" i="33"/>
  <c r="AC29" i="33"/>
  <c r="AB29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B29" i="33"/>
  <c r="BC28" i="33"/>
  <c r="BB28" i="33"/>
  <c r="BA28" i="33"/>
  <c r="AZ28" i="33"/>
  <c r="AY28" i="33"/>
  <c r="AX28" i="33"/>
  <c r="AW28" i="33"/>
  <c r="AV28" i="33"/>
  <c r="AU28" i="33"/>
  <c r="AT28" i="33"/>
  <c r="AS28" i="33"/>
  <c r="AR28" i="33"/>
  <c r="AQ28" i="33"/>
  <c r="AP28" i="33"/>
  <c r="AO28" i="33"/>
  <c r="AN28" i="33"/>
  <c r="AM28" i="33"/>
  <c r="AL28" i="33"/>
  <c r="AK28" i="33"/>
  <c r="AJ28" i="33"/>
  <c r="AI28" i="33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B28" i="33"/>
  <c r="BC27" i="33"/>
  <c r="BB27" i="33"/>
  <c r="BA27" i="33"/>
  <c r="AZ27" i="33"/>
  <c r="AY27" i="33"/>
  <c r="AX27" i="33"/>
  <c r="AW27" i="33"/>
  <c r="AV27" i="33"/>
  <c r="AU27" i="33"/>
  <c r="AT27" i="33"/>
  <c r="AS27" i="33"/>
  <c r="AR27" i="33"/>
  <c r="AQ27" i="33"/>
  <c r="AP27" i="33"/>
  <c r="AO27" i="33"/>
  <c r="AN27" i="33"/>
  <c r="AM27" i="33"/>
  <c r="AL27" i="33"/>
  <c r="AK27" i="33"/>
  <c r="AJ27" i="33"/>
  <c r="AI27" i="33"/>
  <c r="AH27" i="33"/>
  <c r="AG27" i="33"/>
  <c r="AF27" i="33"/>
  <c r="AE27" i="33"/>
  <c r="AD27" i="33"/>
  <c r="AC27" i="33"/>
  <c r="AB27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B27" i="33"/>
  <c r="BC26" i="33"/>
  <c r="BB26" i="33"/>
  <c r="BA26" i="33"/>
  <c r="AZ26" i="33"/>
  <c r="AY26" i="33"/>
  <c r="AX26" i="33"/>
  <c r="AW26" i="33"/>
  <c r="AV26" i="33"/>
  <c r="AU26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B26" i="33"/>
  <c r="BC25" i="33"/>
  <c r="BB25" i="33"/>
  <c r="BA25" i="33"/>
  <c r="AZ25" i="33"/>
  <c r="AY25" i="33"/>
  <c r="AX25" i="33"/>
  <c r="AW25" i="33"/>
  <c r="AV25" i="33"/>
  <c r="AU25" i="33"/>
  <c r="AT25" i="33"/>
  <c r="AS25" i="33"/>
  <c r="AR25" i="33"/>
  <c r="AQ25" i="33"/>
  <c r="AP25" i="33"/>
  <c r="AO25" i="33"/>
  <c r="AN25" i="33"/>
  <c r="AM25" i="33"/>
  <c r="AL25" i="33"/>
  <c r="AK25" i="33"/>
  <c r="AJ25" i="33"/>
  <c r="AI25" i="33"/>
  <c r="AH25" i="33"/>
  <c r="AG25" i="33"/>
  <c r="AF25" i="33"/>
  <c r="AE25" i="33"/>
  <c r="AD25" i="33"/>
  <c r="AC25" i="33"/>
  <c r="AB25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B25" i="33"/>
  <c r="BC23" i="33"/>
  <c r="BB23" i="33"/>
  <c r="BA23" i="33"/>
  <c r="AZ23" i="33"/>
  <c r="AY23" i="33"/>
  <c r="AX23" i="33"/>
  <c r="AW23" i="33"/>
  <c r="AV23" i="33"/>
  <c r="AU23" i="33"/>
  <c r="AT23" i="33"/>
  <c r="AS23" i="33"/>
  <c r="AR23" i="33"/>
  <c r="AQ23" i="33"/>
  <c r="AP23" i="33"/>
  <c r="AO23" i="33"/>
  <c r="AN23" i="33"/>
  <c r="AM23" i="33"/>
  <c r="AL23" i="33"/>
  <c r="AK23" i="33"/>
  <c r="AJ23" i="33"/>
  <c r="AI23" i="33"/>
  <c r="AH23" i="33"/>
  <c r="AG23" i="33"/>
  <c r="AF23" i="33"/>
  <c r="AE23" i="33"/>
  <c r="AD23" i="33"/>
  <c r="AC23" i="33"/>
  <c r="AB23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B23" i="33"/>
  <c r="BC22" i="33"/>
  <c r="BB22" i="33"/>
  <c r="BA22" i="33"/>
  <c r="BA46" i="33" s="1"/>
  <c r="BA48" i="33" s="1"/>
  <c r="AZ22" i="33"/>
  <c r="AY22" i="33"/>
  <c r="AX22" i="33"/>
  <c r="AW22" i="33"/>
  <c r="AW46" i="33" s="1"/>
  <c r="AW48" i="33" s="1"/>
  <c r="AV22" i="33"/>
  <c r="AU22" i="33"/>
  <c r="AT22" i="33"/>
  <c r="AS22" i="33"/>
  <c r="AS46" i="33" s="1"/>
  <c r="AS48" i="33" s="1"/>
  <c r="AR22" i="33"/>
  <c r="AQ22" i="33"/>
  <c r="AP22" i="33"/>
  <c r="AO22" i="33"/>
  <c r="AN22" i="33"/>
  <c r="AM22" i="33"/>
  <c r="AL22" i="33"/>
  <c r="AK22" i="33"/>
  <c r="AK46" i="33" s="1"/>
  <c r="AK48" i="33" s="1"/>
  <c r="AJ22" i="33"/>
  <c r="AI22" i="33"/>
  <c r="AH22" i="33"/>
  <c r="AG22" i="33"/>
  <c r="AG46" i="33" s="1"/>
  <c r="AG48" i="33" s="1"/>
  <c r="AF22" i="33"/>
  <c r="AE22" i="33"/>
  <c r="AD22" i="33"/>
  <c r="AC22" i="33"/>
  <c r="AC46" i="33" s="1"/>
  <c r="AC48" i="33" s="1"/>
  <c r="AB22" i="33"/>
  <c r="AA22" i="33"/>
  <c r="Z22" i="33"/>
  <c r="Y22" i="33"/>
  <c r="X22" i="33"/>
  <c r="W22" i="33"/>
  <c r="V22" i="33"/>
  <c r="U22" i="33"/>
  <c r="U46" i="33" s="1"/>
  <c r="U48" i="33" s="1"/>
  <c r="B71" i="33" s="1"/>
  <c r="T22" i="33"/>
  <c r="S22" i="33"/>
  <c r="R22" i="33"/>
  <c r="Q22" i="33"/>
  <c r="Q46" i="33" s="1"/>
  <c r="Q48" i="33" s="1"/>
  <c r="P22" i="33"/>
  <c r="O22" i="33"/>
  <c r="N22" i="33"/>
  <c r="M22" i="33"/>
  <c r="M46" i="33" s="1"/>
  <c r="M48" i="33" s="1"/>
  <c r="B63" i="33" s="1"/>
  <c r="L22" i="33"/>
  <c r="K22" i="33"/>
  <c r="J22" i="33"/>
  <c r="I22" i="33"/>
  <c r="H22" i="33"/>
  <c r="G22" i="33"/>
  <c r="F22" i="33"/>
  <c r="E22" i="33"/>
  <c r="E46" i="33" s="1"/>
  <c r="E48" i="33" s="1"/>
  <c r="D22" i="33"/>
  <c r="C22" i="33"/>
  <c r="B22" i="33"/>
  <c r="BC21" i="33"/>
  <c r="BB21" i="33"/>
  <c r="BA21" i="33"/>
  <c r="AZ21" i="33"/>
  <c r="AY21" i="33"/>
  <c r="AX21" i="33"/>
  <c r="AW21" i="33"/>
  <c r="AV21" i="33"/>
  <c r="AU21" i="33"/>
  <c r="AT21" i="33"/>
  <c r="AS21" i="33"/>
  <c r="AR21" i="33"/>
  <c r="AQ21" i="33"/>
  <c r="AP21" i="33"/>
  <c r="AO21" i="33"/>
  <c r="AN21" i="33"/>
  <c r="AM21" i="33"/>
  <c r="AL21" i="33"/>
  <c r="AK21" i="33"/>
  <c r="AJ21" i="33"/>
  <c r="AI21" i="33"/>
  <c r="AH21" i="33"/>
  <c r="AG21" i="33"/>
  <c r="AF21" i="33"/>
  <c r="AE21" i="33"/>
  <c r="AD21" i="33"/>
  <c r="AC21" i="33"/>
  <c r="AB21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B21" i="33"/>
  <c r="BC20" i="33"/>
  <c r="BB20" i="33"/>
  <c r="BA20" i="33"/>
  <c r="AZ20" i="33"/>
  <c r="AY20" i="33"/>
  <c r="AX20" i="33"/>
  <c r="AW20" i="33"/>
  <c r="AV20" i="33"/>
  <c r="AU20" i="33"/>
  <c r="AT20" i="33"/>
  <c r="AS20" i="33"/>
  <c r="AR20" i="33"/>
  <c r="AQ20" i="33"/>
  <c r="AP20" i="33"/>
  <c r="AO20" i="33"/>
  <c r="AN20" i="33"/>
  <c r="AM20" i="33"/>
  <c r="AL20" i="33"/>
  <c r="AK20" i="33"/>
  <c r="AJ20" i="33"/>
  <c r="AI20" i="33"/>
  <c r="AH20" i="33"/>
  <c r="AG20" i="33"/>
  <c r="AF20" i="33"/>
  <c r="AE20" i="33"/>
  <c r="AD20" i="33"/>
  <c r="AC20" i="33"/>
  <c r="AB20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BC19" i="33"/>
  <c r="BC46" i="33" s="1"/>
  <c r="BB19" i="33"/>
  <c r="BB46" i="33" s="1"/>
  <c r="BB48" i="33" s="1"/>
  <c r="BA19" i="33"/>
  <c r="AZ19" i="33"/>
  <c r="AZ46" i="33" s="1"/>
  <c r="AZ48" i="33" s="1"/>
  <c r="AY19" i="33"/>
  <c r="AY46" i="33" s="1"/>
  <c r="AY48" i="33" s="1"/>
  <c r="AX19" i="33"/>
  <c r="AX46" i="33" s="1"/>
  <c r="AX48" i="33" s="1"/>
  <c r="AW19" i="33"/>
  <c r="AV19" i="33"/>
  <c r="AV46" i="33" s="1"/>
  <c r="AV48" i="33" s="1"/>
  <c r="AU19" i="33"/>
  <c r="AU46" i="33" s="1"/>
  <c r="AT19" i="33"/>
  <c r="AT46" i="33" s="1"/>
  <c r="AT48" i="33" s="1"/>
  <c r="AS19" i="33"/>
  <c r="AR19" i="33"/>
  <c r="AR46" i="33" s="1"/>
  <c r="AR48" i="33" s="1"/>
  <c r="AQ19" i="33"/>
  <c r="AQ46" i="33" s="1"/>
  <c r="AP19" i="33"/>
  <c r="AP46" i="33" s="1"/>
  <c r="AP48" i="33" s="1"/>
  <c r="AO19" i="33"/>
  <c r="AN19" i="33"/>
  <c r="AN46" i="33" s="1"/>
  <c r="AN48" i="33" s="1"/>
  <c r="AM19" i="33"/>
  <c r="AM46" i="33" s="1"/>
  <c r="AL19" i="33"/>
  <c r="AL46" i="33" s="1"/>
  <c r="AL48" i="33" s="1"/>
  <c r="AK19" i="33"/>
  <c r="AJ19" i="33"/>
  <c r="AJ46" i="33" s="1"/>
  <c r="AJ48" i="33" s="1"/>
  <c r="AI19" i="33"/>
  <c r="AI46" i="33" s="1"/>
  <c r="AI48" i="33" s="1"/>
  <c r="AH19" i="33"/>
  <c r="AH46" i="33" s="1"/>
  <c r="AH48" i="33" s="1"/>
  <c r="AG19" i="33"/>
  <c r="AF19" i="33"/>
  <c r="AF46" i="33" s="1"/>
  <c r="AF48" i="33" s="1"/>
  <c r="AE19" i="33"/>
  <c r="AE46" i="33" s="1"/>
  <c r="AD19" i="33"/>
  <c r="AD46" i="33" s="1"/>
  <c r="AD48" i="33" s="1"/>
  <c r="AC19" i="33"/>
  <c r="AB19" i="33"/>
  <c r="AB46" i="33" s="1"/>
  <c r="AB48" i="33" s="1"/>
  <c r="AA19" i="33"/>
  <c r="AA46" i="33" s="1"/>
  <c r="Z19" i="33"/>
  <c r="Z46" i="33" s="1"/>
  <c r="Z48" i="33" s="1"/>
  <c r="Y19" i="33"/>
  <c r="X19" i="33"/>
  <c r="X46" i="33" s="1"/>
  <c r="X48" i="33" s="1"/>
  <c r="W19" i="33"/>
  <c r="W46" i="33" s="1"/>
  <c r="V19" i="33"/>
  <c r="V46" i="33" s="1"/>
  <c r="V48" i="33" s="1"/>
  <c r="U19" i="33"/>
  <c r="T19" i="33"/>
  <c r="T46" i="33" s="1"/>
  <c r="T48" i="33" s="1"/>
  <c r="B70" i="33" s="1"/>
  <c r="S19" i="33"/>
  <c r="S46" i="33" s="1"/>
  <c r="S48" i="33" s="1"/>
  <c r="R19" i="33"/>
  <c r="R46" i="33" s="1"/>
  <c r="R48" i="33" s="1"/>
  <c r="Q19" i="33"/>
  <c r="P19" i="33"/>
  <c r="P46" i="33" s="1"/>
  <c r="P48" i="33" s="1"/>
  <c r="O19" i="33"/>
  <c r="O46" i="33" s="1"/>
  <c r="N19" i="33"/>
  <c r="N46" i="33" s="1"/>
  <c r="N48" i="33" s="1"/>
  <c r="B68" i="33" s="1"/>
  <c r="M19" i="33"/>
  <c r="L19" i="33"/>
  <c r="L46" i="33" s="1"/>
  <c r="L48" i="33" s="1"/>
  <c r="K19" i="33"/>
  <c r="K46" i="33" s="1"/>
  <c r="J19" i="33"/>
  <c r="J46" i="33" s="1"/>
  <c r="J48" i="33" s="1"/>
  <c r="I19" i="33"/>
  <c r="H19" i="33"/>
  <c r="H46" i="33" s="1"/>
  <c r="H48" i="33" s="1"/>
  <c r="G19" i="33"/>
  <c r="G46" i="33" s="1"/>
  <c r="F19" i="33"/>
  <c r="F46" i="33" s="1"/>
  <c r="F48" i="33" s="1"/>
  <c r="E19" i="33"/>
  <c r="D19" i="33"/>
  <c r="D46" i="33" s="1"/>
  <c r="D48" i="33" s="1"/>
  <c r="C19" i="33"/>
  <c r="C46" i="33" s="1"/>
  <c r="C48" i="33" s="1"/>
  <c r="B19" i="33"/>
  <c r="B46" i="33" s="1"/>
  <c r="B48" i="33" s="1"/>
  <c r="BC18" i="33"/>
  <c r="BB18" i="33"/>
  <c r="BA18" i="33"/>
  <c r="AZ18" i="33"/>
  <c r="AY18" i="33"/>
  <c r="AX18" i="33"/>
  <c r="AW18" i="33"/>
  <c r="AV18" i="33"/>
  <c r="AU18" i="33"/>
  <c r="AT18" i="33"/>
  <c r="AS18" i="33"/>
  <c r="AR18" i="33"/>
  <c r="AQ18" i="33"/>
  <c r="AP18" i="33"/>
  <c r="AO18" i="33"/>
  <c r="AN18" i="33"/>
  <c r="AM18" i="33"/>
  <c r="AL18" i="33"/>
  <c r="AK18" i="33"/>
  <c r="AJ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B18" i="33"/>
  <c r="BC17" i="33"/>
  <c r="BB17" i="33"/>
  <c r="BA17" i="33"/>
  <c r="AZ17" i="33"/>
  <c r="AY17" i="33"/>
  <c r="AX17" i="33"/>
  <c r="AW17" i="33"/>
  <c r="AV17" i="33"/>
  <c r="AU17" i="33"/>
  <c r="AT17" i="33"/>
  <c r="AS17" i="33"/>
  <c r="AR17" i="33"/>
  <c r="AQ17" i="33"/>
  <c r="AP17" i="33"/>
  <c r="AO17" i="33"/>
  <c r="AN17" i="33"/>
  <c r="AM17" i="33"/>
  <c r="AL17" i="33"/>
  <c r="AK17" i="33"/>
  <c r="AJ17" i="33"/>
  <c r="AI17" i="33"/>
  <c r="AH17" i="33"/>
  <c r="AG17" i="33"/>
  <c r="AF17" i="33"/>
  <c r="AE17" i="33"/>
  <c r="AD17" i="33"/>
  <c r="AC17" i="33"/>
  <c r="AB17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BC16" i="33"/>
  <c r="BB16" i="33"/>
  <c r="BA16" i="33"/>
  <c r="AZ16" i="33"/>
  <c r="AY16" i="33"/>
  <c r="AX16" i="33"/>
  <c r="AW16" i="33"/>
  <c r="AV16" i="33"/>
  <c r="AU16" i="33"/>
  <c r="AT16" i="33"/>
  <c r="AS16" i="33"/>
  <c r="AR16" i="33"/>
  <c r="AQ16" i="33"/>
  <c r="AP16" i="33"/>
  <c r="AO16" i="33"/>
  <c r="AN16" i="33"/>
  <c r="AM16" i="33"/>
  <c r="AL16" i="33"/>
  <c r="AK16" i="33"/>
  <c r="AJ16" i="33"/>
  <c r="AI16" i="33"/>
  <c r="AH16" i="33"/>
  <c r="AG16" i="33"/>
  <c r="AF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BC15" i="33"/>
  <c r="BB15" i="33"/>
  <c r="BA15" i="33"/>
  <c r="AZ15" i="33"/>
  <c r="AY15" i="33"/>
  <c r="AX15" i="33"/>
  <c r="AW15" i="33"/>
  <c r="AV15" i="33"/>
  <c r="AU15" i="33"/>
  <c r="AT15" i="33"/>
  <c r="AS15" i="33"/>
  <c r="AR15" i="33"/>
  <c r="AQ15" i="33"/>
  <c r="AP15" i="33"/>
  <c r="AO15" i="33"/>
  <c r="AN15" i="33"/>
  <c r="AM15" i="33"/>
  <c r="AL15" i="33"/>
  <c r="AK15" i="33"/>
  <c r="AJ15" i="33"/>
  <c r="AI15" i="33"/>
  <c r="AH15" i="33"/>
  <c r="AG15" i="33"/>
  <c r="AF15" i="33"/>
  <c r="AE15" i="33"/>
  <c r="AD15" i="33"/>
  <c r="AC15" i="33"/>
  <c r="AB15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BC14" i="33"/>
  <c r="BB14" i="33"/>
  <c r="BA14" i="33"/>
  <c r="AZ14" i="33"/>
  <c r="AY14" i="33"/>
  <c r="AX14" i="33"/>
  <c r="AW14" i="33"/>
  <c r="AV14" i="33"/>
  <c r="AU14" i="33"/>
  <c r="AT14" i="33"/>
  <c r="AS14" i="33"/>
  <c r="AR14" i="33"/>
  <c r="AQ14" i="33"/>
  <c r="AP14" i="33"/>
  <c r="AO14" i="33"/>
  <c r="AN14" i="33"/>
  <c r="AM14" i="33"/>
  <c r="AL14" i="33"/>
  <c r="AK14" i="33"/>
  <c r="AJ14" i="33"/>
  <c r="AI14" i="33"/>
  <c r="AH14" i="33"/>
  <c r="AG14" i="33"/>
  <c r="AF14" i="33"/>
  <c r="AE14" i="33"/>
  <c r="AD14" i="33"/>
  <c r="AC14" i="33"/>
  <c r="AB14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BC13" i="33"/>
  <c r="BB13" i="33"/>
  <c r="BA13" i="33"/>
  <c r="AZ13" i="33"/>
  <c r="AY13" i="33"/>
  <c r="AX13" i="33"/>
  <c r="AW13" i="33"/>
  <c r="AV13" i="33"/>
  <c r="AU13" i="33"/>
  <c r="AT13" i="33"/>
  <c r="AS13" i="33"/>
  <c r="AR13" i="33"/>
  <c r="AQ13" i="33"/>
  <c r="AP13" i="33"/>
  <c r="AO13" i="33"/>
  <c r="AN13" i="33"/>
  <c r="AM13" i="33"/>
  <c r="AL13" i="33"/>
  <c r="AK13" i="33"/>
  <c r="AJ13" i="33"/>
  <c r="AI13" i="33"/>
  <c r="AH13" i="33"/>
  <c r="AG13" i="33"/>
  <c r="AF13" i="33"/>
  <c r="AE13" i="33"/>
  <c r="AD13" i="33"/>
  <c r="AC13" i="33"/>
  <c r="AB13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B13" i="33"/>
  <c r="BC12" i="33"/>
  <c r="BB12" i="33"/>
  <c r="BA12" i="33"/>
  <c r="AZ12" i="33"/>
  <c r="AY12" i="33"/>
  <c r="AX12" i="33"/>
  <c r="AW12" i="33"/>
  <c r="AV12" i="33"/>
  <c r="AU12" i="33"/>
  <c r="AT12" i="33"/>
  <c r="AS12" i="33"/>
  <c r="AR12" i="33"/>
  <c r="AQ12" i="33"/>
  <c r="AP12" i="33"/>
  <c r="AO12" i="33"/>
  <c r="AN12" i="33"/>
  <c r="AM12" i="33"/>
  <c r="AL12" i="33"/>
  <c r="AK12" i="33"/>
  <c r="AJ12" i="33"/>
  <c r="AI12" i="33"/>
  <c r="AH12" i="33"/>
  <c r="AG12" i="33"/>
  <c r="AF12" i="33"/>
  <c r="AE12" i="33"/>
  <c r="AD12" i="33"/>
  <c r="AC12" i="33"/>
  <c r="AB12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B12" i="33"/>
  <c r="BC11" i="33"/>
  <c r="BB11" i="33"/>
  <c r="BA11" i="33"/>
  <c r="AZ11" i="33"/>
  <c r="AY11" i="33"/>
  <c r="AX11" i="33"/>
  <c r="AW11" i="33"/>
  <c r="AV11" i="33"/>
  <c r="AU11" i="33"/>
  <c r="AT11" i="33"/>
  <c r="AS11" i="33"/>
  <c r="AR11" i="33"/>
  <c r="AQ11" i="33"/>
  <c r="AP11" i="33"/>
  <c r="AO11" i="33"/>
  <c r="AN11" i="33"/>
  <c r="AM11" i="33"/>
  <c r="AL11" i="33"/>
  <c r="AK11" i="33"/>
  <c r="AJ11" i="33"/>
  <c r="AI11" i="33"/>
  <c r="AH11" i="33"/>
  <c r="AG11" i="33"/>
  <c r="AF11" i="33"/>
  <c r="AE11" i="33"/>
  <c r="AD11" i="33"/>
  <c r="AC11" i="33"/>
  <c r="AB11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B11" i="33"/>
  <c r="BC10" i="33"/>
  <c r="BB10" i="33"/>
  <c r="BA10" i="33"/>
  <c r="AZ10" i="33"/>
  <c r="AY10" i="33"/>
  <c r="AX10" i="33"/>
  <c r="AW10" i="33"/>
  <c r="AV10" i="33"/>
  <c r="AU10" i="33"/>
  <c r="AT10" i="33"/>
  <c r="AS10" i="33"/>
  <c r="AR10" i="33"/>
  <c r="AQ10" i="33"/>
  <c r="AP10" i="33"/>
  <c r="AO10" i="33"/>
  <c r="AN10" i="33"/>
  <c r="AM10" i="33"/>
  <c r="AL10" i="33"/>
  <c r="AK10" i="33"/>
  <c r="AJ10" i="33"/>
  <c r="AI10" i="33"/>
  <c r="AH10" i="33"/>
  <c r="AG10" i="33"/>
  <c r="AF10" i="33"/>
  <c r="AE10" i="33"/>
  <c r="AD10" i="33"/>
  <c r="AC10" i="33"/>
  <c r="AB10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B10" i="33"/>
  <c r="BC9" i="33"/>
  <c r="BB9" i="33"/>
  <c r="BA9" i="33"/>
  <c r="AZ9" i="33"/>
  <c r="AY9" i="33"/>
  <c r="AX9" i="33"/>
  <c r="AW9" i="33"/>
  <c r="AV9" i="33"/>
  <c r="AU9" i="33"/>
  <c r="AT9" i="33"/>
  <c r="AS9" i="33"/>
  <c r="AR9" i="33"/>
  <c r="AQ9" i="33"/>
  <c r="AP9" i="33"/>
  <c r="AO9" i="33"/>
  <c r="AN9" i="33"/>
  <c r="AM9" i="33"/>
  <c r="AL9" i="33"/>
  <c r="AK9" i="33"/>
  <c r="AJ9" i="33"/>
  <c r="AI9" i="33"/>
  <c r="AH9" i="33"/>
  <c r="AG9" i="33"/>
  <c r="AF9" i="33"/>
  <c r="AE9" i="33"/>
  <c r="AD9" i="33"/>
  <c r="AC9" i="33"/>
  <c r="AB9" i="33"/>
  <c r="AA9" i="33"/>
  <c r="Z9" i="33"/>
  <c r="Y9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G9" i="33"/>
  <c r="F9" i="33"/>
  <c r="E9" i="33"/>
  <c r="D9" i="33"/>
  <c r="C9" i="33"/>
  <c r="B9" i="33"/>
  <c r="BC7" i="33"/>
  <c r="BB7" i="33"/>
  <c r="BA7" i="33"/>
  <c r="AZ7" i="33"/>
  <c r="AY7" i="33"/>
  <c r="AX7" i="33"/>
  <c r="AW7" i="33"/>
  <c r="AV7" i="33"/>
  <c r="AU7" i="33"/>
  <c r="AT7" i="3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B7" i="33"/>
  <c r="BC6" i="33"/>
  <c r="BB6" i="33"/>
  <c r="BA6" i="33"/>
  <c r="AZ6" i="33"/>
  <c r="AY6" i="33"/>
  <c r="AX6" i="33"/>
  <c r="AW6" i="33"/>
  <c r="AV6" i="33"/>
  <c r="AU6" i="33"/>
  <c r="AT6" i="33"/>
  <c r="AS6" i="33"/>
  <c r="AR6" i="33"/>
  <c r="AQ6" i="33"/>
  <c r="AP6" i="33"/>
  <c r="AO6" i="33"/>
  <c r="AN6" i="33"/>
  <c r="AM6" i="33"/>
  <c r="AL6" i="33"/>
  <c r="AK6" i="33"/>
  <c r="AJ6" i="33"/>
  <c r="AI6" i="33"/>
  <c r="AH6" i="33"/>
  <c r="AG6" i="33"/>
  <c r="AF6" i="33"/>
  <c r="AE6" i="33"/>
  <c r="AD6" i="33"/>
  <c r="AC6" i="33"/>
  <c r="AB6" i="33"/>
  <c r="AA6" i="33"/>
  <c r="Z6" i="33"/>
  <c r="Y6" i="33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G6" i="33"/>
  <c r="F6" i="33"/>
  <c r="E6" i="33"/>
  <c r="D6" i="33"/>
  <c r="C6" i="33"/>
  <c r="B6" i="33"/>
  <c r="BC5" i="33"/>
  <c r="BB5" i="33"/>
  <c r="BA5" i="33"/>
  <c r="AZ5" i="33"/>
  <c r="AY5" i="33"/>
  <c r="AX5" i="33"/>
  <c r="AW5" i="33"/>
  <c r="AV5" i="33"/>
  <c r="AU5" i="33"/>
  <c r="AT5" i="33"/>
  <c r="AS5" i="33"/>
  <c r="AR5" i="33"/>
  <c r="AQ5" i="33"/>
  <c r="AP5" i="33"/>
  <c r="AO5" i="33"/>
  <c r="AN5" i="33"/>
  <c r="AM5" i="33"/>
  <c r="AL5" i="33"/>
  <c r="AK5" i="33"/>
  <c r="AJ5" i="33"/>
  <c r="AI5" i="33"/>
  <c r="AH5" i="33"/>
  <c r="AG5" i="33"/>
  <c r="AF5" i="33"/>
  <c r="AE5" i="33"/>
  <c r="AD5" i="33"/>
  <c r="AC5" i="33"/>
  <c r="AB5" i="33"/>
  <c r="AA5" i="33"/>
  <c r="Z5" i="33"/>
  <c r="Y5" i="33"/>
  <c r="X5" i="33"/>
  <c r="W5" i="33"/>
  <c r="V5" i="33"/>
  <c r="U5" i="33"/>
  <c r="T5" i="33"/>
  <c r="S5" i="33"/>
  <c r="R5" i="33"/>
  <c r="Q5" i="33"/>
  <c r="P5" i="33"/>
  <c r="O5" i="33"/>
  <c r="N5" i="33"/>
  <c r="M5" i="33"/>
  <c r="L5" i="33"/>
  <c r="K5" i="33"/>
  <c r="J5" i="33"/>
  <c r="I5" i="33"/>
  <c r="H5" i="33"/>
  <c r="G5" i="33"/>
  <c r="F5" i="33"/>
  <c r="E5" i="33"/>
  <c r="D5" i="33"/>
  <c r="C5" i="33"/>
  <c r="B5" i="33"/>
  <c r="B65" i="33" l="1"/>
  <c r="B64" i="33"/>
  <c r="K48" i="33"/>
  <c r="B59" i="33" s="1"/>
  <c r="AA48" i="33"/>
  <c r="AQ48" i="33"/>
  <c r="G48" i="33"/>
  <c r="B58" i="33" s="1"/>
  <c r="O48" i="33"/>
  <c r="W48" i="33"/>
  <c r="AE48" i="33"/>
  <c r="AM48" i="33"/>
  <c r="AU48" i="33"/>
  <c r="BC48" i="33"/>
  <c r="B57" i="33"/>
  <c r="B60" i="33" l="1"/>
  <c r="C59" i="33" s="1"/>
  <c r="C58" i="33"/>
  <c r="C57" i="33" l="1"/>
  <c r="C60" i="33" s="1"/>
  <c r="J23" i="19" l="1"/>
  <c r="J21" i="19"/>
  <c r="J16" i="19"/>
  <c r="J9" i="19"/>
  <c r="AE6" i="31" l="1"/>
  <c r="F305" i="29" l="1"/>
  <c r="F304" i="29"/>
  <c r="F303" i="29"/>
  <c r="F302" i="29"/>
  <c r="F301" i="29"/>
  <c r="F300" i="29"/>
  <c r="F299" i="29"/>
  <c r="U26" i="31" l="1"/>
  <c r="D51" i="19" s="1"/>
  <c r="U25" i="31"/>
  <c r="D50" i="19" s="1"/>
  <c r="U24" i="31"/>
  <c r="D49" i="19" s="1"/>
  <c r="U23" i="31"/>
  <c r="D48" i="19" s="1"/>
  <c r="U22" i="31"/>
  <c r="D47" i="19" s="1"/>
  <c r="U21" i="31"/>
  <c r="D46" i="19" s="1"/>
  <c r="U20" i="31"/>
  <c r="D45" i="19" s="1"/>
  <c r="U19" i="31"/>
  <c r="D44" i="19" s="1"/>
  <c r="U18" i="31"/>
  <c r="D43" i="19" s="1"/>
  <c r="U17" i="31"/>
  <c r="D42" i="19" s="1"/>
  <c r="U16" i="31"/>
  <c r="D41" i="19" s="1"/>
  <c r="U15" i="31"/>
  <c r="D40" i="19" s="1"/>
  <c r="U14" i="31"/>
  <c r="D39" i="19" s="1"/>
  <c r="U13" i="31"/>
  <c r="D38" i="19" s="1"/>
  <c r="U12" i="31"/>
  <c r="D37" i="19" s="1"/>
  <c r="U11" i="31"/>
  <c r="D36" i="19" s="1"/>
  <c r="U10" i="31"/>
  <c r="D35" i="19" s="1"/>
  <c r="U9" i="31"/>
  <c r="D34" i="19" s="1"/>
  <c r="U8" i="31"/>
  <c r="D33" i="19" s="1"/>
  <c r="U7" i="31"/>
  <c r="D32" i="19" s="1"/>
  <c r="U6" i="31"/>
  <c r="D31" i="19" s="1"/>
  <c r="U5" i="31"/>
  <c r="D30" i="19" s="1"/>
  <c r="J4" i="31"/>
  <c r="U4" i="31" l="1"/>
  <c r="AE9" i="31"/>
  <c r="AE8" i="31"/>
  <c r="AE7" i="31"/>
  <c r="O22" i="31" l="1"/>
  <c r="D21" i="19" s="1"/>
  <c r="R16" i="31"/>
  <c r="G15" i="19" s="1"/>
  <c r="Q18" i="31"/>
  <c r="F17" i="19" s="1"/>
  <c r="P9" i="31"/>
  <c r="R25" i="31"/>
  <c r="G24" i="19" s="1"/>
  <c r="Q25" i="31"/>
  <c r="F24" i="19" s="1"/>
  <c r="Q6" i="31"/>
  <c r="F5" i="19" s="1"/>
  <c r="P6" i="31"/>
  <c r="R5" i="31"/>
  <c r="Q5" i="31"/>
  <c r="P5" i="31"/>
  <c r="O5" i="31"/>
  <c r="N5" i="31"/>
  <c r="O19" i="31"/>
  <c r="Q20" i="31"/>
  <c r="F19" i="19" s="1"/>
  <c r="O15" i="31"/>
  <c r="D14" i="19" s="1"/>
  <c r="P23" i="31"/>
  <c r="O23" i="31"/>
  <c r="D22" i="19" s="1"/>
  <c r="O11" i="31"/>
  <c r="Q13" i="31"/>
  <c r="F12" i="19" s="1"/>
  <c r="R10" i="31"/>
  <c r="G9" i="19" s="1"/>
  <c r="P8" i="31"/>
  <c r="O8" i="31"/>
  <c r="D7" i="19" s="1"/>
  <c r="Q14" i="31"/>
  <c r="F13" i="19" s="1"/>
  <c r="P24" i="31"/>
  <c r="H4" i="31"/>
  <c r="N21" i="31" l="1"/>
  <c r="O7" i="31"/>
  <c r="D6" i="19" s="1"/>
  <c r="N11" i="31"/>
  <c r="R11" i="31"/>
  <c r="G10" i="19" s="1"/>
  <c r="Q12" i="31"/>
  <c r="F11" i="19" s="1"/>
  <c r="C4" i="19"/>
  <c r="S5" i="31"/>
  <c r="N25" i="31"/>
  <c r="N17" i="31"/>
  <c r="R17" i="31"/>
  <c r="G16" i="19" s="1"/>
  <c r="Q26" i="31"/>
  <c r="F25" i="19" s="1"/>
  <c r="P7" i="31"/>
  <c r="N12" i="31"/>
  <c r="R12" i="31"/>
  <c r="G11" i="19" s="1"/>
  <c r="P19" i="31"/>
  <c r="D4" i="19"/>
  <c r="Q21" i="31"/>
  <c r="F20" i="19" s="1"/>
  <c r="G4" i="31"/>
  <c r="N10" i="31"/>
  <c r="R21" i="31"/>
  <c r="G20" i="19" s="1"/>
  <c r="G4" i="19"/>
  <c r="F4" i="31"/>
  <c r="O24" i="31"/>
  <c r="E4" i="31"/>
  <c r="P14" i="31"/>
  <c r="Q10" i="31"/>
  <c r="F9" i="19" s="1"/>
  <c r="P13" i="31"/>
  <c r="O17" i="31"/>
  <c r="N26" i="31"/>
  <c r="R26" i="31"/>
  <c r="G25" i="19" s="1"/>
  <c r="N15" i="31"/>
  <c r="R15" i="31"/>
  <c r="G14" i="19" s="1"/>
  <c r="P20" i="31"/>
  <c r="O9" i="31"/>
  <c r="P18" i="31"/>
  <c r="N16" i="31"/>
  <c r="O16" i="31"/>
  <c r="P22" i="31"/>
  <c r="O21" i="31"/>
  <c r="R14" i="31"/>
  <c r="G13" i="19" s="1"/>
  <c r="O10" i="31"/>
  <c r="D9" i="19" s="1"/>
  <c r="R13" i="31"/>
  <c r="G12" i="19" s="1"/>
  <c r="P17" i="31"/>
  <c r="Q7" i="31"/>
  <c r="F6" i="19" s="1"/>
  <c r="O12" i="31"/>
  <c r="Q23" i="31"/>
  <c r="F22" i="19" s="1"/>
  <c r="R20" i="31"/>
  <c r="G19" i="19" s="1"/>
  <c r="Q19" i="31"/>
  <c r="F18" i="19" s="1"/>
  <c r="N6" i="31"/>
  <c r="R6" i="31"/>
  <c r="G5" i="19" s="1"/>
  <c r="O25" i="31"/>
  <c r="Q9" i="31"/>
  <c r="F8" i="19" s="1"/>
  <c r="N18" i="31"/>
  <c r="R18" i="31"/>
  <c r="G17" i="19" s="1"/>
  <c r="P16" i="31"/>
  <c r="Q22" i="31"/>
  <c r="F21" i="19" s="1"/>
  <c r="Q24" i="31"/>
  <c r="F23" i="19" s="1"/>
  <c r="N14" i="31"/>
  <c r="Q8" i="31"/>
  <c r="F7" i="19" s="1"/>
  <c r="N13" i="31"/>
  <c r="O26" i="31"/>
  <c r="P11" i="31"/>
  <c r="P15" i="31"/>
  <c r="N20" i="31"/>
  <c r="P21" i="31"/>
  <c r="N24" i="31"/>
  <c r="R24" i="31"/>
  <c r="G23" i="19" s="1"/>
  <c r="O14" i="31"/>
  <c r="N8" i="31"/>
  <c r="R8" i="31"/>
  <c r="G7" i="19" s="1"/>
  <c r="P10" i="31"/>
  <c r="O13" i="31"/>
  <c r="Q17" i="31"/>
  <c r="F16" i="19" s="1"/>
  <c r="P26" i="31"/>
  <c r="E25" i="19" s="1"/>
  <c r="N7" i="31"/>
  <c r="R7" i="31"/>
  <c r="G6" i="19" s="1"/>
  <c r="Q11" i="31"/>
  <c r="F10" i="19" s="1"/>
  <c r="P12" i="31"/>
  <c r="N23" i="31"/>
  <c r="R23" i="31"/>
  <c r="G22" i="19" s="1"/>
  <c r="Q15" i="31"/>
  <c r="F14" i="19" s="1"/>
  <c r="O20" i="31"/>
  <c r="N19" i="31"/>
  <c r="R19" i="31"/>
  <c r="G18" i="19" s="1"/>
  <c r="F4" i="19"/>
  <c r="O6" i="31"/>
  <c r="D5" i="19" s="1"/>
  <c r="P25" i="31"/>
  <c r="N9" i="31"/>
  <c r="R9" i="31"/>
  <c r="G8" i="19" s="1"/>
  <c r="O18" i="31"/>
  <c r="Q16" i="31"/>
  <c r="F15" i="19" s="1"/>
  <c r="N22" i="31"/>
  <c r="R22" i="31"/>
  <c r="G21" i="19" s="1"/>
  <c r="D4" i="31"/>
  <c r="I4" i="31" s="1"/>
  <c r="C30" i="19" l="1"/>
  <c r="C18" i="15"/>
  <c r="P4" i="31"/>
  <c r="S7" i="31"/>
  <c r="C6" i="19"/>
  <c r="S8" i="31"/>
  <c r="C7" i="19"/>
  <c r="S25" i="31"/>
  <c r="C24" i="19"/>
  <c r="S22" i="31"/>
  <c r="C21" i="19"/>
  <c r="S9" i="31"/>
  <c r="C8" i="19"/>
  <c r="Q4" i="31"/>
  <c r="S23" i="31"/>
  <c r="C22" i="19"/>
  <c r="S24" i="31"/>
  <c r="C23" i="19"/>
  <c r="S13" i="31"/>
  <c r="C12" i="19"/>
  <c r="S18" i="31"/>
  <c r="C17" i="19"/>
  <c r="S6" i="31"/>
  <c r="C5" i="19"/>
  <c r="S26" i="31"/>
  <c r="C25" i="19"/>
  <c r="R4" i="31"/>
  <c r="O4" i="31"/>
  <c r="S12" i="31"/>
  <c r="C11" i="19"/>
  <c r="S15" i="31"/>
  <c r="C14" i="19"/>
  <c r="S14" i="31"/>
  <c r="C13" i="19"/>
  <c r="S17" i="31"/>
  <c r="C16" i="19"/>
  <c r="S21" i="31"/>
  <c r="C20" i="19"/>
  <c r="S19" i="31"/>
  <c r="C18" i="19"/>
  <c r="S20" i="31"/>
  <c r="C19" i="19"/>
  <c r="S16" i="31"/>
  <c r="C15" i="19"/>
  <c r="S10" i="31"/>
  <c r="C9" i="19"/>
  <c r="N4" i="31"/>
  <c r="S4" i="31" s="1"/>
  <c r="S11" i="31"/>
  <c r="C10" i="19"/>
  <c r="F295" i="29"/>
  <c r="F287" i="29"/>
  <c r="F243" i="29"/>
  <c r="F171" i="29"/>
  <c r="F159" i="29"/>
  <c r="F139" i="29"/>
  <c r="F135" i="29"/>
  <c r="F127" i="29"/>
  <c r="F108" i="29"/>
  <c r="F88" i="29"/>
  <c r="F83" i="29"/>
  <c r="F75" i="29"/>
  <c r="F71" i="29"/>
  <c r="F63" i="29"/>
  <c r="F24" i="29"/>
  <c r="A2" i="29"/>
  <c r="A2" i="11"/>
  <c r="F288" i="11"/>
  <c r="F156" i="11"/>
  <c r="F144" i="11"/>
  <c r="F140" i="11"/>
  <c r="F76" i="11"/>
  <c r="F62" i="11"/>
  <c r="C41" i="19" l="1"/>
  <c r="C29" i="15"/>
  <c r="C44" i="19"/>
  <c r="C32" i="15"/>
  <c r="C42" i="19"/>
  <c r="C30" i="15"/>
  <c r="C40" i="19"/>
  <c r="C28" i="15"/>
  <c r="C31" i="19"/>
  <c r="C19" i="15"/>
  <c r="C38" i="19"/>
  <c r="C26" i="15"/>
  <c r="C48" i="19"/>
  <c r="C36" i="15"/>
  <c r="C47" i="19"/>
  <c r="C35" i="15"/>
  <c r="C33" i="19"/>
  <c r="C21" i="15"/>
  <c r="C35" i="19"/>
  <c r="C23" i="15"/>
  <c r="C45" i="19"/>
  <c r="C33" i="15"/>
  <c r="C46" i="19"/>
  <c r="C34" i="15"/>
  <c r="C39" i="19"/>
  <c r="C27" i="15"/>
  <c r="C37" i="19"/>
  <c r="C25" i="15"/>
  <c r="C51" i="19"/>
  <c r="C39" i="15"/>
  <c r="C43" i="19"/>
  <c r="C31" i="15"/>
  <c r="C49" i="19"/>
  <c r="C37" i="15"/>
  <c r="C36" i="19"/>
  <c r="C24" i="15"/>
  <c r="C34" i="19"/>
  <c r="C22" i="15"/>
  <c r="C50" i="19"/>
  <c r="C38" i="15"/>
  <c r="C32" i="19"/>
  <c r="C20" i="15"/>
  <c r="F87" i="11"/>
  <c r="F95" i="11"/>
  <c r="F115" i="11"/>
  <c r="F28" i="29"/>
  <c r="F44" i="29"/>
  <c r="F112" i="29"/>
  <c r="F196" i="29"/>
  <c r="F216" i="29"/>
  <c r="F79" i="11"/>
  <c r="F83" i="11"/>
  <c r="F91" i="11"/>
  <c r="F99" i="11"/>
  <c r="F103" i="11"/>
  <c r="F107" i="11"/>
  <c r="F123" i="11"/>
  <c r="F14" i="11"/>
  <c r="F188" i="11"/>
  <c r="F192" i="11"/>
  <c r="F208" i="11"/>
  <c r="F214" i="11"/>
  <c r="F216" i="11"/>
  <c r="F218" i="11"/>
  <c r="F220" i="11"/>
  <c r="F224" i="11"/>
  <c r="F284" i="11"/>
  <c r="F89" i="29"/>
  <c r="F91" i="29"/>
  <c r="F97" i="29"/>
  <c r="F99" i="29"/>
  <c r="F236" i="11"/>
  <c r="F240" i="11"/>
  <c r="F272" i="11"/>
  <c r="F300" i="11"/>
  <c r="F31" i="29"/>
  <c r="F47" i="29"/>
  <c r="F100" i="29"/>
  <c r="F116" i="29"/>
  <c r="F118" i="29"/>
  <c r="F120" i="29"/>
  <c r="F140" i="29"/>
  <c r="F152" i="29"/>
  <c r="F156" i="29"/>
  <c r="F158" i="29"/>
  <c r="F160" i="29"/>
  <c r="F166" i="29"/>
  <c r="F168" i="29"/>
  <c r="F170" i="29"/>
  <c r="F172" i="29"/>
  <c r="F180" i="29"/>
  <c r="F182" i="29"/>
  <c r="F184" i="29"/>
  <c r="F236" i="29"/>
  <c r="F244" i="29"/>
  <c r="F248" i="29"/>
  <c r="F252" i="29"/>
  <c r="F254" i="29"/>
  <c r="F256" i="29"/>
  <c r="F262" i="29"/>
  <c r="F264" i="29"/>
  <c r="F266" i="29"/>
  <c r="F268" i="29"/>
  <c r="F276" i="29"/>
  <c r="F280" i="29"/>
  <c r="F284" i="29"/>
  <c r="F286" i="29"/>
  <c r="F288" i="29"/>
  <c r="F292" i="29"/>
  <c r="F294" i="29"/>
  <c r="F296" i="29"/>
  <c r="F28" i="11"/>
  <c r="F60" i="11"/>
  <c r="F78" i="11"/>
  <c r="F94" i="11"/>
  <c r="F100" i="11"/>
  <c r="F102" i="11"/>
  <c r="F110" i="11"/>
  <c r="F112" i="11"/>
  <c r="F128" i="11"/>
  <c r="F56" i="29"/>
  <c r="F76" i="29"/>
  <c r="F82" i="29"/>
  <c r="F115" i="29"/>
  <c r="F205" i="29"/>
  <c r="F209" i="29"/>
  <c r="F211" i="29"/>
  <c r="F217" i="29"/>
  <c r="F219" i="29"/>
  <c r="F225" i="29"/>
  <c r="F227" i="29"/>
  <c r="F229" i="29"/>
  <c r="F15" i="11"/>
  <c r="F19" i="11"/>
  <c r="F23" i="11"/>
  <c r="F27" i="11"/>
  <c r="F31" i="11"/>
  <c r="F35" i="11"/>
  <c r="F39" i="11"/>
  <c r="F43" i="11"/>
  <c r="F47" i="11"/>
  <c r="F51" i="11"/>
  <c r="F55" i="11"/>
  <c r="F59" i="11"/>
  <c r="F69" i="11"/>
  <c r="F77" i="11"/>
  <c r="F92" i="11"/>
  <c r="F124" i="11"/>
  <c r="F147" i="11"/>
  <c r="F155" i="11"/>
  <c r="F163" i="11"/>
  <c r="F167" i="11"/>
  <c r="F171" i="11"/>
  <c r="F189" i="11"/>
  <c r="F191" i="11"/>
  <c r="F196" i="11"/>
  <c r="F289" i="11"/>
  <c r="F291" i="11"/>
  <c r="F297" i="11"/>
  <c r="F299" i="11"/>
  <c r="F68" i="29"/>
  <c r="F132" i="29"/>
  <c r="F191" i="29"/>
  <c r="F203" i="29"/>
  <c r="F240" i="29"/>
  <c r="F30" i="11"/>
  <c r="F36" i="11"/>
  <c r="F38" i="11"/>
  <c r="F46" i="11"/>
  <c r="F160" i="11"/>
  <c r="F164" i="11"/>
  <c r="F166" i="11"/>
  <c r="F168" i="11"/>
  <c r="F176" i="11"/>
  <c r="F252" i="11"/>
  <c r="F258" i="11"/>
  <c r="F260" i="11"/>
  <c r="F264" i="11"/>
  <c r="F266" i="11"/>
  <c r="F268" i="11"/>
  <c r="F144" i="29"/>
  <c r="F176" i="29"/>
  <c r="F204" i="29"/>
  <c r="F210" i="29"/>
  <c r="F249" i="29"/>
  <c r="F251" i="29"/>
  <c r="F257" i="29"/>
  <c r="F259" i="29"/>
  <c r="F272" i="29"/>
  <c r="F133" i="11"/>
  <c r="F141" i="11"/>
  <c r="F225" i="11"/>
  <c r="F233" i="11"/>
  <c r="F235" i="11"/>
  <c r="F13" i="29"/>
  <c r="F15" i="29"/>
  <c r="F32" i="29"/>
  <c r="F34" i="29"/>
  <c r="F36" i="29"/>
  <c r="F38" i="29"/>
  <c r="F40" i="29"/>
  <c r="F141" i="29"/>
  <c r="F145" i="29"/>
  <c r="F147" i="29"/>
  <c r="F179" i="29"/>
  <c r="F181" i="29"/>
  <c r="F220" i="29"/>
  <c r="F222" i="29"/>
  <c r="F224" i="29"/>
  <c r="F230" i="29"/>
  <c r="F232" i="29"/>
  <c r="F234" i="29"/>
  <c r="F269" i="29"/>
  <c r="F273" i="29"/>
  <c r="F275" i="29"/>
  <c r="F21" i="11"/>
  <c r="F29" i="11"/>
  <c r="F44" i="11"/>
  <c r="F52" i="11"/>
  <c r="F54" i="11"/>
  <c r="F63" i="11"/>
  <c r="F67" i="11"/>
  <c r="F71" i="11"/>
  <c r="F75" i="11"/>
  <c r="F85" i="11"/>
  <c r="F93" i="11"/>
  <c r="F108" i="11"/>
  <c r="F116" i="11"/>
  <c r="F118" i="11"/>
  <c r="F120" i="11"/>
  <c r="F126" i="11"/>
  <c r="F131" i="11"/>
  <c r="F139" i="11"/>
  <c r="F149" i="11"/>
  <c r="F157" i="11"/>
  <c r="F172" i="11"/>
  <c r="F180" i="11"/>
  <c r="F182" i="11"/>
  <c r="F184" i="11"/>
  <c r="F197" i="11"/>
  <c r="F205" i="11"/>
  <c r="F237" i="11"/>
  <c r="F239" i="11"/>
  <c r="F241" i="11"/>
  <c r="F249" i="11"/>
  <c r="F251" i="11"/>
  <c r="F256" i="11"/>
  <c r="F274" i="11"/>
  <c r="F276" i="11"/>
  <c r="F280" i="11"/>
  <c r="F282" i="11"/>
  <c r="F305" i="11"/>
  <c r="F25" i="29"/>
  <c r="F29" i="29"/>
  <c r="F57" i="29"/>
  <c r="F59" i="29"/>
  <c r="F65" i="29"/>
  <c r="F67" i="29"/>
  <c r="F80" i="29"/>
  <c r="F84" i="29"/>
  <c r="F86" i="29"/>
  <c r="F95" i="29"/>
  <c r="F103" i="29"/>
  <c r="F107" i="29"/>
  <c r="F109" i="29"/>
  <c r="F113" i="29"/>
  <c r="F124" i="29"/>
  <c r="F126" i="29"/>
  <c r="F128" i="29"/>
  <c r="F134" i="29"/>
  <c r="F136" i="29"/>
  <c r="F138" i="29"/>
  <c r="F149" i="29"/>
  <c r="F164" i="29"/>
  <c r="F178" i="29"/>
  <c r="F185" i="29"/>
  <c r="F187" i="29"/>
  <c r="F193" i="29"/>
  <c r="F195" i="29"/>
  <c r="F197" i="29"/>
  <c r="F208" i="29"/>
  <c r="F212" i="29"/>
  <c r="F214" i="29"/>
  <c r="F223" i="29"/>
  <c r="F231" i="29"/>
  <c r="F235" i="29"/>
  <c r="F237" i="29"/>
  <c r="F241" i="29"/>
  <c r="F37" i="11"/>
  <c r="F45" i="11"/>
  <c r="F68" i="11"/>
  <c r="F70" i="11"/>
  <c r="F101" i="11"/>
  <c r="F109" i="11"/>
  <c r="F132" i="11"/>
  <c r="F134" i="11"/>
  <c r="F136" i="11"/>
  <c r="F142" i="11"/>
  <c r="F173" i="11"/>
  <c r="F209" i="11"/>
  <c r="F228" i="11"/>
  <c r="F230" i="11"/>
  <c r="F232" i="11"/>
  <c r="F234" i="11"/>
  <c r="F253" i="11"/>
  <c r="F255" i="11"/>
  <c r="F257" i="11"/>
  <c r="F265" i="11"/>
  <c r="F267" i="11"/>
  <c r="F290" i="11"/>
  <c r="F292" i="11"/>
  <c r="F296" i="11"/>
  <c r="F298" i="11"/>
  <c r="F16" i="29"/>
  <c r="F18" i="29"/>
  <c r="F20" i="29"/>
  <c r="F22" i="29"/>
  <c r="F48" i="29"/>
  <c r="F50" i="29"/>
  <c r="F52" i="29"/>
  <c r="F54" i="29"/>
  <c r="F77" i="29"/>
  <c r="F81" i="29"/>
  <c r="F92" i="29"/>
  <c r="F94" i="29"/>
  <c r="F96" i="29"/>
  <c r="F102" i="29"/>
  <c r="F104" i="29"/>
  <c r="F106" i="29"/>
  <c r="F117" i="29"/>
  <c r="F146" i="29"/>
  <c r="F153" i="29"/>
  <c r="F155" i="29"/>
  <c r="F161" i="29"/>
  <c r="F163" i="29"/>
  <c r="F165" i="29"/>
  <c r="F20" i="11"/>
  <c r="F22" i="11"/>
  <c r="F53" i="11"/>
  <c r="F61" i="11"/>
  <c r="F84" i="11"/>
  <c r="F86" i="11"/>
  <c r="F117" i="11"/>
  <c r="F125" i="11"/>
  <c r="F148" i="11"/>
  <c r="F150" i="11"/>
  <c r="F152" i="11"/>
  <c r="F198" i="11"/>
  <c r="F200" i="11"/>
  <c r="F204" i="11"/>
  <c r="F221" i="11"/>
  <c r="F223" i="11"/>
  <c r="F242" i="11"/>
  <c r="F244" i="11"/>
  <c r="F246" i="11"/>
  <c r="F248" i="11"/>
  <c r="F250" i="11"/>
  <c r="F273" i="11"/>
  <c r="F281" i="11"/>
  <c r="F283" i="11"/>
  <c r="F304" i="11"/>
  <c r="F41" i="29"/>
  <c r="F45" i="29"/>
  <c r="F60" i="29"/>
  <c r="F62" i="29"/>
  <c r="F64" i="29"/>
  <c r="F70" i="29"/>
  <c r="F72" i="29"/>
  <c r="F74" i="29"/>
  <c r="F85" i="29"/>
  <c r="F114" i="29"/>
  <c r="F121" i="29"/>
  <c r="F123" i="29"/>
  <c r="F129" i="29"/>
  <c r="F131" i="29"/>
  <c r="F148" i="29"/>
  <c r="F150" i="29"/>
  <c r="F173" i="29"/>
  <c r="F177" i="29"/>
  <c r="F188" i="29"/>
  <c r="F190" i="29"/>
  <c r="F192" i="29"/>
  <c r="F198" i="29"/>
  <c r="F200" i="29"/>
  <c r="F202" i="29"/>
  <c r="F213" i="29"/>
  <c r="F228" i="29"/>
  <c r="F242" i="29"/>
  <c r="F245" i="29"/>
  <c r="F260" i="29"/>
  <c r="F274" i="29"/>
  <c r="F281" i="29"/>
  <c r="F283" i="29"/>
  <c r="F289" i="29"/>
  <c r="F291" i="29"/>
  <c r="F255" i="29"/>
  <c r="F263" i="29"/>
  <c r="F267" i="29"/>
  <c r="F277" i="29"/>
  <c r="T24" i="31"/>
  <c r="T20" i="31"/>
  <c r="T16" i="31"/>
  <c r="T12" i="31"/>
  <c r="T8" i="31"/>
  <c r="T4" i="31"/>
  <c r="T9" i="31"/>
  <c r="T23" i="31"/>
  <c r="T19" i="31"/>
  <c r="T15" i="31"/>
  <c r="T11" i="31"/>
  <c r="T7" i="31"/>
  <c r="T25" i="31"/>
  <c r="T17" i="31"/>
  <c r="T26" i="31"/>
  <c r="T22" i="31"/>
  <c r="T18" i="31"/>
  <c r="T14" i="31"/>
  <c r="T10" i="31"/>
  <c r="T6" i="31"/>
  <c r="T21" i="31"/>
  <c r="T13" i="31"/>
  <c r="T5" i="31"/>
  <c r="F87" i="29"/>
  <c r="F119" i="29"/>
  <c r="F151" i="29"/>
  <c r="F183" i="29"/>
  <c r="F215" i="29"/>
  <c r="F247" i="29"/>
  <c r="F279" i="29"/>
  <c r="F298" i="29"/>
  <c r="F19" i="29"/>
  <c r="F30" i="29"/>
  <c r="F35" i="29"/>
  <c r="F51" i="29"/>
  <c r="F55" i="29"/>
  <c r="F27" i="29"/>
  <c r="F43" i="29"/>
  <c r="F66" i="29"/>
  <c r="F69" i="29"/>
  <c r="F79" i="29"/>
  <c r="F98" i="29"/>
  <c r="F101" i="29"/>
  <c r="F111" i="29"/>
  <c r="F130" i="29"/>
  <c r="F133" i="29"/>
  <c r="F143" i="29"/>
  <c r="F162" i="29"/>
  <c r="F175" i="29"/>
  <c r="F194" i="29"/>
  <c r="F207" i="29"/>
  <c r="F226" i="29"/>
  <c r="F239" i="29"/>
  <c r="F246" i="29"/>
  <c r="F258" i="29"/>
  <c r="F261" i="29"/>
  <c r="F271" i="29"/>
  <c r="F278" i="29"/>
  <c r="F290" i="29"/>
  <c r="F293" i="29"/>
  <c r="F14" i="29"/>
  <c r="F23" i="29"/>
  <c r="F39" i="29"/>
  <c r="F46" i="29"/>
  <c r="F17" i="29"/>
  <c r="F26" i="29"/>
  <c r="F33" i="29"/>
  <c r="F42" i="29"/>
  <c r="F49" i="29"/>
  <c r="F58" i="29"/>
  <c r="F61" i="29"/>
  <c r="F73" i="29"/>
  <c r="F78" i="29"/>
  <c r="F90" i="29"/>
  <c r="F93" i="29"/>
  <c r="F105" i="29"/>
  <c r="F110" i="29"/>
  <c r="F122" i="29"/>
  <c r="F125" i="29"/>
  <c r="F137" i="29"/>
  <c r="F142" i="29"/>
  <c r="F154" i="29"/>
  <c r="F157" i="29"/>
  <c r="F167" i="29"/>
  <c r="F169" i="29"/>
  <c r="F174" i="29"/>
  <c r="F186" i="29"/>
  <c r="F189" i="29"/>
  <c r="F199" i="29"/>
  <c r="F201" i="29"/>
  <c r="F206" i="29"/>
  <c r="F218" i="29"/>
  <c r="F221" i="29"/>
  <c r="F233" i="29"/>
  <c r="F238" i="29"/>
  <c r="F250" i="29"/>
  <c r="F253" i="29"/>
  <c r="F265" i="29"/>
  <c r="F270" i="29"/>
  <c r="F282" i="29"/>
  <c r="F285" i="29"/>
  <c r="F297" i="29"/>
  <c r="F21" i="29"/>
  <c r="F37" i="29"/>
  <c r="F53" i="29"/>
  <c r="F24" i="11"/>
  <c r="F26" i="11"/>
  <c r="F40" i="11"/>
  <c r="F42" i="11"/>
  <c r="F56" i="11"/>
  <c r="F58" i="11"/>
  <c r="F72" i="11"/>
  <c r="F74" i="11"/>
  <c r="F88" i="11"/>
  <c r="F90" i="11"/>
  <c r="F104" i="11"/>
  <c r="F106" i="11"/>
  <c r="F111" i="11"/>
  <c r="F113" i="11"/>
  <c r="F122" i="11"/>
  <c r="F127" i="11"/>
  <c r="F129" i="11"/>
  <c r="F138" i="11"/>
  <c r="F143" i="11"/>
  <c r="F145" i="11"/>
  <c r="F154" i="11"/>
  <c r="F159" i="11"/>
  <c r="F161" i="11"/>
  <c r="F170" i="11"/>
  <c r="F175" i="11"/>
  <c r="F177" i="11"/>
  <c r="F186" i="11"/>
  <c r="F193" i="11"/>
  <c r="F202" i="11"/>
  <c r="F207" i="11"/>
  <c r="F217" i="11"/>
  <c r="F219" i="11"/>
  <c r="F226" i="11"/>
  <c r="F158" i="11"/>
  <c r="F165" i="11"/>
  <c r="F174" i="11"/>
  <c r="F181" i="11"/>
  <c r="F190" i="11"/>
  <c r="F16" i="11"/>
  <c r="F18" i="11"/>
  <c r="F32" i="11"/>
  <c r="F34" i="11"/>
  <c r="F48" i="11"/>
  <c r="F50" i="11"/>
  <c r="F64" i="11"/>
  <c r="F66" i="11"/>
  <c r="F80" i="11"/>
  <c r="F82" i="11"/>
  <c r="F96" i="11"/>
  <c r="F98" i="11"/>
  <c r="F114" i="11"/>
  <c r="F119" i="11"/>
  <c r="F121" i="11"/>
  <c r="F130" i="11"/>
  <c r="F135" i="11"/>
  <c r="F137" i="11"/>
  <c r="F146" i="11"/>
  <c r="F151" i="11"/>
  <c r="F153" i="11"/>
  <c r="F162" i="11"/>
  <c r="F169" i="11"/>
  <c r="F178" i="11"/>
  <c r="F185" i="11"/>
  <c r="F187" i="11"/>
  <c r="F194" i="11"/>
  <c r="F201" i="11"/>
  <c r="F203" i="11"/>
  <c r="F210" i="11"/>
  <c r="F212" i="11"/>
  <c r="F262" i="11"/>
  <c r="F269" i="11"/>
  <c r="F271" i="11"/>
  <c r="F278" i="11"/>
  <c r="F285" i="11"/>
  <c r="F287" i="11"/>
  <c r="F294" i="11"/>
  <c r="F301" i="11"/>
  <c r="F303" i="11"/>
  <c r="F206" i="11"/>
  <c r="F211" i="11"/>
  <c r="F213" i="11"/>
  <c r="F222" i="11"/>
  <c r="F229" i="11"/>
  <c r="F238" i="11"/>
  <c r="F245" i="11"/>
  <c r="F254" i="11"/>
  <c r="F261" i="11"/>
  <c r="F270" i="11"/>
  <c r="F277" i="11"/>
  <c r="F286" i="11"/>
  <c r="F293" i="11"/>
  <c r="F295" i="11"/>
  <c r="F302" i="11"/>
  <c r="F179" i="11"/>
  <c r="F195" i="11"/>
  <c r="F227" i="11"/>
  <c r="F243" i="11"/>
  <c r="F259" i="11"/>
  <c r="F275" i="11"/>
  <c r="F17" i="11"/>
  <c r="F25" i="11"/>
  <c r="F33" i="11"/>
  <c r="F41" i="11"/>
  <c r="F49" i="11"/>
  <c r="F57" i="11"/>
  <c r="F65" i="11"/>
  <c r="F73" i="11"/>
  <c r="F81" i="11"/>
  <c r="F89" i="11"/>
  <c r="F97" i="11"/>
  <c r="F105" i="11"/>
  <c r="F183" i="11"/>
  <c r="F199" i="11"/>
  <c r="F215" i="11"/>
  <c r="F231" i="11"/>
  <c r="F247" i="11"/>
  <c r="F263" i="11"/>
  <c r="F279" i="11"/>
  <c r="F12" i="29" l="1"/>
  <c r="G216" i="29" s="1"/>
  <c r="H216" i="29" s="1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G156" i="29" l="1"/>
  <c r="H156" i="29" s="1"/>
  <c r="G220" i="29"/>
  <c r="H220" i="29" s="1"/>
  <c r="G140" i="29"/>
  <c r="H140" i="29" s="1"/>
  <c r="G204" i="29"/>
  <c r="H204" i="29" s="1"/>
  <c r="G238" i="29"/>
  <c r="H238" i="29" s="1"/>
  <c r="G302" i="29"/>
  <c r="H302" i="29" s="1"/>
  <c r="G160" i="29"/>
  <c r="H160" i="29" s="1"/>
  <c r="G222" i="29"/>
  <c r="H222" i="29" s="1"/>
  <c r="G164" i="29"/>
  <c r="H164" i="29" s="1"/>
  <c r="G225" i="29"/>
  <c r="H225" i="29" s="1"/>
  <c r="G152" i="29"/>
  <c r="H152" i="29" s="1"/>
  <c r="G305" i="29"/>
  <c r="H305" i="29" s="1"/>
  <c r="G304" i="29"/>
  <c r="H304" i="29" s="1"/>
  <c r="G301" i="29"/>
  <c r="H301" i="29" s="1"/>
  <c r="G300" i="29"/>
  <c r="H300" i="29" s="1"/>
  <c r="G224" i="29"/>
  <c r="H224" i="29" s="1"/>
  <c r="G228" i="29"/>
  <c r="H228" i="29" s="1"/>
  <c r="G227" i="29"/>
  <c r="H227" i="29" s="1"/>
  <c r="G232" i="29"/>
  <c r="H232" i="29" s="1"/>
  <c r="G195" i="29"/>
  <c r="H195" i="29" s="1"/>
  <c r="G187" i="29"/>
  <c r="H187" i="29" s="1"/>
  <c r="G167" i="29"/>
  <c r="H167" i="29" s="1"/>
  <c r="G159" i="29"/>
  <c r="H159" i="29" s="1"/>
  <c r="G151" i="29"/>
  <c r="H151" i="29" s="1"/>
  <c r="G143" i="29"/>
  <c r="H143" i="29" s="1"/>
  <c r="G135" i="29"/>
  <c r="H135" i="29" s="1"/>
  <c r="G92" i="29"/>
  <c r="H92" i="29" s="1"/>
  <c r="G88" i="29"/>
  <c r="H88" i="29" s="1"/>
  <c r="G84" i="29"/>
  <c r="H84" i="29" s="1"/>
  <c r="G80" i="29"/>
  <c r="H80" i="29" s="1"/>
  <c r="G76" i="29"/>
  <c r="H76" i="29" s="1"/>
  <c r="G72" i="29"/>
  <c r="H72" i="29" s="1"/>
  <c r="G68" i="29"/>
  <c r="H68" i="29" s="1"/>
  <c r="G64" i="29"/>
  <c r="H64" i="29" s="1"/>
  <c r="G60" i="29"/>
  <c r="H60" i="29" s="1"/>
  <c r="G56" i="29"/>
  <c r="H56" i="29" s="1"/>
  <c r="G52" i="29"/>
  <c r="H52" i="29" s="1"/>
  <c r="G48" i="29"/>
  <c r="H48" i="29" s="1"/>
  <c r="G44" i="29"/>
  <c r="H44" i="29" s="1"/>
  <c r="G40" i="29"/>
  <c r="H40" i="29" s="1"/>
  <c r="G36" i="29"/>
  <c r="H36" i="29" s="1"/>
  <c r="G12" i="29"/>
  <c r="H12" i="29" s="1"/>
  <c r="G14" i="29"/>
  <c r="H14" i="29" s="1"/>
  <c r="G13" i="29"/>
  <c r="H13" i="29" s="1"/>
  <c r="G33" i="29"/>
  <c r="H33" i="29" s="1"/>
  <c r="G15" i="29"/>
  <c r="H15" i="29" s="1"/>
  <c r="G96" i="29"/>
  <c r="H96" i="29" s="1"/>
  <c r="G244" i="29"/>
  <c r="H244" i="29" s="1"/>
  <c r="G275" i="29"/>
  <c r="H275" i="29" s="1"/>
  <c r="G291" i="29"/>
  <c r="H291" i="29" s="1"/>
  <c r="G24" i="29"/>
  <c r="H24" i="29" s="1"/>
  <c r="G115" i="29"/>
  <c r="H115" i="29" s="1"/>
  <c r="G171" i="29"/>
  <c r="H171" i="29" s="1"/>
  <c r="G37" i="29"/>
  <c r="H37" i="29" s="1"/>
  <c r="G53" i="29"/>
  <c r="H53" i="29" s="1"/>
  <c r="G69" i="29"/>
  <c r="H69" i="29" s="1"/>
  <c r="G85" i="29"/>
  <c r="H85" i="29" s="1"/>
  <c r="G102" i="29"/>
  <c r="H102" i="29" s="1"/>
  <c r="G110" i="29"/>
  <c r="H110" i="29" s="1"/>
  <c r="G118" i="29"/>
  <c r="H118" i="29" s="1"/>
  <c r="G175" i="29"/>
  <c r="H175" i="29" s="1"/>
  <c r="G128" i="29"/>
  <c r="H128" i="29" s="1"/>
  <c r="G219" i="29"/>
  <c r="H219" i="29" s="1"/>
  <c r="G38" i="29"/>
  <c r="H38" i="29" s="1"/>
  <c r="G46" i="29"/>
  <c r="H46" i="29" s="1"/>
  <c r="G54" i="29"/>
  <c r="H54" i="29" s="1"/>
  <c r="G62" i="29"/>
  <c r="H62" i="29" s="1"/>
  <c r="G70" i="29"/>
  <c r="H70" i="29" s="1"/>
  <c r="G78" i="29"/>
  <c r="H78" i="29" s="1"/>
  <c r="G86" i="29"/>
  <c r="H86" i="29" s="1"/>
  <c r="G104" i="29"/>
  <c r="H104" i="29" s="1"/>
  <c r="G121" i="29"/>
  <c r="H121" i="29" s="1"/>
  <c r="G163" i="29"/>
  <c r="H163" i="29" s="1"/>
  <c r="G97" i="29"/>
  <c r="H97" i="29" s="1"/>
  <c r="G94" i="29"/>
  <c r="H94" i="29" s="1"/>
  <c r="G183" i="29"/>
  <c r="H183" i="29" s="1"/>
  <c r="G119" i="29"/>
  <c r="H119" i="29" s="1"/>
  <c r="G149" i="29"/>
  <c r="H149" i="29" s="1"/>
  <c r="G165" i="29"/>
  <c r="H165" i="29" s="1"/>
  <c r="G181" i="29"/>
  <c r="H181" i="29" s="1"/>
  <c r="G197" i="29"/>
  <c r="H197" i="29" s="1"/>
  <c r="G214" i="29"/>
  <c r="H214" i="29" s="1"/>
  <c r="G217" i="29"/>
  <c r="H217" i="29" s="1"/>
  <c r="G231" i="29"/>
  <c r="H231" i="29" s="1"/>
  <c r="G146" i="29"/>
  <c r="H146" i="29" s="1"/>
  <c r="G162" i="29"/>
  <c r="H162" i="29" s="1"/>
  <c r="G178" i="29"/>
  <c r="H178" i="29" s="1"/>
  <c r="G194" i="29"/>
  <c r="H194" i="29" s="1"/>
  <c r="G215" i="29"/>
  <c r="H215" i="29" s="1"/>
  <c r="G278" i="29"/>
  <c r="H278" i="29" s="1"/>
  <c r="G294" i="29"/>
  <c r="H294" i="29" s="1"/>
  <c r="G235" i="29"/>
  <c r="H235" i="29" s="1"/>
  <c r="G251" i="29"/>
  <c r="H251" i="29" s="1"/>
  <c r="G267" i="29"/>
  <c r="H267" i="29" s="1"/>
  <c r="G283" i="29"/>
  <c r="H283" i="29" s="1"/>
  <c r="G299" i="29"/>
  <c r="H299" i="29" s="1"/>
  <c r="G19" i="29"/>
  <c r="H19" i="29" s="1"/>
  <c r="G23" i="29"/>
  <c r="H23" i="29" s="1"/>
  <c r="G21" i="29"/>
  <c r="H21" i="29" s="1"/>
  <c r="G107" i="29"/>
  <c r="H107" i="29" s="1"/>
  <c r="G259" i="29"/>
  <c r="H259" i="29" s="1"/>
  <c r="G276" i="29"/>
  <c r="H276" i="29" s="1"/>
  <c r="G292" i="29"/>
  <c r="H292" i="29" s="1"/>
  <c r="G30" i="29"/>
  <c r="H30" i="29" s="1"/>
  <c r="G129" i="29"/>
  <c r="H129" i="29" s="1"/>
  <c r="G253" i="29"/>
  <c r="H253" i="29" s="1"/>
  <c r="G41" i="29"/>
  <c r="H41" i="29" s="1"/>
  <c r="G57" i="29"/>
  <c r="H57" i="29" s="1"/>
  <c r="G73" i="29"/>
  <c r="H73" i="29" s="1"/>
  <c r="G89" i="29"/>
  <c r="H89" i="29" s="1"/>
  <c r="G105" i="29"/>
  <c r="H105" i="29" s="1"/>
  <c r="G113" i="29"/>
  <c r="H113" i="29" s="1"/>
  <c r="G127" i="29"/>
  <c r="H127" i="29" s="1"/>
  <c r="G191" i="29"/>
  <c r="H191" i="29" s="1"/>
  <c r="G130" i="29"/>
  <c r="H130" i="29" s="1"/>
  <c r="G243" i="29"/>
  <c r="H243" i="29" s="1"/>
  <c r="G39" i="29"/>
  <c r="H39" i="29" s="1"/>
  <c r="G47" i="29"/>
  <c r="H47" i="29" s="1"/>
  <c r="G55" i="29"/>
  <c r="H55" i="29" s="1"/>
  <c r="G63" i="29"/>
  <c r="H63" i="29" s="1"/>
  <c r="G71" i="29"/>
  <c r="H71" i="29" s="1"/>
  <c r="G79" i="29"/>
  <c r="H79" i="29" s="1"/>
  <c r="G87" i="29"/>
  <c r="H87" i="29" s="1"/>
  <c r="G108" i="29"/>
  <c r="H108" i="29" s="1"/>
  <c r="G122" i="29"/>
  <c r="H122" i="29" s="1"/>
  <c r="G179" i="29"/>
  <c r="H179" i="29" s="1"/>
  <c r="G111" i="29"/>
  <c r="H111" i="29" s="1"/>
  <c r="G124" i="29"/>
  <c r="H124" i="29" s="1"/>
  <c r="G134" i="29"/>
  <c r="H134" i="29" s="1"/>
  <c r="G150" i="29"/>
  <c r="H150" i="29" s="1"/>
  <c r="G166" i="29"/>
  <c r="H166" i="29" s="1"/>
  <c r="G182" i="29"/>
  <c r="H182" i="29" s="1"/>
  <c r="G198" i="29"/>
  <c r="H198" i="29" s="1"/>
  <c r="G201" i="29"/>
  <c r="H201" i="29" s="1"/>
  <c r="G218" i="29"/>
  <c r="H218" i="29" s="1"/>
  <c r="G137" i="29"/>
  <c r="H137" i="29" s="1"/>
  <c r="G153" i="29"/>
  <c r="H153" i="29" s="1"/>
  <c r="G169" i="29"/>
  <c r="H169" i="29" s="1"/>
  <c r="G185" i="29"/>
  <c r="H185" i="29" s="1"/>
  <c r="G199" i="29"/>
  <c r="H199" i="29" s="1"/>
  <c r="G221" i="29"/>
  <c r="H221" i="29" s="1"/>
  <c r="G247" i="29"/>
  <c r="H247" i="29" s="1"/>
  <c r="G263" i="29"/>
  <c r="H263" i="29" s="1"/>
  <c r="G279" i="29"/>
  <c r="H279" i="29" s="1"/>
  <c r="G295" i="29"/>
  <c r="H295" i="29" s="1"/>
  <c r="G236" i="29"/>
  <c r="H236" i="29" s="1"/>
  <c r="G252" i="29"/>
  <c r="H252" i="29" s="1"/>
  <c r="G268" i="29"/>
  <c r="H268" i="29" s="1"/>
  <c r="G284" i="29"/>
  <c r="H284" i="29" s="1"/>
  <c r="G239" i="29"/>
  <c r="H239" i="29" s="1"/>
  <c r="G255" i="29"/>
  <c r="H255" i="29" s="1"/>
  <c r="G271" i="29"/>
  <c r="H271" i="29" s="1"/>
  <c r="G287" i="29"/>
  <c r="H287" i="29" s="1"/>
  <c r="G303" i="29"/>
  <c r="H303" i="29" s="1"/>
  <c r="G27" i="29"/>
  <c r="H27" i="29" s="1"/>
  <c r="G17" i="29"/>
  <c r="H17" i="29" s="1"/>
  <c r="G31" i="29"/>
  <c r="H31" i="29" s="1"/>
  <c r="G29" i="29"/>
  <c r="H29" i="29" s="1"/>
  <c r="G203" i="29"/>
  <c r="H203" i="29" s="1"/>
  <c r="G260" i="29"/>
  <c r="H260" i="29" s="1"/>
  <c r="G285" i="29"/>
  <c r="H285" i="29" s="1"/>
  <c r="G20" i="29"/>
  <c r="H20" i="29" s="1"/>
  <c r="G32" i="29"/>
  <c r="H32" i="29" s="1"/>
  <c r="G139" i="29"/>
  <c r="H139" i="29" s="1"/>
  <c r="G258" i="29"/>
  <c r="H258" i="29" s="1"/>
  <c r="G45" i="29"/>
  <c r="H45" i="29" s="1"/>
  <c r="G61" i="29"/>
  <c r="H61" i="29" s="1"/>
  <c r="G77" i="29"/>
  <c r="H77" i="29" s="1"/>
  <c r="G100" i="29"/>
  <c r="H100" i="29" s="1"/>
  <c r="G106" i="29"/>
  <c r="H106" i="29" s="1"/>
  <c r="G114" i="29"/>
  <c r="H114" i="29" s="1"/>
  <c r="G132" i="29"/>
  <c r="H132" i="29" s="1"/>
  <c r="G26" i="29"/>
  <c r="H26" i="29" s="1"/>
  <c r="G209" i="29"/>
  <c r="H209" i="29" s="1"/>
  <c r="G269" i="29"/>
  <c r="H269" i="29" s="1"/>
  <c r="G42" i="29"/>
  <c r="H42" i="29" s="1"/>
  <c r="G50" i="29"/>
  <c r="H50" i="29" s="1"/>
  <c r="G58" i="29"/>
  <c r="H58" i="29" s="1"/>
  <c r="G66" i="29"/>
  <c r="H66" i="29" s="1"/>
  <c r="G74" i="29"/>
  <c r="H74" i="29" s="1"/>
  <c r="G82" i="29"/>
  <c r="H82" i="29" s="1"/>
  <c r="G90" i="29"/>
  <c r="H90" i="29" s="1"/>
  <c r="G112" i="29"/>
  <c r="H112" i="29" s="1"/>
  <c r="G131" i="29"/>
  <c r="H131" i="29" s="1"/>
  <c r="G18" i="29"/>
  <c r="H18" i="29" s="1"/>
  <c r="G237" i="29"/>
  <c r="H237" i="29" s="1"/>
  <c r="G125" i="29"/>
  <c r="H125" i="29" s="1"/>
  <c r="G141" i="29"/>
  <c r="H141" i="29" s="1"/>
  <c r="G157" i="29"/>
  <c r="H157" i="29" s="1"/>
  <c r="G173" i="29"/>
  <c r="H173" i="29" s="1"/>
  <c r="G189" i="29"/>
  <c r="H189" i="29" s="1"/>
  <c r="G207" i="29"/>
  <c r="H207" i="29" s="1"/>
  <c r="G202" i="29"/>
  <c r="H202" i="29" s="1"/>
  <c r="G223" i="29"/>
  <c r="H223" i="29" s="1"/>
  <c r="G138" i="29"/>
  <c r="H138" i="29" s="1"/>
  <c r="G154" i="29"/>
  <c r="H154" i="29" s="1"/>
  <c r="G170" i="29"/>
  <c r="H170" i="29" s="1"/>
  <c r="G186" i="29"/>
  <c r="H186" i="29" s="1"/>
  <c r="G205" i="29"/>
  <c r="H205" i="29" s="1"/>
  <c r="G229" i="29"/>
  <c r="H229" i="29" s="1"/>
  <c r="G248" i="29"/>
  <c r="H248" i="29" s="1"/>
  <c r="G264" i="29"/>
  <c r="H264" i="29" s="1"/>
  <c r="G280" i="29"/>
  <c r="H280" i="29" s="1"/>
  <c r="G296" i="29"/>
  <c r="H296" i="29" s="1"/>
  <c r="G245" i="29"/>
  <c r="H245" i="29" s="1"/>
  <c r="G261" i="29"/>
  <c r="H261" i="29" s="1"/>
  <c r="G277" i="29"/>
  <c r="H277" i="29" s="1"/>
  <c r="G293" i="29"/>
  <c r="H293" i="29" s="1"/>
  <c r="G240" i="29"/>
  <c r="H240" i="29" s="1"/>
  <c r="G256" i="29"/>
  <c r="H256" i="29" s="1"/>
  <c r="G272" i="29"/>
  <c r="H272" i="29" s="1"/>
  <c r="G288" i="29"/>
  <c r="H288" i="29" s="1"/>
  <c r="G35" i="29"/>
  <c r="H35" i="29" s="1"/>
  <c r="G25" i="29"/>
  <c r="H25" i="29" s="1"/>
  <c r="G16" i="29"/>
  <c r="H16" i="29" s="1"/>
  <c r="G34" i="29"/>
  <c r="H34" i="29" s="1"/>
  <c r="G242" i="29"/>
  <c r="H242" i="29" s="1"/>
  <c r="G274" i="29"/>
  <c r="H274" i="29" s="1"/>
  <c r="G290" i="29"/>
  <c r="H290" i="29" s="1"/>
  <c r="G22" i="29"/>
  <c r="H22" i="29" s="1"/>
  <c r="G98" i="29"/>
  <c r="H98" i="29" s="1"/>
  <c r="G155" i="29"/>
  <c r="H155" i="29" s="1"/>
  <c r="G49" i="29"/>
  <c r="H49" i="29" s="1"/>
  <c r="G65" i="29"/>
  <c r="H65" i="29" s="1"/>
  <c r="G81" i="29"/>
  <c r="H81" i="29" s="1"/>
  <c r="G101" i="29"/>
  <c r="H101" i="29" s="1"/>
  <c r="G109" i="29"/>
  <c r="H109" i="29" s="1"/>
  <c r="G117" i="29"/>
  <c r="H117" i="29" s="1"/>
  <c r="G133" i="29"/>
  <c r="H133" i="29" s="1"/>
  <c r="G123" i="29"/>
  <c r="H123" i="29" s="1"/>
  <c r="G210" i="29"/>
  <c r="H210" i="29" s="1"/>
  <c r="G43" i="29"/>
  <c r="H43" i="29" s="1"/>
  <c r="G51" i="29"/>
  <c r="H51" i="29" s="1"/>
  <c r="G59" i="29"/>
  <c r="H59" i="29" s="1"/>
  <c r="G67" i="29"/>
  <c r="H67" i="29" s="1"/>
  <c r="G75" i="29"/>
  <c r="H75" i="29" s="1"/>
  <c r="G83" i="29"/>
  <c r="H83" i="29" s="1"/>
  <c r="G91" i="29"/>
  <c r="H91" i="29" s="1"/>
  <c r="G116" i="29"/>
  <c r="H116" i="29" s="1"/>
  <c r="G147" i="29"/>
  <c r="H147" i="29" s="1"/>
  <c r="G28" i="29"/>
  <c r="H28" i="29" s="1"/>
  <c r="G93" i="29"/>
  <c r="H93" i="29" s="1"/>
  <c r="G126" i="29"/>
  <c r="H126" i="29" s="1"/>
  <c r="G142" i="29"/>
  <c r="H142" i="29" s="1"/>
  <c r="G158" i="29"/>
  <c r="H158" i="29" s="1"/>
  <c r="G174" i="29"/>
  <c r="H174" i="29" s="1"/>
  <c r="G190" i="29"/>
  <c r="H190" i="29" s="1"/>
  <c r="G213" i="29"/>
  <c r="H213" i="29" s="1"/>
  <c r="G211" i="29"/>
  <c r="H211" i="29" s="1"/>
  <c r="G226" i="29"/>
  <c r="H226" i="29" s="1"/>
  <c r="G145" i="29"/>
  <c r="H145" i="29" s="1"/>
  <c r="G161" i="29"/>
  <c r="H161" i="29" s="1"/>
  <c r="G177" i="29"/>
  <c r="H177" i="29" s="1"/>
  <c r="G193" i="29"/>
  <c r="H193" i="29" s="1"/>
  <c r="G206" i="29"/>
  <c r="H206" i="29" s="1"/>
  <c r="G241" i="29"/>
  <c r="H241" i="29" s="1"/>
  <c r="G257" i="29"/>
  <c r="H257" i="29" s="1"/>
  <c r="G273" i="29"/>
  <c r="H273" i="29" s="1"/>
  <c r="G289" i="29"/>
  <c r="H289" i="29" s="1"/>
  <c r="G234" i="29"/>
  <c r="H234" i="29" s="1"/>
  <c r="G250" i="29"/>
  <c r="H250" i="29" s="1"/>
  <c r="G266" i="29"/>
  <c r="H266" i="29" s="1"/>
  <c r="G249" i="29"/>
  <c r="H249" i="29" s="1"/>
  <c r="G265" i="29"/>
  <c r="H265" i="29" s="1"/>
  <c r="G281" i="29"/>
  <c r="H281" i="29" s="1"/>
  <c r="G297" i="29"/>
  <c r="H297" i="29" s="1"/>
  <c r="G176" i="29"/>
  <c r="H176" i="29" s="1"/>
  <c r="G120" i="29"/>
  <c r="H120" i="29" s="1"/>
  <c r="G180" i="29"/>
  <c r="H180" i="29" s="1"/>
  <c r="G230" i="29"/>
  <c r="H230" i="29" s="1"/>
  <c r="G168" i="29"/>
  <c r="H168" i="29" s="1"/>
  <c r="G282" i="29"/>
  <c r="H282" i="29" s="1"/>
  <c r="G254" i="29"/>
  <c r="H254" i="29" s="1"/>
  <c r="G172" i="29"/>
  <c r="H172" i="29" s="1"/>
  <c r="G246" i="29"/>
  <c r="H246" i="29" s="1"/>
  <c r="G270" i="29"/>
  <c r="H270" i="29" s="1"/>
  <c r="G95" i="29"/>
  <c r="H95" i="29" s="1"/>
  <c r="G192" i="29"/>
  <c r="H192" i="29" s="1"/>
  <c r="G99" i="29"/>
  <c r="H99" i="29" s="1"/>
  <c r="G196" i="29"/>
  <c r="H196" i="29" s="1"/>
  <c r="G103" i="29"/>
  <c r="H103" i="29" s="1"/>
  <c r="G184" i="29"/>
  <c r="H184" i="29" s="1"/>
  <c r="G298" i="29"/>
  <c r="H298" i="29" s="1"/>
  <c r="G188" i="29"/>
  <c r="H188" i="29" s="1"/>
  <c r="G262" i="29"/>
  <c r="H262" i="29" s="1"/>
  <c r="G286" i="29"/>
  <c r="H286" i="29" s="1"/>
  <c r="G144" i="29"/>
  <c r="H144" i="29" s="1"/>
  <c r="G208" i="29"/>
  <c r="H208" i="29" s="1"/>
  <c r="G148" i="29"/>
  <c r="H148" i="29" s="1"/>
  <c r="G212" i="29"/>
  <c r="H212" i="29" s="1"/>
  <c r="G136" i="29"/>
  <c r="H136" i="29" s="1"/>
  <c r="G200" i="29"/>
  <c r="H200" i="29" s="1"/>
  <c r="G233" i="29"/>
  <c r="H233" i="29" s="1"/>
  <c r="D73" i="16" l="1"/>
  <c r="D65" i="16"/>
  <c r="D81" i="16"/>
  <c r="D64" i="16"/>
  <c r="D66" i="16"/>
  <c r="D72" i="16"/>
  <c r="D78" i="16"/>
  <c r="D84" i="16"/>
  <c r="D82" i="16"/>
  <c r="D74" i="16"/>
  <c r="D79" i="16"/>
  <c r="D83" i="16"/>
  <c r="D75" i="16"/>
  <c r="D69" i="16"/>
  <c r="D80" i="16"/>
  <c r="D77" i="16"/>
  <c r="D76" i="16"/>
  <c r="D68" i="16"/>
  <c r="D70" i="16"/>
  <c r="D63" i="16"/>
  <c r="D71" i="16"/>
  <c r="D67" i="16"/>
  <c r="J26" i="19"/>
  <c r="L12" i="29" l="1"/>
  <c r="A8" i="15" s="1"/>
  <c r="C13" i="15" l="1"/>
  <c r="B13" i="15"/>
  <c r="D13" i="15"/>
  <c r="D14" i="14"/>
  <c r="A2" i="17" l="1"/>
  <c r="A2" i="16"/>
  <c r="A2" i="15"/>
  <c r="A2" i="14"/>
  <c r="D52" i="19" l="1"/>
  <c r="E12" i="15" l="1"/>
  <c r="J23" i="14" l="1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22" i="14"/>
  <c r="J44" i="14" l="1"/>
  <c r="E14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22" i="14"/>
  <c r="H26" i="14"/>
  <c r="H28" i="14"/>
  <c r="H29" i="14"/>
  <c r="H30" i="14"/>
  <c r="H31" i="14"/>
  <c r="H33" i="14"/>
  <c r="H34" i="14"/>
  <c r="H35" i="14"/>
  <c r="H36" i="14"/>
  <c r="H37" i="14"/>
  <c r="H38" i="14"/>
  <c r="H41" i="14"/>
  <c r="H42" i="14"/>
  <c r="H43" i="14"/>
  <c r="F14" i="14" l="1"/>
  <c r="N14" i="14" s="1"/>
  <c r="D5" i="22"/>
  <c r="E5" i="22"/>
  <c r="D6" i="22"/>
  <c r="E6" i="22"/>
  <c r="D7" i="22"/>
  <c r="E7" i="22"/>
  <c r="D8" i="22"/>
  <c r="E8" i="22"/>
  <c r="D9" i="22"/>
  <c r="E9" i="22"/>
  <c r="D10" i="22"/>
  <c r="E10" i="22"/>
  <c r="D11" i="22"/>
  <c r="E11" i="22"/>
  <c r="D12" i="22"/>
  <c r="E12" i="22"/>
  <c r="D13" i="22"/>
  <c r="E13" i="22"/>
  <c r="D14" i="22"/>
  <c r="E14" i="22"/>
  <c r="D15" i="22"/>
  <c r="E15" i="22"/>
  <c r="D16" i="22"/>
  <c r="E16" i="22"/>
  <c r="D17" i="22"/>
  <c r="E17" i="22"/>
  <c r="D18" i="22"/>
  <c r="E18" i="22"/>
  <c r="D19" i="22"/>
  <c r="E19" i="22"/>
  <c r="D20" i="22"/>
  <c r="E20" i="22"/>
  <c r="D21" i="22"/>
  <c r="E21" i="22"/>
  <c r="D22" i="22"/>
  <c r="E22" i="22"/>
  <c r="D23" i="22"/>
  <c r="E23" i="22"/>
  <c r="D24" i="22"/>
  <c r="E24" i="22"/>
  <c r="D25" i="22"/>
  <c r="E25" i="22"/>
  <c r="D26" i="22"/>
  <c r="E26" i="22"/>
  <c r="H22" i="14"/>
  <c r="G22" i="14"/>
  <c r="H23" i="14"/>
  <c r="H24" i="14"/>
  <c r="H25" i="14"/>
  <c r="H27" i="14"/>
  <c r="G28" i="14"/>
  <c r="H32" i="14"/>
  <c r="G34" i="14"/>
  <c r="H39" i="14"/>
  <c r="H40" i="14"/>
  <c r="G40" i="14"/>
  <c r="L43" i="14"/>
  <c r="G43" i="14"/>
  <c r="G25" i="14"/>
  <c r="G27" i="14"/>
  <c r="G31" i="14"/>
  <c r="G33" i="14"/>
  <c r="G37" i="14"/>
  <c r="G39" i="14"/>
  <c r="C25" i="23" l="1"/>
  <c r="C80" i="16"/>
  <c r="C55" i="16"/>
  <c r="E50" i="19"/>
  <c r="L50" i="19"/>
  <c r="C47" i="16"/>
  <c r="C18" i="17"/>
  <c r="E46" i="19"/>
  <c r="L46" i="19"/>
  <c r="E42" i="19"/>
  <c r="L42" i="19"/>
  <c r="E40" i="19"/>
  <c r="L40" i="19"/>
  <c r="E38" i="19"/>
  <c r="L38" i="19"/>
  <c r="E36" i="19"/>
  <c r="L36" i="19"/>
  <c r="E34" i="19"/>
  <c r="L34" i="19"/>
  <c r="E32" i="19"/>
  <c r="L32" i="19"/>
  <c r="C75" i="16"/>
  <c r="C41" i="16"/>
  <c r="C62" i="17"/>
  <c r="E47" i="19"/>
  <c r="L47" i="19"/>
  <c r="C78" i="16"/>
  <c r="E39" i="19"/>
  <c r="L39" i="19"/>
  <c r="E48" i="19"/>
  <c r="L48" i="19"/>
  <c r="L44" i="19"/>
  <c r="E44" i="19"/>
  <c r="E30" i="19"/>
  <c r="L30" i="19"/>
  <c r="C24" i="23"/>
  <c r="C54" i="17"/>
  <c r="C48" i="16"/>
  <c r="E37" i="19"/>
  <c r="L37" i="19"/>
  <c r="E35" i="19"/>
  <c r="L35" i="19"/>
  <c r="E33" i="19"/>
  <c r="L33" i="19"/>
  <c r="E31" i="19"/>
  <c r="L31" i="19"/>
  <c r="C36" i="14"/>
  <c r="C12" i="23"/>
  <c r="C65" i="16"/>
  <c r="C40" i="16"/>
  <c r="C66" i="16"/>
  <c r="C45" i="16"/>
  <c r="C71" i="16"/>
  <c r="C63" i="16"/>
  <c r="C37" i="16"/>
  <c r="C64" i="16"/>
  <c r="C38" i="16"/>
  <c r="C58" i="16"/>
  <c r="C52" i="16"/>
  <c r="C83" i="16"/>
  <c r="C53" i="16"/>
  <c r="C79" i="16"/>
  <c r="C68" i="16"/>
  <c r="C42" i="16"/>
  <c r="C51" i="16"/>
  <c r="C21" i="23"/>
  <c r="C13" i="23"/>
  <c r="C10" i="23"/>
  <c r="C5" i="23"/>
  <c r="C8" i="23"/>
  <c r="C6" i="23"/>
  <c r="C26" i="23"/>
  <c r="C37" i="14"/>
  <c r="F24" i="22"/>
  <c r="F20" i="22"/>
  <c r="F16" i="22"/>
  <c r="F12" i="22"/>
  <c r="F6" i="22"/>
  <c r="F26" i="22"/>
  <c r="F22" i="22"/>
  <c r="F18" i="22"/>
  <c r="F14" i="22"/>
  <c r="F10" i="22"/>
  <c r="F8" i="22"/>
  <c r="F25" i="22"/>
  <c r="F23" i="22"/>
  <c r="F21" i="22"/>
  <c r="F19" i="22"/>
  <c r="F17" i="22"/>
  <c r="F15" i="22"/>
  <c r="F13" i="22"/>
  <c r="F11" i="22"/>
  <c r="F9" i="22"/>
  <c r="F7" i="22"/>
  <c r="F5" i="22"/>
  <c r="C22" i="17"/>
  <c r="C13" i="16"/>
  <c r="C71" i="17"/>
  <c r="C15" i="17"/>
  <c r="C44" i="17"/>
  <c r="C26" i="16"/>
  <c r="C84" i="17"/>
  <c r="C28" i="17"/>
  <c r="C57" i="17"/>
  <c r="C18" i="16"/>
  <c r="C76" i="17"/>
  <c r="C20" i="17"/>
  <c r="C49" i="17"/>
  <c r="C15" i="16"/>
  <c r="C73" i="17"/>
  <c r="C46" i="17"/>
  <c r="C17" i="17"/>
  <c r="C10" i="16"/>
  <c r="C68" i="17"/>
  <c r="C41" i="17"/>
  <c r="C12" i="17"/>
  <c r="C32" i="17"/>
  <c r="C61" i="17"/>
  <c r="C28" i="16"/>
  <c r="C86" i="17"/>
  <c r="C59" i="17"/>
  <c r="C30" i="17"/>
  <c r="C11" i="16"/>
  <c r="C69" i="17"/>
  <c r="C42" i="17"/>
  <c r="C13" i="17"/>
  <c r="C31" i="16"/>
  <c r="C89" i="17"/>
  <c r="C23" i="16"/>
  <c r="C81" i="17"/>
  <c r="C79" i="17"/>
  <c r="C21" i="22"/>
  <c r="H20" i="19"/>
  <c r="H12" i="19"/>
  <c r="H9" i="19"/>
  <c r="H4" i="19"/>
  <c r="H7" i="19"/>
  <c r="H24" i="19"/>
  <c r="H22" i="19"/>
  <c r="H5" i="19"/>
  <c r="H25" i="19"/>
  <c r="H19" i="19"/>
  <c r="C30" i="14"/>
  <c r="C27" i="14"/>
  <c r="C22" i="14"/>
  <c r="G41" i="14"/>
  <c r="C38" i="14"/>
  <c r="C25" i="14"/>
  <c r="C23" i="14"/>
  <c r="G23" i="14"/>
  <c r="G35" i="14"/>
  <c r="C8" i="22"/>
  <c r="L44" i="14"/>
  <c r="G29" i="14"/>
  <c r="G42" i="14"/>
  <c r="G38" i="14"/>
  <c r="G36" i="14"/>
  <c r="G32" i="14"/>
  <c r="G30" i="14"/>
  <c r="G26" i="14"/>
  <c r="G24" i="14"/>
  <c r="F26" i="19"/>
  <c r="E26" i="19"/>
  <c r="C23" i="22"/>
  <c r="C10" i="22"/>
  <c r="C6" i="22"/>
  <c r="C13" i="22"/>
  <c r="C5" i="22"/>
  <c r="C40" i="14" l="1"/>
  <c r="C23" i="23"/>
  <c r="C81" i="16"/>
  <c r="C85" i="17"/>
  <c r="C25" i="22"/>
  <c r="C43" i="14"/>
  <c r="C42" i="14"/>
  <c r="C83" i="17"/>
  <c r="C82" i="17"/>
  <c r="C88" i="17"/>
  <c r="C57" i="16"/>
  <c r="C19" i="22"/>
  <c r="C35" i="14"/>
  <c r="C25" i="16"/>
  <c r="C24" i="16"/>
  <c r="C30" i="16"/>
  <c r="C19" i="23"/>
  <c r="C22" i="23"/>
  <c r="C50" i="16"/>
  <c r="C27" i="16"/>
  <c r="C44" i="16"/>
  <c r="H21" i="19"/>
  <c r="C29" i="17"/>
  <c r="C54" i="16"/>
  <c r="C22" i="22"/>
  <c r="C39" i="14"/>
  <c r="C12" i="22"/>
  <c r="C58" i="17"/>
  <c r="C18" i="22"/>
  <c r="C25" i="17"/>
  <c r="C56" i="17"/>
  <c r="C33" i="17"/>
  <c r="C26" i="17"/>
  <c r="C75" i="17"/>
  <c r="C18" i="23"/>
  <c r="C77" i="16"/>
  <c r="C76" i="16"/>
  <c r="C84" i="16"/>
  <c r="C26" i="22"/>
  <c r="C20" i="22"/>
  <c r="H17" i="19"/>
  <c r="H18" i="19"/>
  <c r="C27" i="17"/>
  <c r="C55" i="17"/>
  <c r="C20" i="23"/>
  <c r="C17" i="22"/>
  <c r="C80" i="17"/>
  <c r="C34" i="14"/>
  <c r="C19" i="17"/>
  <c r="C15" i="23"/>
  <c r="H14" i="19"/>
  <c r="C87" i="17"/>
  <c r="C22" i="16"/>
  <c r="C7" i="23"/>
  <c r="C15" i="22"/>
  <c r="C29" i="14"/>
  <c r="C32" i="14"/>
  <c r="H16" i="19"/>
  <c r="C24" i="17"/>
  <c r="C48" i="17"/>
  <c r="H11" i="19"/>
  <c r="C20" i="16"/>
  <c r="C70" i="16"/>
  <c r="C49" i="16"/>
  <c r="C73" i="16"/>
  <c r="C51" i="17"/>
  <c r="C17" i="23"/>
  <c r="C82" i="16"/>
  <c r="C24" i="14"/>
  <c r="C53" i="17"/>
  <c r="C70" i="17"/>
  <c r="C17" i="16"/>
  <c r="C78" i="17"/>
  <c r="C72" i="17"/>
  <c r="H10" i="19"/>
  <c r="C43" i="16"/>
  <c r="C47" i="17"/>
  <c r="C9" i="22"/>
  <c r="C41" i="14"/>
  <c r="C33" i="14"/>
  <c r="C26" i="14"/>
  <c r="H8" i="19"/>
  <c r="C28" i="14"/>
  <c r="C21" i="16"/>
  <c r="C29" i="16"/>
  <c r="C14" i="16"/>
  <c r="C12" i="16"/>
  <c r="C74" i="17"/>
  <c r="C56" i="16"/>
  <c r="C69" i="16"/>
  <c r="E43" i="19"/>
  <c r="L43" i="19"/>
  <c r="H15" i="19"/>
  <c r="H23" i="19"/>
  <c r="C52" i="17"/>
  <c r="C60" i="17"/>
  <c r="C45" i="17"/>
  <c r="C14" i="17"/>
  <c r="C16" i="16"/>
  <c r="C9" i="23"/>
  <c r="C11" i="23"/>
  <c r="C39" i="16"/>
  <c r="C74" i="16"/>
  <c r="C67" i="16"/>
  <c r="E45" i="19"/>
  <c r="L45" i="19"/>
  <c r="E51" i="19"/>
  <c r="L51" i="19"/>
  <c r="C11" i="22"/>
  <c r="C7" i="22"/>
  <c r="C24" i="22"/>
  <c r="C16" i="22"/>
  <c r="H6" i="19"/>
  <c r="C23" i="17"/>
  <c r="C31" i="17"/>
  <c r="C16" i="17"/>
  <c r="C43" i="17"/>
  <c r="C16" i="23"/>
  <c r="E41" i="19"/>
  <c r="L41" i="19"/>
  <c r="E49" i="19"/>
  <c r="L49" i="19"/>
  <c r="C72" i="16"/>
  <c r="C46" i="16"/>
  <c r="C14" i="23"/>
  <c r="F27" i="22"/>
  <c r="G27" i="22" s="1"/>
  <c r="K44" i="14" s="1"/>
  <c r="C19" i="16"/>
  <c r="C77" i="17"/>
  <c r="C50" i="17"/>
  <c r="C21" i="17"/>
  <c r="H13" i="19"/>
  <c r="G44" i="14"/>
  <c r="G26" i="19"/>
  <c r="C14" i="22"/>
  <c r="C26" i="19"/>
  <c r="C31" i="14"/>
  <c r="D26" i="19"/>
  <c r="C52" i="19" l="1"/>
  <c r="L52" i="19" s="1"/>
  <c r="M43" i="19" s="1"/>
  <c r="C40" i="15"/>
  <c r="B8" i="15" s="1"/>
  <c r="C85" i="16"/>
  <c r="C90" i="17"/>
  <c r="C59" i="16"/>
  <c r="C63" i="17"/>
  <c r="C32" i="16"/>
  <c r="E52" i="19"/>
  <c r="C34" i="17"/>
  <c r="C27" i="23"/>
  <c r="E13" i="15"/>
  <c r="H26" i="19"/>
  <c r="C27" i="22"/>
  <c r="F28" i="22" s="1"/>
  <c r="G5" i="22" s="1"/>
  <c r="C44" i="14"/>
  <c r="B10" i="14" l="1"/>
  <c r="B14" i="15"/>
  <c r="C44" i="15" s="1"/>
  <c r="D14" i="15"/>
  <c r="C14" i="15"/>
  <c r="I25" i="19"/>
  <c r="I43" i="14" s="1"/>
  <c r="I21" i="19"/>
  <c r="I17" i="19"/>
  <c r="I35" i="14" s="1"/>
  <c r="I13" i="19"/>
  <c r="I31" i="14" s="1"/>
  <c r="I9" i="19"/>
  <c r="I27" i="14" s="1"/>
  <c r="I5" i="19"/>
  <c r="I10" i="19"/>
  <c r="I28" i="14" s="1"/>
  <c r="I24" i="19"/>
  <c r="I42" i="14" s="1"/>
  <c r="I20" i="19"/>
  <c r="I38" i="14" s="1"/>
  <c r="I16" i="19"/>
  <c r="I34" i="14" s="1"/>
  <c r="I12" i="19"/>
  <c r="I30" i="14" s="1"/>
  <c r="I8" i="19"/>
  <c r="I26" i="14" s="1"/>
  <c r="I4" i="19"/>
  <c r="I22" i="14" s="1"/>
  <c r="I23" i="19"/>
  <c r="I41" i="14" s="1"/>
  <c r="I19" i="19"/>
  <c r="I37" i="14" s="1"/>
  <c r="I15" i="19"/>
  <c r="I33" i="14" s="1"/>
  <c r="I11" i="19"/>
  <c r="I29" i="14" s="1"/>
  <c r="I7" i="19"/>
  <c r="I26" i="19"/>
  <c r="I44" i="14" s="1"/>
  <c r="I22" i="19"/>
  <c r="I40" i="14" s="1"/>
  <c r="I18" i="19"/>
  <c r="I36" i="14" s="1"/>
  <c r="I14" i="19"/>
  <c r="I6" i="19"/>
  <c r="I24" i="14" s="1"/>
  <c r="M41" i="19"/>
  <c r="M45" i="19"/>
  <c r="M51" i="19"/>
  <c r="M46" i="19"/>
  <c r="M52" i="19"/>
  <c r="M47" i="19"/>
  <c r="M37" i="19"/>
  <c r="M44" i="19"/>
  <c r="M32" i="19"/>
  <c r="M39" i="19"/>
  <c r="E27" i="15" s="1"/>
  <c r="M31" i="19"/>
  <c r="M33" i="19"/>
  <c r="M34" i="19"/>
  <c r="M38" i="19"/>
  <c r="M36" i="19"/>
  <c r="M42" i="19"/>
  <c r="M35" i="19"/>
  <c r="M30" i="19"/>
  <c r="M48" i="19"/>
  <c r="M50" i="19"/>
  <c r="M40" i="19"/>
  <c r="M49" i="19"/>
  <c r="F30" i="19"/>
  <c r="F44" i="19"/>
  <c r="F52" i="19"/>
  <c r="F51" i="19"/>
  <c r="F38" i="19"/>
  <c r="F45" i="19"/>
  <c r="F31" i="19"/>
  <c r="F35" i="19"/>
  <c r="F49" i="19"/>
  <c r="F36" i="19"/>
  <c r="F48" i="19"/>
  <c r="F39" i="19"/>
  <c r="F46" i="19"/>
  <c r="F32" i="19"/>
  <c r="F34" i="19"/>
  <c r="F42" i="19"/>
  <c r="F40" i="19"/>
  <c r="F47" i="19"/>
  <c r="F41" i="19"/>
  <c r="F33" i="19"/>
  <c r="F43" i="19"/>
  <c r="F37" i="19"/>
  <c r="F50" i="19"/>
  <c r="M6" i="23"/>
  <c r="L5" i="23"/>
  <c r="M5" i="23"/>
  <c r="K5" i="23"/>
  <c r="K14" i="23"/>
  <c r="M14" i="23"/>
  <c r="N14" i="23"/>
  <c r="L14" i="23"/>
  <c r="N16" i="23"/>
  <c r="N24" i="23"/>
  <c r="N17" i="23"/>
  <c r="L15" i="23"/>
  <c r="N21" i="23"/>
  <c r="L7" i="23"/>
  <c r="K18" i="23"/>
  <c r="K26" i="23"/>
  <c r="K22" i="23"/>
  <c r="L23" i="23"/>
  <c r="N12" i="23"/>
  <c r="N20" i="23"/>
  <c r="K6" i="23"/>
  <c r="N8" i="23"/>
  <c r="K10" i="23"/>
  <c r="L19" i="23"/>
  <c r="N9" i="23"/>
  <c r="L11" i="23"/>
  <c r="N13" i="23"/>
  <c r="N25" i="23"/>
  <c r="K15" i="23"/>
  <c r="L8" i="23"/>
  <c r="K11" i="23"/>
  <c r="M25" i="23"/>
  <c r="M16" i="23"/>
  <c r="M24" i="23"/>
  <c r="K17" i="23"/>
  <c r="M15" i="23"/>
  <c r="K21" i="23"/>
  <c r="M7" i="23"/>
  <c r="L18" i="23"/>
  <c r="L26" i="23"/>
  <c r="L22" i="23"/>
  <c r="M23" i="23"/>
  <c r="M12" i="23"/>
  <c r="M20" i="23"/>
  <c r="L6" i="23"/>
  <c r="M8" i="23"/>
  <c r="L10" i="23"/>
  <c r="M19" i="23"/>
  <c r="K9" i="23"/>
  <c r="M11" i="23"/>
  <c r="K13" i="23"/>
  <c r="K25" i="23"/>
  <c r="M26" i="23"/>
  <c r="K16" i="23"/>
  <c r="K24" i="23"/>
  <c r="L17" i="23"/>
  <c r="N15" i="23"/>
  <c r="L21" i="23"/>
  <c r="N7" i="23"/>
  <c r="N18" i="23"/>
  <c r="N26" i="23"/>
  <c r="N22" i="23"/>
  <c r="N5" i="23"/>
  <c r="N23" i="23"/>
  <c r="K12" i="23"/>
  <c r="K20" i="23"/>
  <c r="N6" i="23"/>
  <c r="K8" i="23"/>
  <c r="N10" i="23"/>
  <c r="N19" i="23"/>
  <c r="L9" i="23"/>
  <c r="N11" i="23"/>
  <c r="L13" i="23"/>
  <c r="L25" i="23"/>
  <c r="L16" i="23"/>
  <c r="L24" i="23"/>
  <c r="M17" i="23"/>
  <c r="M21" i="23"/>
  <c r="K7" i="23"/>
  <c r="M18" i="23"/>
  <c r="M22" i="23"/>
  <c r="K23" i="23"/>
  <c r="L12" i="23"/>
  <c r="L20" i="23"/>
  <c r="M10" i="23"/>
  <c r="K19" i="23"/>
  <c r="M9" i="23"/>
  <c r="M13" i="23"/>
  <c r="I32" i="14"/>
  <c r="I23" i="14"/>
  <c r="I39" i="14"/>
  <c r="I25" i="14"/>
  <c r="G8" i="22"/>
  <c r="G12" i="22"/>
  <c r="G16" i="22"/>
  <c r="G20" i="22"/>
  <c r="G24" i="22"/>
  <c r="G26" i="22"/>
  <c r="G10" i="22"/>
  <c r="G21" i="22"/>
  <c r="G15" i="22"/>
  <c r="G18" i="22"/>
  <c r="G13" i="22"/>
  <c r="G23" i="22"/>
  <c r="G22" i="22"/>
  <c r="G6" i="22"/>
  <c r="G17" i="22"/>
  <c r="G11" i="22"/>
  <c r="G14" i="22"/>
  <c r="G9" i="22"/>
  <c r="G7" i="22"/>
  <c r="G25" i="22"/>
  <c r="G19" i="22"/>
  <c r="H44" i="14"/>
  <c r="K27" i="23" l="1"/>
  <c r="O5" i="23" s="1"/>
  <c r="M27" i="23"/>
  <c r="L27" i="23"/>
  <c r="E80" i="16"/>
  <c r="N27" i="23"/>
  <c r="R5" i="23" s="1"/>
  <c r="K24" i="14"/>
  <c r="K34" i="14"/>
  <c r="K30" i="14"/>
  <c r="K38" i="14"/>
  <c r="K37" i="14"/>
  <c r="E83" i="16"/>
  <c r="D18" i="15"/>
  <c r="D20" i="15"/>
  <c r="D22" i="15"/>
  <c r="D24" i="15"/>
  <c r="D26" i="15"/>
  <c r="D28" i="15"/>
  <c r="D30" i="15"/>
  <c r="D32" i="15"/>
  <c r="D34" i="15"/>
  <c r="D36" i="15"/>
  <c r="D38" i="15"/>
  <c r="D40" i="15"/>
  <c r="D19" i="15"/>
  <c r="D21" i="15"/>
  <c r="D23" i="15"/>
  <c r="D25" i="15"/>
  <c r="D27" i="15"/>
  <c r="D29" i="15"/>
  <c r="D31" i="15"/>
  <c r="D33" i="15"/>
  <c r="D35" i="15"/>
  <c r="D37" i="15"/>
  <c r="D39" i="15"/>
  <c r="E75" i="16"/>
  <c r="K26" i="14"/>
  <c r="K23" i="14"/>
  <c r="K35" i="14"/>
  <c r="K27" i="14"/>
  <c r="K33" i="14"/>
  <c r="E66" i="16"/>
  <c r="E68" i="16"/>
  <c r="E82" i="16"/>
  <c r="E40" i="15"/>
  <c r="E22" i="15"/>
  <c r="E20" i="15"/>
  <c r="E28" i="15"/>
  <c r="E30" i="15"/>
  <c r="E18" i="15"/>
  <c r="E36" i="15"/>
  <c r="E24" i="15"/>
  <c r="E26" i="15"/>
  <c r="E34" i="15"/>
  <c r="E21" i="15"/>
  <c r="E23" i="15"/>
  <c r="E29" i="15"/>
  <c r="E35" i="15"/>
  <c r="E37" i="15"/>
  <c r="E39" i="15"/>
  <c r="E33" i="15"/>
  <c r="E32" i="15"/>
  <c r="E38" i="15"/>
  <c r="E19" i="15"/>
  <c r="E31" i="15"/>
  <c r="E25" i="15"/>
  <c r="E71" i="16"/>
  <c r="E70" i="16"/>
  <c r="E64" i="16"/>
  <c r="K36" i="14"/>
  <c r="K31" i="14"/>
  <c r="K39" i="14"/>
  <c r="K32" i="14"/>
  <c r="K43" i="14"/>
  <c r="K29" i="14"/>
  <c r="E81" i="16"/>
  <c r="E72" i="16"/>
  <c r="E73" i="16"/>
  <c r="E65" i="16"/>
  <c r="E78" i="16"/>
  <c r="E84" i="16"/>
  <c r="K42" i="14"/>
  <c r="K28" i="14"/>
  <c r="K40" i="14"/>
  <c r="K22" i="14"/>
  <c r="K41" i="14"/>
  <c r="K25" i="14"/>
  <c r="E74" i="16"/>
  <c r="E69" i="16"/>
  <c r="Q9" i="23" l="1"/>
  <c r="Q13" i="23"/>
  <c r="Q17" i="23"/>
  <c r="Q21" i="23"/>
  <c r="Q25" i="23"/>
  <c r="Q5" i="23"/>
  <c r="Q7" i="23"/>
  <c r="Q15" i="23"/>
  <c r="Q6" i="23"/>
  <c r="Q14" i="23"/>
  <c r="Q22" i="23"/>
  <c r="Q8" i="23"/>
  <c r="Q12" i="23"/>
  <c r="Q16" i="23"/>
  <c r="Q20" i="23"/>
  <c r="Q24" i="23"/>
  <c r="Q11" i="23"/>
  <c r="Q19" i="23"/>
  <c r="Q23" i="23"/>
  <c r="Q10" i="23"/>
  <c r="Q18" i="23"/>
  <c r="Q26" i="23"/>
  <c r="O7" i="23"/>
  <c r="O11" i="23"/>
  <c r="O15" i="23"/>
  <c r="O19" i="23"/>
  <c r="O23" i="23"/>
  <c r="O13" i="23"/>
  <c r="O25" i="23"/>
  <c r="D22" i="14"/>
  <c r="O12" i="23"/>
  <c r="O20" i="23"/>
  <c r="O6" i="23"/>
  <c r="O10" i="23"/>
  <c r="O14" i="23"/>
  <c r="O18" i="23"/>
  <c r="O22" i="23"/>
  <c r="O26" i="23"/>
  <c r="O9" i="23"/>
  <c r="O17" i="23"/>
  <c r="O21" i="23"/>
  <c r="O8" i="23"/>
  <c r="O16" i="23"/>
  <c r="O24" i="23"/>
  <c r="P8" i="23"/>
  <c r="P12" i="23"/>
  <c r="P16" i="23"/>
  <c r="P20" i="23"/>
  <c r="P24" i="23"/>
  <c r="P10" i="23"/>
  <c r="P18" i="23"/>
  <c r="P22" i="23"/>
  <c r="P9" i="23"/>
  <c r="P17" i="23"/>
  <c r="P25" i="23"/>
  <c r="P7" i="23"/>
  <c r="P11" i="23"/>
  <c r="P15" i="23"/>
  <c r="P19" i="23"/>
  <c r="P23" i="23"/>
  <c r="P5" i="23"/>
  <c r="E22" i="14" s="1"/>
  <c r="P6" i="23"/>
  <c r="P14" i="23"/>
  <c r="P26" i="23"/>
  <c r="P13" i="23"/>
  <c r="P21" i="23"/>
  <c r="E77" i="16"/>
  <c r="E76" i="16"/>
  <c r="R27" i="23"/>
  <c r="R14" i="23"/>
  <c r="R21" i="23"/>
  <c r="R17" i="23"/>
  <c r="R18" i="23"/>
  <c r="R9" i="23"/>
  <c r="R25" i="23"/>
  <c r="R6" i="23"/>
  <c r="R22" i="23"/>
  <c r="R13" i="23"/>
  <c r="R10" i="23"/>
  <c r="R26" i="23"/>
  <c r="R24" i="23"/>
  <c r="R19" i="23"/>
  <c r="R12" i="23"/>
  <c r="R11" i="23"/>
  <c r="R8" i="23"/>
  <c r="R15" i="23"/>
  <c r="R7" i="23"/>
  <c r="R23" i="23"/>
  <c r="R20" i="23"/>
  <c r="R16" i="23"/>
  <c r="E63" i="16"/>
  <c r="E67" i="16"/>
  <c r="E79" i="16"/>
  <c r="D85" i="16"/>
  <c r="E85" i="16" s="1"/>
  <c r="E41" i="14" l="1"/>
  <c r="E25" i="14"/>
  <c r="F42" i="14"/>
  <c r="F26" i="14"/>
  <c r="D23" i="14"/>
  <c r="E36" i="14"/>
  <c r="D42" i="14"/>
  <c r="F29" i="14"/>
  <c r="D29" i="14"/>
  <c r="E39" i="14"/>
  <c r="E31" i="14"/>
  <c r="E23" i="14"/>
  <c r="D32" i="14"/>
  <c r="F40" i="14"/>
  <c r="F32" i="14"/>
  <c r="F24" i="14"/>
  <c r="D35" i="14"/>
  <c r="E42" i="14"/>
  <c r="E34" i="14"/>
  <c r="E26" i="14"/>
  <c r="D38" i="14"/>
  <c r="F43" i="14"/>
  <c r="F35" i="14"/>
  <c r="F27" i="14"/>
  <c r="D33" i="14"/>
  <c r="E33" i="14"/>
  <c r="D36" i="14"/>
  <c r="F34" i="14"/>
  <c r="D39" i="14"/>
  <c r="E28" i="14"/>
  <c r="D26" i="14"/>
  <c r="F37" i="14"/>
  <c r="D41" i="14"/>
  <c r="D25" i="14"/>
  <c r="E37" i="14"/>
  <c r="E29" i="14"/>
  <c r="D28" i="14"/>
  <c r="F38" i="14"/>
  <c r="F30" i="14"/>
  <c r="F22" i="14"/>
  <c r="D31" i="14"/>
  <c r="E40" i="14"/>
  <c r="E32" i="14"/>
  <c r="E24" i="14"/>
  <c r="D34" i="14"/>
  <c r="F41" i="14"/>
  <c r="F33" i="14"/>
  <c r="F25" i="14"/>
  <c r="D37" i="14"/>
  <c r="E43" i="14"/>
  <c r="E35" i="14"/>
  <c r="E27" i="14"/>
  <c r="D40" i="14"/>
  <c r="D24" i="14"/>
  <c r="F36" i="14"/>
  <c r="F28" i="14"/>
  <c r="D43" i="14"/>
  <c r="D27" i="14"/>
  <c r="E38" i="14"/>
  <c r="E30" i="14"/>
  <c r="D30" i="14"/>
  <c r="F39" i="14"/>
  <c r="F31" i="14"/>
  <c r="F23" i="14"/>
  <c r="C8" i="15" l="1"/>
  <c r="C52" i="15" l="1"/>
  <c r="C54" i="15"/>
  <c r="C45" i="15"/>
  <c r="C55" i="15"/>
  <c r="C50" i="15"/>
  <c r="C47" i="15"/>
  <c r="C49" i="15"/>
  <c r="C56" i="15"/>
  <c r="C48" i="15"/>
  <c r="C57" i="15"/>
  <c r="C53" i="15"/>
  <c r="C51" i="15"/>
  <c r="C62" i="15"/>
  <c r="C58" i="15"/>
  <c r="C61" i="15"/>
  <c r="C46" i="15"/>
  <c r="C65" i="15"/>
  <c r="C59" i="15"/>
  <c r="C63" i="15"/>
  <c r="C64" i="15"/>
  <c r="C60" i="15"/>
  <c r="D55" i="15"/>
  <c r="D65" i="15"/>
  <c r="D52" i="15"/>
  <c r="D61" i="15"/>
  <c r="D54" i="15"/>
  <c r="D48" i="15"/>
  <c r="D44" i="15"/>
  <c r="D46" i="15"/>
  <c r="D47" i="15"/>
  <c r="D64" i="15"/>
  <c r="D60" i="15"/>
  <c r="D50" i="15"/>
  <c r="D49" i="15"/>
  <c r="D63" i="15"/>
  <c r="D51" i="15"/>
  <c r="D53" i="15"/>
  <c r="D62" i="15"/>
  <c r="D59" i="15"/>
  <c r="D45" i="15"/>
  <c r="D56" i="15"/>
  <c r="D57" i="15"/>
  <c r="D58" i="15"/>
  <c r="E52" i="15"/>
  <c r="E49" i="15"/>
  <c r="E54" i="15"/>
  <c r="E44" i="15"/>
  <c r="E55" i="15"/>
  <c r="E50" i="15"/>
  <c r="E45" i="15"/>
  <c r="E47" i="15"/>
  <c r="E65" i="15"/>
  <c r="E60" i="15"/>
  <c r="E58" i="15"/>
  <c r="E48" i="15"/>
  <c r="E56" i="15"/>
  <c r="E59" i="15"/>
  <c r="E51" i="15"/>
  <c r="E61" i="15"/>
  <c r="E63" i="15"/>
  <c r="E64" i="15"/>
  <c r="E57" i="15"/>
  <c r="E53" i="15"/>
  <c r="E46" i="15"/>
  <c r="E62" i="15"/>
  <c r="C90" i="15" l="1"/>
  <c r="C82" i="15"/>
  <c r="C86" i="15"/>
  <c r="C88" i="15"/>
  <c r="C80" i="15"/>
  <c r="C76" i="15"/>
  <c r="C72" i="15"/>
  <c r="C73" i="15"/>
  <c r="C78" i="15"/>
  <c r="C87" i="15"/>
  <c r="C92" i="15"/>
  <c r="C85" i="15"/>
  <c r="C84" i="15"/>
  <c r="C74" i="15"/>
  <c r="C81" i="15"/>
  <c r="C83" i="15"/>
  <c r="C91" i="15"/>
  <c r="C71" i="15"/>
  <c r="C89" i="15"/>
  <c r="C75" i="15"/>
  <c r="C77" i="15"/>
  <c r="C79" i="15"/>
  <c r="E80" i="15"/>
  <c r="N98" i="16"/>
  <c r="N125" i="16" s="1"/>
  <c r="E75" i="15"/>
  <c r="N93" i="16"/>
  <c r="N120" i="16" s="1"/>
  <c r="E71" i="15"/>
  <c r="N89" i="16"/>
  <c r="N116" i="16" s="1"/>
  <c r="D85" i="15"/>
  <c r="D90" i="15"/>
  <c r="D75" i="15"/>
  <c r="E78" i="15"/>
  <c r="N96" i="16"/>
  <c r="N123" i="16" s="1"/>
  <c r="E72" i="15"/>
  <c r="N90" i="16"/>
  <c r="N117" i="16" s="1"/>
  <c r="D84" i="15"/>
  <c r="D76" i="15"/>
  <c r="D81" i="15"/>
  <c r="E89" i="15"/>
  <c r="N107" i="16"/>
  <c r="N134" i="16" s="1"/>
  <c r="E91" i="15"/>
  <c r="N109" i="16"/>
  <c r="N136" i="16" s="1"/>
  <c r="E86" i="15"/>
  <c r="N104" i="16"/>
  <c r="N131" i="16" s="1"/>
  <c r="E87" i="15"/>
  <c r="N105" i="16"/>
  <c r="N132" i="16" s="1"/>
  <c r="E77" i="15"/>
  <c r="N95" i="16"/>
  <c r="N122" i="16" s="1"/>
  <c r="E76" i="15"/>
  <c r="N94" i="16"/>
  <c r="N121" i="16" s="1"/>
  <c r="D83" i="15"/>
  <c r="D80" i="15"/>
  <c r="D77" i="15"/>
  <c r="D73" i="15"/>
  <c r="D88" i="15"/>
  <c r="E88" i="15"/>
  <c r="N106" i="16"/>
  <c r="N133" i="16" s="1"/>
  <c r="E74" i="15"/>
  <c r="N92" i="16"/>
  <c r="N119" i="16" s="1"/>
  <c r="D86" i="15"/>
  <c r="D91" i="15"/>
  <c r="D92" i="15"/>
  <c r="E84" i="15"/>
  <c r="N102" i="16"/>
  <c r="N129" i="16" s="1"/>
  <c r="E85" i="15"/>
  <c r="N103" i="16"/>
  <c r="N130" i="16" s="1"/>
  <c r="E81" i="15"/>
  <c r="N99" i="16"/>
  <c r="N126" i="16" s="1"/>
  <c r="D89" i="15"/>
  <c r="D74" i="15"/>
  <c r="D82" i="15"/>
  <c r="E73" i="15"/>
  <c r="N91" i="16"/>
  <c r="N118" i="16" s="1"/>
  <c r="E90" i="15"/>
  <c r="N108" i="16"/>
  <c r="N135" i="16" s="1"/>
  <c r="E83" i="15"/>
  <c r="N101" i="16"/>
  <c r="N128" i="16" s="1"/>
  <c r="E92" i="15"/>
  <c r="N110" i="16"/>
  <c r="N137" i="16" s="1"/>
  <c r="E82" i="15"/>
  <c r="N100" i="16"/>
  <c r="N127" i="16" s="1"/>
  <c r="E79" i="15"/>
  <c r="N97" i="16"/>
  <c r="N124" i="16" s="1"/>
  <c r="D72" i="15"/>
  <c r="D78" i="15"/>
  <c r="D87" i="15"/>
  <c r="D71" i="15"/>
  <c r="D79" i="15"/>
  <c r="F60" i="15"/>
  <c r="F79" i="16" s="1"/>
  <c r="F50" i="15"/>
  <c r="F69" i="16" s="1"/>
  <c r="F52" i="15"/>
  <c r="F71" i="16" s="1"/>
  <c r="F57" i="15"/>
  <c r="F76" i="16" s="1"/>
  <c r="F54" i="15"/>
  <c r="F73" i="16" s="1"/>
  <c r="F47" i="15"/>
  <c r="F66" i="16" s="1"/>
  <c r="F64" i="15"/>
  <c r="F83" i="16" s="1"/>
  <c r="F62" i="15"/>
  <c r="F81" i="16" s="1"/>
  <c r="F48" i="15"/>
  <c r="F67" i="16" s="1"/>
  <c r="F63" i="15"/>
  <c r="F82" i="16" s="1"/>
  <c r="F46" i="15"/>
  <c r="F65" i="16" s="1"/>
  <c r="F51" i="15"/>
  <c r="F70" i="16" s="1"/>
  <c r="F56" i="15"/>
  <c r="F75" i="16" s="1"/>
  <c r="F55" i="15"/>
  <c r="F74" i="16" s="1"/>
  <c r="E66" i="15"/>
  <c r="E68" i="15" s="1"/>
  <c r="F65" i="15"/>
  <c r="F84" i="16" s="1"/>
  <c r="F58" i="15"/>
  <c r="F77" i="16" s="1"/>
  <c r="F44" i="15"/>
  <c r="F63" i="16" s="1"/>
  <c r="C66" i="15"/>
  <c r="C68" i="15" s="1"/>
  <c r="D66" i="15"/>
  <c r="D68" i="15" s="1"/>
  <c r="F59" i="15"/>
  <c r="F78" i="16" s="1"/>
  <c r="F61" i="15"/>
  <c r="F80" i="16" s="1"/>
  <c r="F53" i="15"/>
  <c r="F72" i="16" s="1"/>
  <c r="F49" i="15"/>
  <c r="F68" i="16" s="1"/>
  <c r="F45" i="15"/>
  <c r="F64" i="16" s="1"/>
  <c r="G64" i="16" s="1"/>
  <c r="G83" i="16" l="1"/>
  <c r="H83" i="16"/>
  <c r="I83" i="16" s="1"/>
  <c r="G80" i="16"/>
  <c r="H80" i="16"/>
  <c r="I80" i="16" s="1"/>
  <c r="G74" i="16"/>
  <c r="H74" i="16"/>
  <c r="I74" i="16" s="1"/>
  <c r="G66" i="16"/>
  <c r="H66" i="16"/>
  <c r="I66" i="16" s="1"/>
  <c r="H64" i="16"/>
  <c r="I64" i="16" s="1"/>
  <c r="G78" i="16"/>
  <c r="H78" i="16"/>
  <c r="I78" i="16" s="1"/>
  <c r="G77" i="16"/>
  <c r="H77" i="16"/>
  <c r="I77" i="16" s="1"/>
  <c r="G75" i="16"/>
  <c r="H75" i="16"/>
  <c r="I75" i="16" s="1"/>
  <c r="G67" i="16"/>
  <c r="H67" i="16"/>
  <c r="I67" i="16" s="1"/>
  <c r="G73" i="16"/>
  <c r="H73" i="16"/>
  <c r="I73" i="16" s="1"/>
  <c r="G79" i="16"/>
  <c r="H79" i="16"/>
  <c r="I79" i="16" s="1"/>
  <c r="G72" i="16"/>
  <c r="H72" i="16"/>
  <c r="I72" i="16" s="1"/>
  <c r="G65" i="16"/>
  <c r="H65" i="16"/>
  <c r="I65" i="16" s="1"/>
  <c r="G71" i="16"/>
  <c r="H71" i="16"/>
  <c r="I71" i="16" s="1"/>
  <c r="F85" i="16"/>
  <c r="G85" i="16" s="1"/>
  <c r="G63" i="16"/>
  <c r="H63" i="16"/>
  <c r="G82" i="16"/>
  <c r="H82" i="16"/>
  <c r="I82" i="16" s="1"/>
  <c r="G69" i="16"/>
  <c r="H69" i="16"/>
  <c r="I69" i="16" s="1"/>
  <c r="G68" i="16"/>
  <c r="H68" i="16"/>
  <c r="I68" i="16" s="1"/>
  <c r="G84" i="16"/>
  <c r="H84" i="16"/>
  <c r="I84" i="16" s="1"/>
  <c r="G70" i="16"/>
  <c r="H70" i="16"/>
  <c r="I70" i="16" s="1"/>
  <c r="G81" i="16"/>
  <c r="H81" i="16"/>
  <c r="I81" i="16" s="1"/>
  <c r="G76" i="16"/>
  <c r="H76" i="16"/>
  <c r="I76" i="16" s="1"/>
  <c r="C93" i="15"/>
  <c r="D93" i="15"/>
  <c r="E93" i="15"/>
  <c r="G45" i="15"/>
  <c r="F72" i="15"/>
  <c r="G59" i="15"/>
  <c r="F86" i="15"/>
  <c r="G51" i="15"/>
  <c r="F78" i="15"/>
  <c r="G62" i="15"/>
  <c r="F89" i="15"/>
  <c r="G52" i="15"/>
  <c r="F79" i="15"/>
  <c r="G49" i="15"/>
  <c r="F76" i="15"/>
  <c r="G46" i="15"/>
  <c r="F73" i="15"/>
  <c r="G64" i="15"/>
  <c r="F91" i="15"/>
  <c r="G50" i="15"/>
  <c r="F77" i="15"/>
  <c r="G53" i="15"/>
  <c r="F80" i="15"/>
  <c r="G44" i="15"/>
  <c r="F71" i="15"/>
  <c r="G58" i="15"/>
  <c r="F85" i="15"/>
  <c r="G55" i="15"/>
  <c r="F82" i="15"/>
  <c r="G63" i="15"/>
  <c r="F90" i="15"/>
  <c r="G47" i="15"/>
  <c r="F74" i="15"/>
  <c r="G54" i="15"/>
  <c r="F81" i="15"/>
  <c r="G60" i="15"/>
  <c r="F87" i="15"/>
  <c r="G61" i="15"/>
  <c r="F88" i="15"/>
  <c r="G65" i="15"/>
  <c r="F92" i="15"/>
  <c r="G56" i="15"/>
  <c r="F83" i="15"/>
  <c r="G48" i="15"/>
  <c r="F75" i="15"/>
  <c r="G57" i="15"/>
  <c r="F84" i="15"/>
  <c r="F66" i="15"/>
  <c r="F67" i="15" s="1"/>
  <c r="C94" i="15" l="1"/>
  <c r="I63" i="16"/>
  <c r="H85" i="16"/>
  <c r="I85" i="16" s="1"/>
  <c r="D67" i="15"/>
  <c r="E67" i="15"/>
  <c r="C67" i="15"/>
  <c r="G66" i="15"/>
  <c r="F93" i="15"/>
  <c r="F94" i="15" s="1"/>
  <c r="N111" i="16"/>
  <c r="N138" i="16" s="1"/>
  <c r="D94" i="15" l="1"/>
  <c r="E94" i="15"/>
  <c r="F13" i="11"/>
  <c r="F12" i="11" l="1"/>
  <c r="G204" i="11" l="1"/>
  <c r="H204" i="11" s="1"/>
  <c r="G88" i="11"/>
  <c r="H88" i="11" s="1"/>
  <c r="G20" i="11"/>
  <c r="H20" i="11" s="1"/>
  <c r="G43" i="11"/>
  <c r="H43" i="11" s="1"/>
  <c r="G225" i="11"/>
  <c r="H225" i="11" s="1"/>
  <c r="G228" i="11"/>
  <c r="H228" i="11" s="1"/>
  <c r="G131" i="11"/>
  <c r="H131" i="11" s="1"/>
  <c r="G147" i="11"/>
  <c r="H147" i="11" s="1"/>
  <c r="G177" i="11"/>
  <c r="H177" i="11" s="1"/>
  <c r="G193" i="11"/>
  <c r="H193" i="11" s="1"/>
  <c r="G182" i="11"/>
  <c r="H182" i="11" s="1"/>
  <c r="G198" i="11"/>
  <c r="H198" i="11" s="1"/>
  <c r="G71" i="11"/>
  <c r="H71" i="11" s="1"/>
  <c r="G18" i="11"/>
  <c r="H18" i="11" s="1"/>
  <c r="G29" i="11"/>
  <c r="H29" i="11" s="1"/>
  <c r="G257" i="11"/>
  <c r="H257" i="11" s="1"/>
  <c r="G178" i="11"/>
  <c r="H178" i="11" s="1"/>
  <c r="G265" i="11"/>
  <c r="H265" i="11" s="1"/>
  <c r="G132" i="11"/>
  <c r="H132" i="11" s="1"/>
  <c r="G202" i="11"/>
  <c r="H202" i="11" s="1"/>
  <c r="G229" i="11"/>
  <c r="H229" i="11" s="1"/>
  <c r="G104" i="11"/>
  <c r="H104" i="11" s="1"/>
  <c r="G175" i="11"/>
  <c r="H175" i="11" s="1"/>
  <c r="G139" i="11"/>
  <c r="H139" i="11" s="1"/>
  <c r="G301" i="11"/>
  <c r="H301" i="11" s="1"/>
  <c r="G281" i="11"/>
  <c r="H281" i="11" s="1"/>
  <c r="G157" i="11"/>
  <c r="H157" i="11" s="1"/>
  <c r="G40" i="11"/>
  <c r="H40" i="11" s="1"/>
  <c r="L15" i="11" s="1"/>
  <c r="D38" i="16" s="1"/>
  <c r="G49" i="11"/>
  <c r="H49" i="11" s="1"/>
  <c r="G296" i="11"/>
  <c r="H296" i="11" s="1"/>
  <c r="G46" i="11"/>
  <c r="H46" i="11" s="1"/>
  <c r="G39" i="11"/>
  <c r="H39" i="11" s="1"/>
  <c r="L14" i="11" s="1"/>
  <c r="G213" i="11"/>
  <c r="H213" i="11" s="1"/>
  <c r="G86" i="11"/>
  <c r="H86" i="11" s="1"/>
  <c r="G127" i="11"/>
  <c r="H127" i="11" s="1"/>
  <c r="G275" i="11"/>
  <c r="H275" i="11" s="1"/>
  <c r="G269" i="11"/>
  <c r="H269" i="11" s="1"/>
  <c r="G61" i="11"/>
  <c r="H61" i="11" s="1"/>
  <c r="G199" i="11"/>
  <c r="H199" i="11" s="1"/>
  <c r="G291" i="11"/>
  <c r="H291" i="11" s="1"/>
  <c r="G169" i="11"/>
  <c r="H169" i="11" s="1"/>
  <c r="G65" i="11"/>
  <c r="H65" i="11" s="1"/>
  <c r="G74" i="11"/>
  <c r="H74" i="11" s="1"/>
  <c r="G32" i="11"/>
  <c r="H32" i="11" s="1"/>
  <c r="G138" i="11"/>
  <c r="H138" i="11" s="1"/>
  <c r="G208" i="11"/>
  <c r="H208" i="11" s="1"/>
  <c r="G227" i="11"/>
  <c r="H227" i="11" s="1"/>
  <c r="G249" i="11"/>
  <c r="H249" i="11" s="1"/>
  <c r="G217" i="11"/>
  <c r="H217" i="11" s="1"/>
  <c r="G300" i="11"/>
  <c r="H300" i="11" s="1"/>
  <c r="G214" i="11"/>
  <c r="H214" i="11" s="1"/>
  <c r="G55" i="11"/>
  <c r="H55" i="11" s="1"/>
  <c r="G95" i="11"/>
  <c r="H95" i="11" s="1"/>
  <c r="G293" i="11"/>
  <c r="H293" i="11" s="1"/>
  <c r="G141" i="11"/>
  <c r="H141" i="11" s="1"/>
  <c r="G128" i="11"/>
  <c r="H128" i="11" s="1"/>
  <c r="G302" i="11"/>
  <c r="H302" i="11" s="1"/>
  <c r="G102" i="11"/>
  <c r="H102" i="11" s="1"/>
  <c r="G103" i="11"/>
  <c r="H103" i="11" s="1"/>
  <c r="G271" i="11"/>
  <c r="H271" i="11" s="1"/>
  <c r="G250" i="11"/>
  <c r="H250" i="11" s="1"/>
  <c r="G117" i="11"/>
  <c r="H117" i="11" s="1"/>
  <c r="G162" i="11"/>
  <c r="H162" i="11" s="1"/>
  <c r="G235" i="11"/>
  <c r="H235" i="11" s="1"/>
  <c r="G91" i="11"/>
  <c r="H91" i="11" s="1"/>
  <c r="G221" i="11"/>
  <c r="H221" i="11" s="1"/>
  <c r="G292" i="11"/>
  <c r="H292" i="11" s="1"/>
  <c r="G94" i="11"/>
  <c r="H94" i="11" s="1"/>
  <c r="G283" i="11"/>
  <c r="H283" i="11" s="1"/>
  <c r="G164" i="11"/>
  <c r="H164" i="11" s="1"/>
  <c r="G118" i="11"/>
  <c r="H118" i="11" s="1"/>
  <c r="G248" i="11"/>
  <c r="H248" i="11" s="1"/>
  <c r="G243" i="11"/>
  <c r="H243" i="11" s="1"/>
  <c r="G254" i="11"/>
  <c r="H254" i="11" s="1"/>
  <c r="G135" i="11"/>
  <c r="H135" i="11" s="1"/>
  <c r="G48" i="11"/>
  <c r="H48" i="11" s="1"/>
  <c r="G110" i="11"/>
  <c r="H110" i="11" s="1"/>
  <c r="G28" i="11"/>
  <c r="H28" i="11" s="1"/>
  <c r="G84" i="11"/>
  <c r="H84" i="11" s="1"/>
  <c r="G188" i="11"/>
  <c r="H188" i="11" s="1"/>
  <c r="G21" i="11"/>
  <c r="H21" i="11" s="1"/>
  <c r="G277" i="11"/>
  <c r="H277" i="11" s="1"/>
  <c r="G89" i="11"/>
  <c r="H89" i="11" s="1"/>
  <c r="G16" i="11"/>
  <c r="H16" i="11" s="1"/>
  <c r="G218" i="11"/>
  <c r="H218" i="11" s="1"/>
  <c r="G134" i="11"/>
  <c r="H134" i="11" s="1"/>
  <c r="G190" i="11"/>
  <c r="H190" i="11" s="1"/>
  <c r="G62" i="11"/>
  <c r="H62" i="11" s="1"/>
  <c r="G152" i="11"/>
  <c r="H152" i="11" s="1"/>
  <c r="G167" i="11"/>
  <c r="H167" i="11" s="1"/>
  <c r="G24" i="11"/>
  <c r="H24" i="11" s="1"/>
  <c r="G263" i="11"/>
  <c r="H263" i="11" s="1"/>
  <c r="G286" i="11"/>
  <c r="H286" i="11" s="1"/>
  <c r="G260" i="11"/>
  <c r="H260" i="11" s="1"/>
  <c r="G185" i="11"/>
  <c r="H185" i="11" s="1"/>
  <c r="G70" i="11"/>
  <c r="H70" i="11" s="1"/>
  <c r="G171" i="11"/>
  <c r="H171" i="11" s="1"/>
  <c r="G115" i="11"/>
  <c r="H115" i="11" s="1"/>
  <c r="G112" i="11"/>
  <c r="H112" i="11" s="1"/>
  <c r="G93" i="11"/>
  <c r="H93" i="11" s="1"/>
  <c r="G143" i="11"/>
  <c r="H143" i="11" s="1"/>
  <c r="G51" i="11"/>
  <c r="H51" i="11" s="1"/>
  <c r="G304" i="11"/>
  <c r="H304" i="11" s="1"/>
  <c r="G197" i="11"/>
  <c r="H197" i="11" s="1"/>
  <c r="G261" i="11"/>
  <c r="H261" i="11" s="1"/>
  <c r="G264" i="11"/>
  <c r="H264" i="11" s="1"/>
  <c r="G124" i="11"/>
  <c r="H124" i="11" s="1"/>
  <c r="G101" i="11"/>
  <c r="H101" i="11" s="1"/>
  <c r="G76" i="11"/>
  <c r="H76" i="11" s="1"/>
  <c r="G226" i="11"/>
  <c r="H226" i="11" s="1"/>
  <c r="G215" i="11"/>
  <c r="H215" i="11" s="1"/>
  <c r="G59" i="11"/>
  <c r="H59" i="11" s="1"/>
  <c r="G100" i="11"/>
  <c r="H100" i="11" s="1"/>
  <c r="G244" i="11"/>
  <c r="H244" i="11" s="1"/>
  <c r="G120" i="11"/>
  <c r="H120" i="11" s="1"/>
  <c r="G37" i="11"/>
  <c r="H37" i="11" s="1"/>
  <c r="G66" i="11"/>
  <c r="H66" i="11" s="1"/>
  <c r="G114" i="11"/>
  <c r="H114" i="11" s="1"/>
  <c r="G123" i="11"/>
  <c r="H123" i="11" s="1"/>
  <c r="G262" i="11"/>
  <c r="H262" i="11" s="1"/>
  <c r="G54" i="11"/>
  <c r="H54" i="11" s="1"/>
  <c r="G31" i="11"/>
  <c r="H31" i="11" s="1"/>
  <c r="L24" i="11" s="1"/>
  <c r="D47" i="16" s="1"/>
  <c r="G273" i="11"/>
  <c r="H273" i="11" s="1"/>
  <c r="G12" i="11"/>
  <c r="H12" i="11" s="1"/>
  <c r="G149" i="11"/>
  <c r="H149" i="11" s="1"/>
  <c r="G184" i="11"/>
  <c r="H184" i="11" s="1"/>
  <c r="G290" i="11"/>
  <c r="H290" i="11" s="1"/>
  <c r="G282" i="11"/>
  <c r="H282" i="11" s="1"/>
  <c r="G154" i="11"/>
  <c r="H154" i="11" s="1"/>
  <c r="G77" i="11"/>
  <c r="H77" i="11" s="1"/>
  <c r="G19" i="11"/>
  <c r="H19" i="11" s="1"/>
  <c r="G22" i="11"/>
  <c r="H22" i="11" s="1"/>
  <c r="L16" i="11" s="1"/>
  <c r="D39" i="16" s="1"/>
  <c r="G163" i="11"/>
  <c r="H163" i="11" s="1"/>
  <c r="G148" i="11"/>
  <c r="H148" i="11" s="1"/>
  <c r="G26" i="11"/>
  <c r="H26" i="11" s="1"/>
  <c r="G176" i="11"/>
  <c r="H176" i="11" s="1"/>
  <c r="G305" i="11"/>
  <c r="H305" i="11" s="1"/>
  <c r="G97" i="11"/>
  <c r="H97" i="11" s="1"/>
  <c r="G160" i="11"/>
  <c r="H160" i="11" s="1"/>
  <c r="G58" i="11"/>
  <c r="H58" i="11" s="1"/>
  <c r="G153" i="11"/>
  <c r="H153" i="11" s="1"/>
  <c r="G196" i="11"/>
  <c r="H196" i="11" s="1"/>
  <c r="G253" i="11"/>
  <c r="H253" i="11" s="1"/>
  <c r="G172" i="11"/>
  <c r="H172" i="11" s="1"/>
  <c r="G166" i="11"/>
  <c r="H166" i="11" s="1"/>
  <c r="G92" i="11"/>
  <c r="H92" i="11" s="1"/>
  <c r="G121" i="11"/>
  <c r="H121" i="11" s="1"/>
  <c r="G242" i="11"/>
  <c r="H242" i="11" s="1"/>
  <c r="G33" i="11"/>
  <c r="H33" i="11" s="1"/>
  <c r="G267" i="11"/>
  <c r="H267" i="11" s="1"/>
  <c r="G159" i="11"/>
  <c r="H159" i="11" s="1"/>
  <c r="G272" i="11"/>
  <c r="H272" i="11" s="1"/>
  <c r="G284" i="11"/>
  <c r="H284" i="11" s="1"/>
  <c r="G294" i="11"/>
  <c r="H294" i="11" s="1"/>
  <c r="G119" i="11"/>
  <c r="H119" i="11" s="1"/>
  <c r="G200" i="11"/>
  <c r="H200" i="11" s="1"/>
  <c r="G234" i="11"/>
  <c r="H234" i="11" s="1"/>
  <c r="G192" i="11"/>
  <c r="H192" i="11" s="1"/>
  <c r="G27" i="11"/>
  <c r="H27" i="11" s="1"/>
  <c r="G38" i="11"/>
  <c r="H38" i="11" s="1"/>
  <c r="G287" i="11"/>
  <c r="H287" i="11" s="1"/>
  <c r="G165" i="11"/>
  <c r="H165" i="11" s="1"/>
  <c r="G278" i="11"/>
  <c r="H278" i="11" s="1"/>
  <c r="G30" i="11"/>
  <c r="H30" i="11" s="1"/>
  <c r="G34" i="11"/>
  <c r="H34" i="11" s="1"/>
  <c r="G87" i="11"/>
  <c r="H87" i="11" s="1"/>
  <c r="G155" i="11"/>
  <c r="H155" i="11" s="1"/>
  <c r="G299" i="11"/>
  <c r="H299" i="11" s="1"/>
  <c r="G210" i="11"/>
  <c r="H210" i="11" s="1"/>
  <c r="G206" i="11"/>
  <c r="H206" i="11" s="1"/>
  <c r="G122" i="11"/>
  <c r="H122" i="11" s="1"/>
  <c r="G258" i="11"/>
  <c r="H258" i="11" s="1"/>
  <c r="G52" i="11"/>
  <c r="H52" i="11" s="1"/>
  <c r="G203" i="11"/>
  <c r="H203" i="11" s="1"/>
  <c r="G113" i="11"/>
  <c r="H113" i="11" s="1"/>
  <c r="G224" i="11"/>
  <c r="H224" i="11" s="1"/>
  <c r="G57" i="11"/>
  <c r="H57" i="11" s="1"/>
  <c r="G151" i="11"/>
  <c r="H151" i="11" s="1"/>
  <c r="G99" i="11"/>
  <c r="H99" i="11" s="1"/>
  <c r="G126" i="11"/>
  <c r="H126" i="11" s="1"/>
  <c r="G209" i="11"/>
  <c r="H209" i="11" s="1"/>
  <c r="G239" i="11"/>
  <c r="H239" i="11" s="1"/>
  <c r="G181" i="11"/>
  <c r="H181" i="11" s="1"/>
  <c r="G144" i="11"/>
  <c r="H144" i="11" s="1"/>
  <c r="G109" i="11"/>
  <c r="H109" i="11" s="1"/>
  <c r="G36" i="11"/>
  <c r="H36" i="11" s="1"/>
  <c r="G295" i="11"/>
  <c r="H295" i="11" s="1"/>
  <c r="G170" i="11"/>
  <c r="H170" i="11" s="1"/>
  <c r="G205" i="11"/>
  <c r="H205" i="11" s="1"/>
  <c r="G80" i="11"/>
  <c r="H80" i="11" s="1"/>
  <c r="G180" i="11"/>
  <c r="H180" i="11" s="1"/>
  <c r="G266" i="11"/>
  <c r="H266" i="11" s="1"/>
  <c r="G297" i="11"/>
  <c r="H297" i="11" s="1"/>
  <c r="G246" i="11"/>
  <c r="H246" i="11" s="1"/>
  <c r="G303" i="11"/>
  <c r="H303" i="11" s="1"/>
  <c r="G69" i="11"/>
  <c r="H69" i="11" s="1"/>
  <c r="G42" i="11"/>
  <c r="H42" i="11" s="1"/>
  <c r="G81" i="11"/>
  <c r="H81" i="11" s="1"/>
  <c r="G47" i="11"/>
  <c r="H47" i="11" s="1"/>
  <c r="G231" i="11"/>
  <c r="H231" i="11" s="1"/>
  <c r="G161" i="11"/>
  <c r="H161" i="11" s="1"/>
  <c r="G53" i="11"/>
  <c r="H53" i="11" s="1"/>
  <c r="G279" i="11"/>
  <c r="H279" i="11" s="1"/>
  <c r="G288" i="11"/>
  <c r="H288" i="11" s="1"/>
  <c r="G75" i="11"/>
  <c r="H75" i="11" s="1"/>
  <c r="G73" i="11"/>
  <c r="H73" i="11" s="1"/>
  <c r="G116" i="11"/>
  <c r="H116" i="11" s="1"/>
  <c r="G64" i="11"/>
  <c r="H64" i="11" s="1"/>
  <c r="G158" i="11"/>
  <c r="H158" i="11" s="1"/>
  <c r="G60" i="11"/>
  <c r="H60" i="11" s="1"/>
  <c r="G35" i="11"/>
  <c r="H35" i="11" s="1"/>
  <c r="G68" i="11"/>
  <c r="H68" i="11" s="1"/>
  <c r="G238" i="11"/>
  <c r="H238" i="11" s="1"/>
  <c r="G130" i="11"/>
  <c r="H130" i="11" s="1"/>
  <c r="G145" i="11"/>
  <c r="H145" i="11" s="1"/>
  <c r="G274" i="11"/>
  <c r="H274" i="11" s="1"/>
  <c r="G211" i="11"/>
  <c r="H211" i="11" s="1"/>
  <c r="G44" i="11"/>
  <c r="H44" i="11" s="1"/>
  <c r="G85" i="11"/>
  <c r="H85" i="11" s="1"/>
  <c r="G236" i="11"/>
  <c r="H236" i="11" s="1"/>
  <c r="G194" i="11"/>
  <c r="H194" i="11" s="1"/>
  <c r="G107" i="11"/>
  <c r="H107" i="11" s="1"/>
  <c r="G247" i="11"/>
  <c r="H247" i="11" s="1"/>
  <c r="G140" i="11"/>
  <c r="H140" i="11" s="1"/>
  <c r="G298" i="11"/>
  <c r="H298" i="11" s="1"/>
  <c r="G232" i="11"/>
  <c r="H232" i="11" s="1"/>
  <c r="G108" i="11"/>
  <c r="H108" i="11" s="1"/>
  <c r="G255" i="11"/>
  <c r="H255" i="11" s="1"/>
  <c r="G223" i="11"/>
  <c r="H223" i="11" s="1"/>
  <c r="G106" i="11"/>
  <c r="H106" i="11" s="1"/>
  <c r="G25" i="11"/>
  <c r="H25" i="11" s="1"/>
  <c r="G230" i="11"/>
  <c r="H230" i="11" s="1"/>
  <c r="G240" i="11"/>
  <c r="H240" i="11" s="1"/>
  <c r="G146" i="11"/>
  <c r="H146" i="11" s="1"/>
  <c r="G251" i="11"/>
  <c r="H251" i="11" s="1"/>
  <c r="G136" i="11"/>
  <c r="H136" i="11" s="1"/>
  <c r="G111" i="11"/>
  <c r="H111" i="11" s="1"/>
  <c r="G186" i="11"/>
  <c r="H186" i="11" s="1"/>
  <c r="G233" i="11"/>
  <c r="H233" i="11" s="1"/>
  <c r="G173" i="11"/>
  <c r="H173" i="11" s="1"/>
  <c r="G222" i="11"/>
  <c r="H222" i="11" s="1"/>
  <c r="G168" i="11"/>
  <c r="H168" i="11" s="1"/>
  <c r="G14" i="11"/>
  <c r="H14" i="11" s="1"/>
  <c r="G285" i="11"/>
  <c r="H285" i="11" s="1"/>
  <c r="G212" i="11"/>
  <c r="H212" i="11" s="1"/>
  <c r="G82" i="11"/>
  <c r="H82" i="11" s="1"/>
  <c r="G56" i="11"/>
  <c r="H56" i="11" s="1"/>
  <c r="G179" i="11"/>
  <c r="H179" i="11" s="1"/>
  <c r="G270" i="11"/>
  <c r="H270" i="11" s="1"/>
  <c r="G15" i="11"/>
  <c r="H15" i="11" s="1"/>
  <c r="G241" i="11"/>
  <c r="H241" i="11" s="1"/>
  <c r="G98" i="11"/>
  <c r="H98" i="11" s="1"/>
  <c r="G219" i="11"/>
  <c r="H219" i="11" s="1"/>
  <c r="G245" i="11"/>
  <c r="H245" i="11" s="1"/>
  <c r="G45" i="11"/>
  <c r="H45" i="11" s="1"/>
  <c r="G90" i="11"/>
  <c r="H90" i="11" s="1"/>
  <c r="G72" i="11"/>
  <c r="H72" i="11" s="1"/>
  <c r="G252" i="11"/>
  <c r="H252" i="11" s="1"/>
  <c r="G259" i="11"/>
  <c r="H259" i="11" s="1"/>
  <c r="G289" i="11"/>
  <c r="H289" i="11" s="1"/>
  <c r="G276" i="11"/>
  <c r="H276" i="11" s="1"/>
  <c r="G125" i="11"/>
  <c r="H125" i="11" s="1"/>
  <c r="G23" i="11"/>
  <c r="H23" i="11" s="1"/>
  <c r="G105" i="11"/>
  <c r="H105" i="11" s="1"/>
  <c r="G183" i="11"/>
  <c r="H183" i="11" s="1"/>
  <c r="G78" i="11"/>
  <c r="H78" i="11" s="1"/>
  <c r="G129" i="11"/>
  <c r="H129" i="11" s="1"/>
  <c r="G137" i="11"/>
  <c r="H137" i="11" s="1"/>
  <c r="G50" i="11"/>
  <c r="H50" i="11" s="1"/>
  <c r="G41" i="11"/>
  <c r="H41" i="11" s="1"/>
  <c r="G174" i="11"/>
  <c r="H174" i="11" s="1"/>
  <c r="G96" i="11"/>
  <c r="H96" i="11" s="1"/>
  <c r="G83" i="11"/>
  <c r="H83" i="11" s="1"/>
  <c r="G280" i="11"/>
  <c r="H280" i="11" s="1"/>
  <c r="G191" i="11"/>
  <c r="H191" i="11" s="1"/>
  <c r="G187" i="11"/>
  <c r="H187" i="11" s="1"/>
  <c r="G216" i="11"/>
  <c r="H216" i="11" s="1"/>
  <c r="G237" i="11"/>
  <c r="H237" i="11" s="1"/>
  <c r="G156" i="11"/>
  <c r="H156" i="11" s="1"/>
  <c r="G79" i="11"/>
  <c r="H79" i="11" s="1"/>
  <c r="G67" i="11"/>
  <c r="H67" i="11" s="1"/>
  <c r="G207" i="11"/>
  <c r="H207" i="11" s="1"/>
  <c r="G220" i="11"/>
  <c r="H220" i="11" s="1"/>
  <c r="G201" i="11"/>
  <c r="H201" i="11" s="1"/>
  <c r="G189" i="11"/>
  <c r="H189" i="11" s="1"/>
  <c r="G268" i="11"/>
  <c r="H268" i="11" s="1"/>
  <c r="G133" i="11"/>
  <c r="H133" i="11" s="1"/>
  <c r="G17" i="11"/>
  <c r="H17" i="11" s="1"/>
  <c r="L17" i="11" s="1"/>
  <c r="D40" i="16" s="1"/>
  <c r="G63" i="11"/>
  <c r="H63" i="11" s="1"/>
  <c r="G195" i="11"/>
  <c r="H195" i="11" s="1"/>
  <c r="G150" i="11"/>
  <c r="H150" i="11" s="1"/>
  <c r="G142" i="11"/>
  <c r="H142" i="11" s="1"/>
  <c r="G256" i="11"/>
  <c r="H256" i="11" s="1"/>
  <c r="G13" i="11"/>
  <c r="H13" i="11" s="1"/>
  <c r="L28" i="11" l="1"/>
  <c r="D51" i="16" s="1"/>
  <c r="D24" i="16" s="1"/>
  <c r="B21" i="35" s="1"/>
  <c r="E39" i="16"/>
  <c r="D12" i="16"/>
  <c r="B9" i="35" s="1"/>
  <c r="E38" i="16"/>
  <c r="D11" i="16"/>
  <c r="B8" i="35" s="1"/>
  <c r="L20" i="11"/>
  <c r="D43" i="16" s="1"/>
  <c r="L34" i="11"/>
  <c r="D57" i="16" s="1"/>
  <c r="L33" i="11"/>
  <c r="D56" i="16" s="1"/>
  <c r="L21" i="11"/>
  <c r="D44" i="16" s="1"/>
  <c r="L22" i="11"/>
  <c r="D45" i="16" s="1"/>
  <c r="L18" i="11"/>
  <c r="D41" i="16" s="1"/>
  <c r="L26" i="11"/>
  <c r="D49" i="16" s="1"/>
  <c r="E51" i="16"/>
  <c r="D37" i="16"/>
  <c r="L30" i="11"/>
  <c r="D53" i="16" s="1"/>
  <c r="L25" i="11"/>
  <c r="D48" i="16" s="1"/>
  <c r="L27" i="11"/>
  <c r="D50" i="16" s="1"/>
  <c r="L31" i="11"/>
  <c r="D54" i="16" s="1"/>
  <c r="L19" i="11"/>
  <c r="D42" i="16" s="1"/>
  <c r="E40" i="16"/>
  <c r="D13" i="16"/>
  <c r="B10" i="35" s="1"/>
  <c r="L32" i="11"/>
  <c r="D55" i="16" s="1"/>
  <c r="L23" i="11"/>
  <c r="D46" i="16" s="1"/>
  <c r="L29" i="11"/>
  <c r="D52" i="16" s="1"/>
  <c r="D20" i="16"/>
  <c r="B17" i="35" s="1"/>
  <c r="E47" i="16"/>
  <c r="L35" i="11"/>
  <c r="D58" i="16" s="1"/>
  <c r="E58" i="16" l="1"/>
  <c r="D31" i="16"/>
  <c r="B28" i="35" s="1"/>
  <c r="E42" i="16"/>
  <c r="D15" i="16"/>
  <c r="B12" i="35" s="1"/>
  <c r="D17" i="16"/>
  <c r="B14" i="35" s="1"/>
  <c r="E44" i="16"/>
  <c r="D13" i="17"/>
  <c r="E11" i="16"/>
  <c r="C8" i="35" s="1"/>
  <c r="E54" i="16"/>
  <c r="D27" i="16"/>
  <c r="B24" i="35" s="1"/>
  <c r="E37" i="16"/>
  <c r="D10" i="16"/>
  <c r="B7" i="35" s="1"/>
  <c r="D59" i="16"/>
  <c r="E59" i="16" s="1"/>
  <c r="D22" i="16"/>
  <c r="B19" i="35" s="1"/>
  <c r="E49" i="16"/>
  <c r="E56" i="16"/>
  <c r="D29" i="16"/>
  <c r="B26" i="35" s="1"/>
  <c r="D26" i="16"/>
  <c r="B23" i="35" s="1"/>
  <c r="E53" i="16"/>
  <c r="E55" i="16"/>
  <c r="D28" i="16"/>
  <c r="B25" i="35" s="1"/>
  <c r="E20" i="16"/>
  <c r="C17" i="35" s="1"/>
  <c r="D22" i="17"/>
  <c r="E13" i="16"/>
  <c r="C10" i="35" s="1"/>
  <c r="D15" i="17"/>
  <c r="D23" i="16"/>
  <c r="B20" i="35" s="1"/>
  <c r="E50" i="16"/>
  <c r="L13" i="11"/>
  <c r="A10" i="14" s="1"/>
  <c r="E41" i="16"/>
  <c r="D14" i="16"/>
  <c r="B11" i="35" s="1"/>
  <c r="D30" i="16"/>
  <c r="B27" i="35" s="1"/>
  <c r="E57" i="16"/>
  <c r="E12" i="16"/>
  <c r="C9" i="35" s="1"/>
  <c r="D14" i="17"/>
  <c r="D19" i="16"/>
  <c r="B16" i="35" s="1"/>
  <c r="E46" i="16"/>
  <c r="E52" i="16"/>
  <c r="D25" i="16"/>
  <c r="B22" i="35" s="1"/>
  <c r="D21" i="16"/>
  <c r="B18" i="35" s="1"/>
  <c r="E48" i="16"/>
  <c r="E24" i="16"/>
  <c r="C21" i="35" s="1"/>
  <c r="D26" i="17"/>
  <c r="D18" i="16"/>
  <c r="B15" i="35" s="1"/>
  <c r="E45" i="16"/>
  <c r="E43" i="16"/>
  <c r="D16" i="16"/>
  <c r="B13" i="35" s="1"/>
  <c r="E15" i="16" l="1"/>
  <c r="C12" i="35" s="1"/>
  <c r="D17" i="17"/>
  <c r="E18" i="16"/>
  <c r="C15" i="35" s="1"/>
  <c r="D20" i="17"/>
  <c r="E21" i="16"/>
  <c r="C18" i="35" s="1"/>
  <c r="D23" i="17"/>
  <c r="D21" i="17"/>
  <c r="E19" i="16"/>
  <c r="C16" i="35" s="1"/>
  <c r="E30" i="16"/>
  <c r="C27" i="35" s="1"/>
  <c r="D32" i="17"/>
  <c r="M16" i="14"/>
  <c r="M17" i="14" s="1"/>
  <c r="L16" i="14"/>
  <c r="L17" i="14" s="1"/>
  <c r="C10" i="14"/>
  <c r="B16" i="14"/>
  <c r="E16" i="14"/>
  <c r="E17" i="14" s="1"/>
  <c r="C16" i="14"/>
  <c r="I16" i="14"/>
  <c r="I17" i="14" s="1"/>
  <c r="D16" i="14"/>
  <c r="D17" i="14" s="1"/>
  <c r="F16" i="14"/>
  <c r="F17" i="14" s="1"/>
  <c r="K16" i="14"/>
  <c r="K17" i="14" s="1"/>
  <c r="G16" i="14"/>
  <c r="G17" i="14" s="1"/>
  <c r="H16" i="14"/>
  <c r="H17" i="14" s="1"/>
  <c r="J16" i="14"/>
  <c r="J17" i="14" s="1"/>
  <c r="E10" i="16"/>
  <c r="C7" i="35" s="1"/>
  <c r="D32" i="16"/>
  <c r="D12" i="17"/>
  <c r="D25" i="17"/>
  <c r="E23" i="16"/>
  <c r="C20" i="35" s="1"/>
  <c r="E26" i="16"/>
  <c r="C23" i="35" s="1"/>
  <c r="D28" i="17"/>
  <c r="E27" i="16"/>
  <c r="C24" i="35" s="1"/>
  <c r="D29" i="17"/>
  <c r="E31" i="16"/>
  <c r="C28" i="35" s="1"/>
  <c r="D33" i="17"/>
  <c r="E16" i="16"/>
  <c r="C13" i="35" s="1"/>
  <c r="D18" i="17"/>
  <c r="E25" i="16"/>
  <c r="C22" i="35" s="1"/>
  <c r="D27" i="17"/>
  <c r="E14" i="16"/>
  <c r="C11" i="35" s="1"/>
  <c r="D16" i="17"/>
  <c r="E22" i="16"/>
  <c r="C19" i="35" s="1"/>
  <c r="D24" i="17"/>
  <c r="E28" i="16"/>
  <c r="C25" i="35" s="1"/>
  <c r="D30" i="17"/>
  <c r="E29" i="16"/>
  <c r="C26" i="35" s="1"/>
  <c r="D31" i="17"/>
  <c r="E17" i="16"/>
  <c r="C14" i="35" s="1"/>
  <c r="D19" i="17"/>
  <c r="E32" i="16" l="1"/>
  <c r="C29" i="35" s="1"/>
  <c r="B29" i="35"/>
  <c r="G29" i="37"/>
  <c r="G56" i="37" s="1"/>
  <c r="G17" i="37"/>
  <c r="G44" i="37" s="1"/>
  <c r="G25" i="37"/>
  <c r="G52" i="37" s="1"/>
  <c r="G13" i="37"/>
  <c r="G40" i="37" s="1"/>
  <c r="G14" i="37"/>
  <c r="G41" i="37" s="1"/>
  <c r="G20" i="37"/>
  <c r="G47" i="37" s="1"/>
  <c r="G26" i="37"/>
  <c r="G53" i="37" s="1"/>
  <c r="G23" i="37"/>
  <c r="G50" i="37" s="1"/>
  <c r="G8" i="37"/>
  <c r="G11" i="37"/>
  <c r="G38" i="37" s="1"/>
  <c r="G19" i="37"/>
  <c r="G46" i="37" s="1"/>
  <c r="G22" i="37"/>
  <c r="G49" i="37" s="1"/>
  <c r="G15" i="37"/>
  <c r="G42" i="37" s="1"/>
  <c r="G12" i="37"/>
  <c r="G39" i="37" s="1"/>
  <c r="G16" i="37"/>
  <c r="G43" i="37" s="1"/>
  <c r="G9" i="37"/>
  <c r="G36" i="37" s="1"/>
  <c r="G24" i="37"/>
  <c r="G51" i="37" s="1"/>
  <c r="G28" i="37"/>
  <c r="G55" i="37" s="1"/>
  <c r="G27" i="37"/>
  <c r="G54" i="37" s="1"/>
  <c r="G10" i="37"/>
  <c r="G37" i="37" s="1"/>
  <c r="G21" i="37"/>
  <c r="G48" i="37" s="1"/>
  <c r="G18" i="37"/>
  <c r="G45" i="37" s="1"/>
  <c r="K15" i="37"/>
  <c r="K42" i="37" s="1"/>
  <c r="K10" i="37"/>
  <c r="K37" i="37" s="1"/>
  <c r="K19" i="37"/>
  <c r="K46" i="37" s="1"/>
  <c r="K9" i="37"/>
  <c r="K36" i="37" s="1"/>
  <c r="K12" i="37"/>
  <c r="K39" i="37" s="1"/>
  <c r="K13" i="37"/>
  <c r="K40" i="37" s="1"/>
  <c r="K16" i="37"/>
  <c r="K43" i="37" s="1"/>
  <c r="K17" i="37"/>
  <c r="K44" i="37" s="1"/>
  <c r="K28" i="37"/>
  <c r="K55" i="37" s="1"/>
  <c r="K11" i="37"/>
  <c r="K38" i="37" s="1"/>
  <c r="K24" i="37"/>
  <c r="K51" i="37" s="1"/>
  <c r="K20" i="37"/>
  <c r="K47" i="37" s="1"/>
  <c r="K21" i="37"/>
  <c r="K48" i="37" s="1"/>
  <c r="K14" i="37"/>
  <c r="K41" i="37" s="1"/>
  <c r="K27" i="37"/>
  <c r="K54" i="37" s="1"/>
  <c r="K8" i="37"/>
  <c r="K26" i="37"/>
  <c r="K53" i="37" s="1"/>
  <c r="K23" i="37"/>
  <c r="K50" i="37" s="1"/>
  <c r="K22" i="37"/>
  <c r="K49" i="37" s="1"/>
  <c r="K29" i="37"/>
  <c r="K56" i="37" s="1"/>
  <c r="K18" i="37"/>
  <c r="K45" i="37" s="1"/>
  <c r="K25" i="37"/>
  <c r="K52" i="37" s="1"/>
  <c r="L26" i="37"/>
  <c r="L53" i="37" s="1"/>
  <c r="L22" i="37"/>
  <c r="L49" i="37" s="1"/>
  <c r="L18" i="37"/>
  <c r="L45" i="37" s="1"/>
  <c r="L14" i="37"/>
  <c r="L41" i="37" s="1"/>
  <c r="L10" i="37"/>
  <c r="L37" i="37" s="1"/>
  <c r="L13" i="37"/>
  <c r="L40" i="37" s="1"/>
  <c r="L9" i="37"/>
  <c r="L36" i="37" s="1"/>
  <c r="L29" i="37"/>
  <c r="L25" i="37"/>
  <c r="L52" i="37" s="1"/>
  <c r="L21" i="37"/>
  <c r="L48" i="37" s="1"/>
  <c r="L17" i="37"/>
  <c r="L44" i="37" s="1"/>
  <c r="L28" i="37"/>
  <c r="L55" i="37" s="1"/>
  <c r="L24" i="37"/>
  <c r="L51" i="37" s="1"/>
  <c r="L20" i="37"/>
  <c r="L47" i="37" s="1"/>
  <c r="L16" i="37"/>
  <c r="L43" i="37" s="1"/>
  <c r="L12" i="37"/>
  <c r="L39" i="37" s="1"/>
  <c r="L8" i="37"/>
  <c r="L35" i="37" s="1"/>
  <c r="L27" i="37"/>
  <c r="L54" i="37" s="1"/>
  <c r="L23" i="37"/>
  <c r="L50" i="37" s="1"/>
  <c r="L19" i="37"/>
  <c r="L46" i="37" s="1"/>
  <c r="L15" i="37"/>
  <c r="L42" i="37" s="1"/>
  <c r="L11" i="37"/>
  <c r="L38" i="37" s="1"/>
  <c r="J28" i="37"/>
  <c r="J55" i="37" s="1"/>
  <c r="J12" i="37"/>
  <c r="J39" i="37" s="1"/>
  <c r="J15" i="37"/>
  <c r="J42" i="37" s="1"/>
  <c r="J18" i="37"/>
  <c r="J45" i="37" s="1"/>
  <c r="J29" i="37"/>
  <c r="J56" i="37" s="1"/>
  <c r="J13" i="37"/>
  <c r="J40" i="37" s="1"/>
  <c r="J8" i="37"/>
  <c r="J14" i="37"/>
  <c r="J41" i="37" s="1"/>
  <c r="J25" i="37"/>
  <c r="J52" i="37" s="1"/>
  <c r="J24" i="37"/>
  <c r="J51" i="37" s="1"/>
  <c r="J23" i="37"/>
  <c r="J50" i="37" s="1"/>
  <c r="J9" i="37"/>
  <c r="J36" i="37" s="1"/>
  <c r="J20" i="37"/>
  <c r="J47" i="37" s="1"/>
  <c r="J11" i="37"/>
  <c r="J38" i="37" s="1"/>
  <c r="J26" i="37"/>
  <c r="J53" i="37" s="1"/>
  <c r="J10" i="37"/>
  <c r="J37" i="37" s="1"/>
  <c r="J21" i="37"/>
  <c r="J48" i="37" s="1"/>
  <c r="J16" i="37"/>
  <c r="J43" i="37" s="1"/>
  <c r="J27" i="37"/>
  <c r="J54" i="37" s="1"/>
  <c r="J22" i="37"/>
  <c r="J49" i="37" s="1"/>
  <c r="J19" i="37"/>
  <c r="J46" i="37" s="1"/>
  <c r="J17" i="37"/>
  <c r="J44" i="37" s="1"/>
  <c r="F13" i="37"/>
  <c r="F40" i="37" s="1"/>
  <c r="F12" i="37"/>
  <c r="F39" i="37" s="1"/>
  <c r="F17" i="37"/>
  <c r="F44" i="37" s="1"/>
  <c r="F24" i="37"/>
  <c r="F51" i="37" s="1"/>
  <c r="F29" i="37"/>
  <c r="F56" i="37" s="1"/>
  <c r="F19" i="37"/>
  <c r="F46" i="37" s="1"/>
  <c r="F22" i="37"/>
  <c r="F49" i="37" s="1"/>
  <c r="F11" i="37"/>
  <c r="F38" i="37" s="1"/>
  <c r="F23" i="37"/>
  <c r="F50" i="37" s="1"/>
  <c r="F10" i="37"/>
  <c r="F37" i="37" s="1"/>
  <c r="F21" i="37"/>
  <c r="F48" i="37" s="1"/>
  <c r="F27" i="37"/>
  <c r="F54" i="37" s="1"/>
  <c r="F26" i="37"/>
  <c r="F53" i="37" s="1"/>
  <c r="F14" i="37"/>
  <c r="F41" i="37" s="1"/>
  <c r="F25" i="37"/>
  <c r="F52" i="37" s="1"/>
  <c r="F20" i="37"/>
  <c r="F47" i="37" s="1"/>
  <c r="F16" i="37"/>
  <c r="F43" i="37" s="1"/>
  <c r="F28" i="37"/>
  <c r="F55" i="37" s="1"/>
  <c r="F9" i="37"/>
  <c r="F36" i="37" s="1"/>
  <c r="F8" i="37"/>
  <c r="F15" i="37"/>
  <c r="F42" i="37" s="1"/>
  <c r="F18" i="37"/>
  <c r="F45" i="37" s="1"/>
  <c r="E8" i="37"/>
  <c r="E16" i="37"/>
  <c r="E43" i="37" s="1"/>
  <c r="E26" i="37"/>
  <c r="E53" i="37" s="1"/>
  <c r="E25" i="37"/>
  <c r="E52" i="37" s="1"/>
  <c r="E21" i="37"/>
  <c r="E48" i="37" s="1"/>
  <c r="E22" i="37"/>
  <c r="E49" i="37" s="1"/>
  <c r="E15" i="37"/>
  <c r="E42" i="37" s="1"/>
  <c r="E29" i="37"/>
  <c r="E56" i="37" s="1"/>
  <c r="E28" i="37"/>
  <c r="E55" i="37" s="1"/>
  <c r="E11" i="37"/>
  <c r="E38" i="37" s="1"/>
  <c r="E23" i="37"/>
  <c r="E50" i="37" s="1"/>
  <c r="E18" i="37"/>
  <c r="E45" i="37" s="1"/>
  <c r="E14" i="37"/>
  <c r="E41" i="37" s="1"/>
  <c r="E27" i="37"/>
  <c r="E54" i="37" s="1"/>
  <c r="E10" i="37"/>
  <c r="E37" i="37" s="1"/>
  <c r="E9" i="37"/>
  <c r="E36" i="37" s="1"/>
  <c r="E20" i="37"/>
  <c r="E47" i="37" s="1"/>
  <c r="E19" i="37"/>
  <c r="E46" i="37" s="1"/>
  <c r="E24" i="37"/>
  <c r="E51" i="37" s="1"/>
  <c r="E13" i="37"/>
  <c r="E40" i="37" s="1"/>
  <c r="E12" i="37"/>
  <c r="E39" i="37" s="1"/>
  <c r="E17" i="37"/>
  <c r="E44" i="37" s="1"/>
  <c r="M30" i="37"/>
  <c r="M29" i="37"/>
  <c r="M56" i="37" s="1"/>
  <c r="M25" i="37"/>
  <c r="M52" i="37" s="1"/>
  <c r="M21" i="37"/>
  <c r="M48" i="37" s="1"/>
  <c r="M17" i="37"/>
  <c r="M44" i="37" s="1"/>
  <c r="M13" i="37"/>
  <c r="M40" i="37" s="1"/>
  <c r="M9" i="37"/>
  <c r="M36" i="37" s="1"/>
  <c r="M12" i="37"/>
  <c r="M39" i="37" s="1"/>
  <c r="M8" i="37"/>
  <c r="M35" i="37" s="1"/>
  <c r="M28" i="37"/>
  <c r="M55" i="37" s="1"/>
  <c r="M24" i="37"/>
  <c r="M51" i="37" s="1"/>
  <c r="M20" i="37"/>
  <c r="M47" i="37" s="1"/>
  <c r="M16" i="37"/>
  <c r="M43" i="37" s="1"/>
  <c r="M27" i="37"/>
  <c r="M54" i="37" s="1"/>
  <c r="M23" i="37"/>
  <c r="M50" i="37" s="1"/>
  <c r="M19" i="37"/>
  <c r="M46" i="37" s="1"/>
  <c r="M15" i="37"/>
  <c r="M42" i="37" s="1"/>
  <c r="M11" i="37"/>
  <c r="M38" i="37" s="1"/>
  <c r="M26" i="37"/>
  <c r="M53" i="37" s="1"/>
  <c r="M22" i="37"/>
  <c r="M49" i="37" s="1"/>
  <c r="M18" i="37"/>
  <c r="M45" i="37" s="1"/>
  <c r="M14" i="37"/>
  <c r="M41" i="37" s="1"/>
  <c r="M10" i="37"/>
  <c r="M37" i="37" s="1"/>
  <c r="H24" i="37"/>
  <c r="H51" i="37" s="1"/>
  <c r="H23" i="37"/>
  <c r="H50" i="37" s="1"/>
  <c r="H22" i="37"/>
  <c r="H49" i="37" s="1"/>
  <c r="H21" i="37"/>
  <c r="H48" i="37" s="1"/>
  <c r="H20" i="37"/>
  <c r="H47" i="37" s="1"/>
  <c r="H28" i="37"/>
  <c r="H55" i="37" s="1"/>
  <c r="H17" i="37"/>
  <c r="H44" i="37" s="1"/>
  <c r="H16" i="37"/>
  <c r="H43" i="37" s="1"/>
  <c r="H15" i="37"/>
  <c r="H42" i="37" s="1"/>
  <c r="H29" i="37"/>
  <c r="H56" i="37" s="1"/>
  <c r="H12" i="37"/>
  <c r="H39" i="37" s="1"/>
  <c r="H19" i="37"/>
  <c r="H46" i="37" s="1"/>
  <c r="H14" i="37"/>
  <c r="H41" i="37" s="1"/>
  <c r="H27" i="37"/>
  <c r="H54" i="37" s="1"/>
  <c r="H8" i="37"/>
  <c r="H10" i="37"/>
  <c r="H37" i="37" s="1"/>
  <c r="H26" i="37"/>
  <c r="H53" i="37" s="1"/>
  <c r="H25" i="37"/>
  <c r="H52" i="37" s="1"/>
  <c r="H13" i="37"/>
  <c r="H40" i="37" s="1"/>
  <c r="H9" i="37"/>
  <c r="H36" i="37" s="1"/>
  <c r="H11" i="37"/>
  <c r="H38" i="37" s="1"/>
  <c r="H18" i="37"/>
  <c r="H45" i="37" s="1"/>
  <c r="D8" i="37"/>
  <c r="D13" i="37"/>
  <c r="D40" i="37" s="1"/>
  <c r="D25" i="37"/>
  <c r="D52" i="37" s="1"/>
  <c r="D10" i="37"/>
  <c r="D37" i="37" s="1"/>
  <c r="D29" i="37"/>
  <c r="D56" i="37" s="1"/>
  <c r="D17" i="37"/>
  <c r="D44" i="37" s="1"/>
  <c r="D19" i="37"/>
  <c r="D46" i="37" s="1"/>
  <c r="D15" i="37"/>
  <c r="D42" i="37" s="1"/>
  <c r="D22" i="37"/>
  <c r="D49" i="37" s="1"/>
  <c r="D11" i="37"/>
  <c r="D38" i="37" s="1"/>
  <c r="D26" i="37"/>
  <c r="D53" i="37" s="1"/>
  <c r="D14" i="37"/>
  <c r="D41" i="37" s="1"/>
  <c r="D24" i="37"/>
  <c r="D51" i="37" s="1"/>
  <c r="D9" i="37"/>
  <c r="D36" i="37" s="1"/>
  <c r="D23" i="37"/>
  <c r="D50" i="37" s="1"/>
  <c r="D27" i="37"/>
  <c r="D54" i="37" s="1"/>
  <c r="D21" i="37"/>
  <c r="D48" i="37" s="1"/>
  <c r="D16" i="37"/>
  <c r="D43" i="37" s="1"/>
  <c r="D20" i="37"/>
  <c r="D47" i="37" s="1"/>
  <c r="D18" i="37"/>
  <c r="D45" i="37" s="1"/>
  <c r="D12" i="37"/>
  <c r="D39" i="37" s="1"/>
  <c r="D28" i="37"/>
  <c r="D55" i="37" s="1"/>
  <c r="I11" i="37"/>
  <c r="I38" i="37" s="1"/>
  <c r="I28" i="37"/>
  <c r="I55" i="37" s="1"/>
  <c r="I16" i="37"/>
  <c r="I43" i="37" s="1"/>
  <c r="I27" i="37"/>
  <c r="I54" i="37" s="1"/>
  <c r="I22" i="37"/>
  <c r="I49" i="37" s="1"/>
  <c r="I13" i="37"/>
  <c r="I40" i="37" s="1"/>
  <c r="I17" i="37"/>
  <c r="I44" i="37" s="1"/>
  <c r="I20" i="37"/>
  <c r="I47" i="37" s="1"/>
  <c r="I29" i="37"/>
  <c r="I56" i="37" s="1"/>
  <c r="I10" i="37"/>
  <c r="I37" i="37" s="1"/>
  <c r="I26" i="37"/>
  <c r="I53" i="37" s="1"/>
  <c r="I14" i="37"/>
  <c r="I41" i="37" s="1"/>
  <c r="I15" i="37"/>
  <c r="I42" i="37" s="1"/>
  <c r="I25" i="37"/>
  <c r="I52" i="37" s="1"/>
  <c r="I19" i="37"/>
  <c r="I46" i="37" s="1"/>
  <c r="I21" i="37"/>
  <c r="I48" i="37" s="1"/>
  <c r="I8" i="37"/>
  <c r="I12" i="37"/>
  <c r="I39" i="37" s="1"/>
  <c r="I23" i="37"/>
  <c r="I50" i="37" s="1"/>
  <c r="I9" i="37"/>
  <c r="I36" i="37" s="1"/>
  <c r="I18" i="37"/>
  <c r="I45" i="37" s="1"/>
  <c r="I24" i="37"/>
  <c r="I51" i="37" s="1"/>
  <c r="L67" i="14"/>
  <c r="L65" i="14"/>
  <c r="L64" i="14"/>
  <c r="L62" i="14"/>
  <c r="L61" i="14"/>
  <c r="L55" i="14"/>
  <c r="L58" i="14"/>
  <c r="L56" i="14"/>
  <c r="L50" i="14"/>
  <c r="L52" i="14"/>
  <c r="L53" i="14"/>
  <c r="L69" i="14"/>
  <c r="L70" i="14"/>
  <c r="L54" i="14"/>
  <c r="L57" i="14"/>
  <c r="L59" i="14"/>
  <c r="L60" i="14"/>
  <c r="L68" i="14"/>
  <c r="L66" i="14"/>
  <c r="L49" i="14"/>
  <c r="L63" i="14"/>
  <c r="L51" i="14"/>
  <c r="F61" i="14"/>
  <c r="F58" i="14"/>
  <c r="F53" i="14"/>
  <c r="F59" i="14"/>
  <c r="F55" i="14"/>
  <c r="F65" i="14"/>
  <c r="F54" i="14"/>
  <c r="F57" i="14"/>
  <c r="F51" i="14"/>
  <c r="F60" i="14"/>
  <c r="F52" i="14"/>
  <c r="F50" i="14"/>
  <c r="F69" i="14"/>
  <c r="F68" i="14"/>
  <c r="F66" i="14"/>
  <c r="F70" i="14"/>
  <c r="F63" i="14"/>
  <c r="F64" i="14"/>
  <c r="F49" i="14"/>
  <c r="F67" i="14"/>
  <c r="F56" i="14"/>
  <c r="F62" i="14"/>
  <c r="M49" i="14"/>
  <c r="M65" i="14"/>
  <c r="M58" i="14"/>
  <c r="M55" i="14"/>
  <c r="M71" i="14"/>
  <c r="M64" i="14"/>
  <c r="M50" i="14"/>
  <c r="M63" i="14"/>
  <c r="M66" i="14"/>
  <c r="M61" i="14"/>
  <c r="M54" i="14"/>
  <c r="M51" i="14"/>
  <c r="M60" i="14"/>
  <c r="M53" i="14"/>
  <c r="M69" i="14"/>
  <c r="M62" i="14"/>
  <c r="M59" i="14"/>
  <c r="M52" i="14"/>
  <c r="M68" i="14"/>
  <c r="M57" i="14"/>
  <c r="M70" i="14"/>
  <c r="M56" i="14"/>
  <c r="M67" i="14"/>
  <c r="H61" i="14"/>
  <c r="H58" i="14"/>
  <c r="H69" i="14"/>
  <c r="H52" i="14"/>
  <c r="H55" i="14"/>
  <c r="H56" i="14"/>
  <c r="H65" i="14"/>
  <c r="H49" i="14"/>
  <c r="H57" i="14"/>
  <c r="H64" i="14"/>
  <c r="H50" i="14"/>
  <c r="H62" i="14"/>
  <c r="H54" i="14"/>
  <c r="H67" i="14"/>
  <c r="H60" i="14"/>
  <c r="H59" i="14"/>
  <c r="H66" i="14"/>
  <c r="H70" i="14"/>
  <c r="H53" i="14"/>
  <c r="H63" i="14"/>
  <c r="H51" i="14"/>
  <c r="H68" i="14"/>
  <c r="D65" i="14"/>
  <c r="D58" i="14"/>
  <c r="D60" i="14"/>
  <c r="D69" i="14"/>
  <c r="D59" i="14"/>
  <c r="D68" i="14"/>
  <c r="D50" i="14"/>
  <c r="D49" i="14"/>
  <c r="D54" i="14"/>
  <c r="D66" i="14"/>
  <c r="D57" i="14"/>
  <c r="D52" i="14"/>
  <c r="D56" i="14"/>
  <c r="D51" i="14"/>
  <c r="D70" i="14"/>
  <c r="D53" i="14"/>
  <c r="D62" i="14"/>
  <c r="D64" i="14"/>
  <c r="D61" i="14"/>
  <c r="D55" i="14"/>
  <c r="D63" i="14"/>
  <c r="D67" i="14"/>
  <c r="B17" i="14"/>
  <c r="N16" i="14"/>
  <c r="D1" i="14" s="1"/>
  <c r="D34" i="17"/>
  <c r="K61" i="14"/>
  <c r="K69" i="14"/>
  <c r="K67" i="14"/>
  <c r="K54" i="14"/>
  <c r="K65" i="14"/>
  <c r="K52" i="14"/>
  <c r="K64" i="14"/>
  <c r="K63" i="14"/>
  <c r="K50" i="14"/>
  <c r="K62" i="14"/>
  <c r="K55" i="14"/>
  <c r="K51" i="14"/>
  <c r="K59" i="14"/>
  <c r="K57" i="14"/>
  <c r="K49" i="14"/>
  <c r="K68" i="14"/>
  <c r="K53" i="14"/>
  <c r="K70" i="14"/>
  <c r="K58" i="14"/>
  <c r="K66" i="14"/>
  <c r="K60" i="14"/>
  <c r="K56" i="14"/>
  <c r="J56" i="14"/>
  <c r="J53" i="14"/>
  <c r="J69" i="14"/>
  <c r="J62" i="14"/>
  <c r="J55" i="14"/>
  <c r="J49" i="14"/>
  <c r="J61" i="14"/>
  <c r="J70" i="14"/>
  <c r="J60" i="14"/>
  <c r="J57" i="14"/>
  <c r="J50" i="14"/>
  <c r="J66" i="14"/>
  <c r="J59" i="14"/>
  <c r="J64" i="14"/>
  <c r="J54" i="14"/>
  <c r="J63" i="14"/>
  <c r="J58" i="14"/>
  <c r="J65" i="14"/>
  <c r="J52" i="14"/>
  <c r="J51" i="14"/>
  <c r="J68" i="14"/>
  <c r="J67" i="14"/>
  <c r="E58" i="14"/>
  <c r="E55" i="14"/>
  <c r="E66" i="14"/>
  <c r="E54" i="14"/>
  <c r="E65" i="14"/>
  <c r="E62" i="14"/>
  <c r="E49" i="14"/>
  <c r="E60" i="14"/>
  <c r="E57" i="14"/>
  <c r="E63" i="14"/>
  <c r="E64" i="14"/>
  <c r="E69" i="14"/>
  <c r="E68" i="14"/>
  <c r="E59" i="14"/>
  <c r="E52" i="14"/>
  <c r="E56" i="14"/>
  <c r="E50" i="14"/>
  <c r="E53" i="14"/>
  <c r="E67" i="14"/>
  <c r="E61" i="14"/>
  <c r="E51" i="14"/>
  <c r="E70" i="14"/>
  <c r="G59" i="14"/>
  <c r="G49" i="14"/>
  <c r="G55" i="14"/>
  <c r="G63" i="14"/>
  <c r="G50" i="14"/>
  <c r="G52" i="14"/>
  <c r="G57" i="14"/>
  <c r="G65" i="14"/>
  <c r="G69" i="14"/>
  <c r="G64" i="14"/>
  <c r="G67" i="14"/>
  <c r="G61" i="14"/>
  <c r="G53" i="14"/>
  <c r="G56" i="14"/>
  <c r="G68" i="14"/>
  <c r="G60" i="14"/>
  <c r="G54" i="14"/>
  <c r="G62" i="14"/>
  <c r="G58" i="14"/>
  <c r="G66" i="14"/>
  <c r="G51" i="14"/>
  <c r="G70" i="14"/>
  <c r="I69" i="14"/>
  <c r="I52" i="14"/>
  <c r="I58" i="14"/>
  <c r="I56" i="14"/>
  <c r="I53" i="14"/>
  <c r="I49" i="14"/>
  <c r="I57" i="14"/>
  <c r="I63" i="14"/>
  <c r="I67" i="14"/>
  <c r="I55" i="14"/>
  <c r="I51" i="14"/>
  <c r="I50" i="14"/>
  <c r="I65" i="14"/>
  <c r="I68" i="14"/>
  <c r="I54" i="14"/>
  <c r="I59" i="14"/>
  <c r="I62" i="14"/>
  <c r="I70" i="14"/>
  <c r="I60" i="14"/>
  <c r="I61" i="14"/>
  <c r="I64" i="14"/>
  <c r="I66" i="14"/>
  <c r="I35" i="37" l="1"/>
  <c r="I30" i="37"/>
  <c r="F30" i="37"/>
  <c r="F35" i="37"/>
  <c r="L56" i="37"/>
  <c r="L30" i="37"/>
  <c r="E35" i="37"/>
  <c r="E30" i="37"/>
  <c r="D35" i="37"/>
  <c r="D30" i="37"/>
  <c r="H35" i="37"/>
  <c r="H30" i="37"/>
  <c r="K35" i="37"/>
  <c r="K30" i="37"/>
  <c r="C9" i="37"/>
  <c r="C13" i="37"/>
  <c r="C24" i="37"/>
  <c r="C8" i="37"/>
  <c r="C16" i="37"/>
  <c r="C23" i="37"/>
  <c r="C22" i="37"/>
  <c r="C11" i="37"/>
  <c r="C12" i="37"/>
  <c r="C26" i="37"/>
  <c r="C17" i="37"/>
  <c r="C25" i="37"/>
  <c r="C10" i="37"/>
  <c r="C19" i="37"/>
  <c r="C14" i="37"/>
  <c r="C29" i="37"/>
  <c r="C18" i="37"/>
  <c r="C15" i="37"/>
  <c r="C27" i="37"/>
  <c r="C21" i="37"/>
  <c r="C20" i="37"/>
  <c r="C28" i="37"/>
  <c r="M57" i="37"/>
  <c r="J30" i="37"/>
  <c r="J35" i="37"/>
  <c r="G35" i="37"/>
  <c r="G30" i="37"/>
  <c r="I97" i="14"/>
  <c r="I110" i="16"/>
  <c r="I137" i="16" s="1"/>
  <c r="I92" i="14"/>
  <c r="I105" i="16"/>
  <c r="I132" i="16" s="1"/>
  <c r="I96" i="14"/>
  <c r="I109" i="16"/>
  <c r="I136" i="16" s="1"/>
  <c r="G91" i="16"/>
  <c r="G118" i="16" s="1"/>
  <c r="G78" i="14"/>
  <c r="G87" i="14"/>
  <c r="G100" i="16"/>
  <c r="G127" i="16" s="1"/>
  <c r="E97" i="14"/>
  <c r="E110" i="16"/>
  <c r="E137" i="16" s="1"/>
  <c r="E94" i="14"/>
  <c r="E107" i="16"/>
  <c r="E134" i="16" s="1"/>
  <c r="E83" i="14"/>
  <c r="E96" i="16"/>
  <c r="E123" i="16" s="1"/>
  <c r="E96" i="14"/>
  <c r="E109" i="16"/>
  <c r="E136" i="16" s="1"/>
  <c r="E92" i="14"/>
  <c r="E105" i="16"/>
  <c r="E132" i="16" s="1"/>
  <c r="J98" i="16"/>
  <c r="J125" i="16" s="1"/>
  <c r="J85" i="14"/>
  <c r="J76" i="14"/>
  <c r="J89" i="16"/>
  <c r="J71" i="14"/>
  <c r="K108" i="16"/>
  <c r="K135" i="16" s="1"/>
  <c r="K95" i="14"/>
  <c r="K103" i="16"/>
  <c r="K130" i="16" s="1"/>
  <c r="K90" i="14"/>
  <c r="K101" i="16"/>
  <c r="K128" i="16" s="1"/>
  <c r="K88" i="14"/>
  <c r="D91" i="16"/>
  <c r="D118" i="16" s="1"/>
  <c r="D78" i="14"/>
  <c r="D89" i="16"/>
  <c r="D76" i="14"/>
  <c r="D71" i="14"/>
  <c r="D109" i="16"/>
  <c r="D136" i="16" s="1"/>
  <c r="D96" i="14"/>
  <c r="H95" i="16"/>
  <c r="H122" i="16" s="1"/>
  <c r="H82" i="14"/>
  <c r="H88" i="14"/>
  <c r="H101" i="16"/>
  <c r="H128" i="16" s="1"/>
  <c r="M97" i="14"/>
  <c r="M110" i="16"/>
  <c r="M137" i="16" s="1"/>
  <c r="M108" i="16"/>
  <c r="M135" i="16" s="1"/>
  <c r="M95" i="14"/>
  <c r="M109" i="16"/>
  <c r="M136" i="16" s="1"/>
  <c r="M96" i="14"/>
  <c r="M81" i="14"/>
  <c r="M94" i="16"/>
  <c r="M121" i="16" s="1"/>
  <c r="F84" i="14"/>
  <c r="F97" i="16"/>
  <c r="F124" i="16" s="1"/>
  <c r="F86" i="14"/>
  <c r="F99" i="16"/>
  <c r="F126" i="16" s="1"/>
  <c r="L97" i="16"/>
  <c r="L124" i="16" s="1"/>
  <c r="L84" i="14"/>
  <c r="L91" i="14"/>
  <c r="L104" i="16"/>
  <c r="L131" i="16" s="1"/>
  <c r="I80" i="14"/>
  <c r="I93" i="16"/>
  <c r="I120" i="16" s="1"/>
  <c r="G89" i="14"/>
  <c r="G102" i="16"/>
  <c r="G129" i="16" s="1"/>
  <c r="E79" i="14"/>
  <c r="E92" i="16"/>
  <c r="E119" i="16" s="1"/>
  <c r="E104" i="16"/>
  <c r="E131" i="16" s="1"/>
  <c r="E91" i="14"/>
  <c r="E76" i="14"/>
  <c r="E89" i="16"/>
  <c r="E71" i="14"/>
  <c r="J81" i="14"/>
  <c r="J94" i="16"/>
  <c r="J121" i="16" s="1"/>
  <c r="J86" i="14"/>
  <c r="J99" i="16"/>
  <c r="J126" i="16" s="1"/>
  <c r="J95" i="16"/>
  <c r="J122" i="16" s="1"/>
  <c r="J82" i="14"/>
  <c r="K96" i="16"/>
  <c r="K123" i="16" s="1"/>
  <c r="K83" i="14"/>
  <c r="K91" i="16"/>
  <c r="K118" i="16" s="1"/>
  <c r="K78" i="14"/>
  <c r="K104" i="16"/>
  <c r="K131" i="16" s="1"/>
  <c r="K91" i="14"/>
  <c r="K109" i="16"/>
  <c r="K136" i="16" s="1"/>
  <c r="K96" i="14"/>
  <c r="D91" i="14"/>
  <c r="D104" i="16"/>
  <c r="D131" i="16" s="1"/>
  <c r="D97" i="16"/>
  <c r="D124" i="16" s="1"/>
  <c r="D84" i="14"/>
  <c r="D86" i="14"/>
  <c r="D99" i="16"/>
  <c r="D126" i="16" s="1"/>
  <c r="D92" i="14"/>
  <c r="D105" i="16"/>
  <c r="D132" i="16" s="1"/>
  <c r="H94" i="14"/>
  <c r="H107" i="16"/>
  <c r="H134" i="16" s="1"/>
  <c r="H105" i="16"/>
  <c r="H132" i="16" s="1"/>
  <c r="H92" i="14"/>
  <c r="H79" i="14"/>
  <c r="H92" i="16"/>
  <c r="H119" i="16" s="1"/>
  <c r="M97" i="16"/>
  <c r="M124" i="16" s="1"/>
  <c r="M84" i="14"/>
  <c r="M92" i="16"/>
  <c r="M119" i="16" s="1"/>
  <c r="M79" i="14"/>
  <c r="M93" i="16"/>
  <c r="M120" i="16" s="1"/>
  <c r="M80" i="14"/>
  <c r="M101" i="16"/>
  <c r="M128" i="16" s="1"/>
  <c r="M88" i="14"/>
  <c r="M105" i="16"/>
  <c r="M132" i="16" s="1"/>
  <c r="M92" i="14"/>
  <c r="F90" i="14"/>
  <c r="F103" i="16"/>
  <c r="F130" i="16" s="1"/>
  <c r="F78" i="14"/>
  <c r="F91" i="16"/>
  <c r="F118" i="16" s="1"/>
  <c r="F93" i="16"/>
  <c r="F120" i="16" s="1"/>
  <c r="F80" i="14"/>
  <c r="L91" i="16"/>
  <c r="L118" i="16" s="1"/>
  <c r="L78" i="14"/>
  <c r="L94" i="16"/>
  <c r="L121" i="16" s="1"/>
  <c r="L81" i="14"/>
  <c r="L92" i="14"/>
  <c r="L105" i="16"/>
  <c r="L132" i="16" s="1"/>
  <c r="I93" i="14"/>
  <c r="I106" i="16"/>
  <c r="I133" i="16" s="1"/>
  <c r="I87" i="14"/>
  <c r="I100" i="16"/>
  <c r="I127" i="16" s="1"/>
  <c r="I86" i="14"/>
  <c r="I99" i="16"/>
  <c r="I126" i="16" s="1"/>
  <c r="I95" i="14"/>
  <c r="I108" i="16"/>
  <c r="I135" i="16" s="1"/>
  <c r="I78" i="14"/>
  <c r="I91" i="16"/>
  <c r="I118" i="16" s="1"/>
  <c r="I90" i="14"/>
  <c r="I103" i="16"/>
  <c r="I130" i="16" s="1"/>
  <c r="I79" i="14"/>
  <c r="I92" i="16"/>
  <c r="I119" i="16" s="1"/>
  <c r="G97" i="14"/>
  <c r="G110" i="16"/>
  <c r="G137" i="16" s="1"/>
  <c r="G80" i="14"/>
  <c r="G93" i="16"/>
  <c r="G120" i="16" s="1"/>
  <c r="G104" i="16"/>
  <c r="G131" i="16" s="1"/>
  <c r="G91" i="14"/>
  <c r="E88" i="14"/>
  <c r="E101" i="16"/>
  <c r="E128" i="16" s="1"/>
  <c r="E90" i="14"/>
  <c r="E103" i="16"/>
  <c r="E130" i="16" s="1"/>
  <c r="E85" i="14"/>
  <c r="E98" i="16"/>
  <c r="E125" i="16" s="1"/>
  <c r="J92" i="14"/>
  <c r="J105" i="16"/>
  <c r="J132" i="16" s="1"/>
  <c r="J91" i="14"/>
  <c r="J104" i="16"/>
  <c r="J131" i="16" s="1"/>
  <c r="J106" i="16"/>
  <c r="J133" i="16" s="1"/>
  <c r="J93" i="14"/>
  <c r="J101" i="16"/>
  <c r="J128" i="16" s="1"/>
  <c r="J88" i="14"/>
  <c r="J89" i="14"/>
  <c r="J102" i="16"/>
  <c r="J129" i="16" s="1"/>
  <c r="K98" i="16"/>
  <c r="K125" i="16" s="1"/>
  <c r="K85" i="14"/>
  <c r="K93" i="16"/>
  <c r="K120" i="16" s="1"/>
  <c r="K80" i="14"/>
  <c r="K97" i="16"/>
  <c r="K124" i="16" s="1"/>
  <c r="K84" i="14"/>
  <c r="K105" i="16"/>
  <c r="K132" i="16" s="1"/>
  <c r="K92" i="14"/>
  <c r="D94" i="14"/>
  <c r="D107" i="16"/>
  <c r="D134" i="16" s="1"/>
  <c r="D82" i="14"/>
  <c r="D95" i="16"/>
  <c r="D122" i="16" s="1"/>
  <c r="D80" i="14"/>
  <c r="D93" i="16"/>
  <c r="D120" i="16" s="1"/>
  <c r="D93" i="14"/>
  <c r="D106" i="16"/>
  <c r="D133" i="16" s="1"/>
  <c r="H95" i="14"/>
  <c r="H108" i="16"/>
  <c r="H135" i="16" s="1"/>
  <c r="H93" i="16"/>
  <c r="H120" i="16" s="1"/>
  <c r="H80" i="14"/>
  <c r="H86" i="14"/>
  <c r="H99" i="16"/>
  <c r="H126" i="16" s="1"/>
  <c r="H90" i="16"/>
  <c r="H117" i="16" s="1"/>
  <c r="H77" i="14"/>
  <c r="H97" i="16"/>
  <c r="H124" i="16" s="1"/>
  <c r="H84" i="14"/>
  <c r="M86" i="14"/>
  <c r="M99" i="16"/>
  <c r="M126" i="16" s="1"/>
  <c r="M87" i="14"/>
  <c r="M100" i="16"/>
  <c r="M127" i="16" s="1"/>
  <c r="M90" i="16"/>
  <c r="M117" i="16" s="1"/>
  <c r="M77" i="14"/>
  <c r="M98" i="14"/>
  <c r="M111" i="16"/>
  <c r="M138" i="16" s="1"/>
  <c r="M76" i="14"/>
  <c r="M89" i="16"/>
  <c r="M116" i="16" s="1"/>
  <c r="F107" i="16"/>
  <c r="F134" i="16" s="1"/>
  <c r="F94" i="14"/>
  <c r="F97" i="14"/>
  <c r="F110" i="16"/>
  <c r="F137" i="16" s="1"/>
  <c r="F109" i="16"/>
  <c r="F136" i="16" s="1"/>
  <c r="F96" i="14"/>
  <c r="F90" i="16"/>
  <c r="F117" i="16" s="1"/>
  <c r="F77" i="14"/>
  <c r="F85" i="14"/>
  <c r="F98" i="16"/>
  <c r="F125" i="16" s="1"/>
  <c r="L99" i="16"/>
  <c r="L126" i="16" s="1"/>
  <c r="L86" i="14"/>
  <c r="L110" i="16"/>
  <c r="L137" i="16" s="1"/>
  <c r="L97" i="14"/>
  <c r="L71" i="14"/>
  <c r="L109" i="16"/>
  <c r="L136" i="16" s="1"/>
  <c r="L96" i="14"/>
  <c r="L79" i="14"/>
  <c r="L92" i="16"/>
  <c r="L119" i="16" s="1"/>
  <c r="L83" i="14"/>
  <c r="L96" i="16"/>
  <c r="L123" i="16" s="1"/>
  <c r="L101" i="16"/>
  <c r="L128" i="16" s="1"/>
  <c r="L88" i="14"/>
  <c r="L94" i="14"/>
  <c r="L107" i="16"/>
  <c r="L134" i="16" s="1"/>
  <c r="I85" i="14"/>
  <c r="I98" i="16"/>
  <c r="I125" i="16" s="1"/>
  <c r="G85" i="14"/>
  <c r="G98" i="16"/>
  <c r="G125" i="16" s="1"/>
  <c r="G92" i="14"/>
  <c r="G105" i="16"/>
  <c r="G132" i="16" s="1"/>
  <c r="G79" i="14"/>
  <c r="G92" i="16"/>
  <c r="G119" i="16" s="1"/>
  <c r="G89" i="16"/>
  <c r="G76" i="14"/>
  <c r="G71" i="14"/>
  <c r="E86" i="14"/>
  <c r="E99" i="16"/>
  <c r="E126" i="16" s="1"/>
  <c r="E87" i="14"/>
  <c r="E100" i="16"/>
  <c r="E127" i="16" s="1"/>
  <c r="E93" i="14"/>
  <c r="E106" i="16"/>
  <c r="E133" i="16" s="1"/>
  <c r="J107" i="16"/>
  <c r="J134" i="16" s="1"/>
  <c r="J94" i="14"/>
  <c r="J79" i="14"/>
  <c r="J92" i="16"/>
  <c r="J119" i="16" s="1"/>
  <c r="J90" i="14"/>
  <c r="J103" i="16"/>
  <c r="J130" i="16" s="1"/>
  <c r="J84" i="14"/>
  <c r="J97" i="16"/>
  <c r="J124" i="16" s="1"/>
  <c r="J80" i="14"/>
  <c r="J93" i="16"/>
  <c r="J120" i="16" s="1"/>
  <c r="K110" i="16"/>
  <c r="K137" i="16" s="1"/>
  <c r="K97" i="14"/>
  <c r="K107" i="16"/>
  <c r="K134" i="16" s="1"/>
  <c r="K94" i="14"/>
  <c r="C60" i="14"/>
  <c r="C65" i="14"/>
  <c r="C64" i="14"/>
  <c r="C69" i="14"/>
  <c r="C54" i="14"/>
  <c r="C59" i="14"/>
  <c r="C57" i="14"/>
  <c r="C66" i="14"/>
  <c r="C49" i="14"/>
  <c r="C55" i="14"/>
  <c r="C51" i="14"/>
  <c r="C58" i="14"/>
  <c r="C63" i="14"/>
  <c r="C70" i="14"/>
  <c r="C52" i="14"/>
  <c r="C68" i="14"/>
  <c r="C53" i="14"/>
  <c r="C61" i="14"/>
  <c r="C62" i="14"/>
  <c r="C67" i="14"/>
  <c r="C50" i="14"/>
  <c r="C56" i="14"/>
  <c r="D102" i="16"/>
  <c r="D129" i="16" s="1"/>
  <c r="D89" i="14"/>
  <c r="D95" i="14"/>
  <c r="D108" i="16"/>
  <c r="D135" i="16" s="1"/>
  <c r="D98" i="16"/>
  <c r="D125" i="16" s="1"/>
  <c r="D85" i="14"/>
  <c r="H90" i="14"/>
  <c r="H103" i="16"/>
  <c r="H130" i="16" s="1"/>
  <c r="H89" i="16"/>
  <c r="H76" i="14"/>
  <c r="H71" i="14"/>
  <c r="H109" i="16"/>
  <c r="H136" i="16" s="1"/>
  <c r="H96" i="14"/>
  <c r="M106" i="16"/>
  <c r="M133" i="16" s="1"/>
  <c r="M93" i="14"/>
  <c r="M85" i="14"/>
  <c r="M98" i="16"/>
  <c r="M125" i="16" s="1"/>
  <c r="F91" i="14"/>
  <c r="F104" i="16"/>
  <c r="F131" i="16" s="1"/>
  <c r="F100" i="16"/>
  <c r="F127" i="16" s="1"/>
  <c r="F87" i="14"/>
  <c r="F92" i="14"/>
  <c r="F105" i="16"/>
  <c r="F132" i="16" s="1"/>
  <c r="L89" i="16"/>
  <c r="L76" i="14"/>
  <c r="L108" i="16"/>
  <c r="L135" i="16" s="1"/>
  <c r="L95" i="14"/>
  <c r="I89" i="14"/>
  <c r="I102" i="16"/>
  <c r="I129" i="16" s="1"/>
  <c r="I77" i="14"/>
  <c r="I90" i="16"/>
  <c r="I117" i="16" s="1"/>
  <c r="I76" i="14"/>
  <c r="I71" i="14"/>
  <c r="I89" i="16"/>
  <c r="G108" i="16"/>
  <c r="G135" i="16" s="1"/>
  <c r="G95" i="14"/>
  <c r="G107" i="16"/>
  <c r="G134" i="16" s="1"/>
  <c r="G94" i="14"/>
  <c r="G77" i="14"/>
  <c r="G90" i="16"/>
  <c r="G117" i="16" s="1"/>
  <c r="G99" i="16"/>
  <c r="G126" i="16" s="1"/>
  <c r="G86" i="14"/>
  <c r="E78" i="14"/>
  <c r="E91" i="16"/>
  <c r="E118" i="16" s="1"/>
  <c r="E77" i="14"/>
  <c r="E90" i="16"/>
  <c r="E117" i="16" s="1"/>
  <c r="E82" i="14"/>
  <c r="E95" i="16"/>
  <c r="E122" i="16" s="1"/>
  <c r="J108" i="16"/>
  <c r="J135" i="16" s="1"/>
  <c r="J95" i="14"/>
  <c r="J87" i="14"/>
  <c r="J100" i="16"/>
  <c r="J127" i="16" s="1"/>
  <c r="J110" i="16"/>
  <c r="J137" i="16" s="1"/>
  <c r="J97" i="14"/>
  <c r="J96" i="16"/>
  <c r="J123" i="16" s="1"/>
  <c r="J83" i="14"/>
  <c r="K106" i="16"/>
  <c r="K133" i="16" s="1"/>
  <c r="K93" i="14"/>
  <c r="K89" i="16"/>
  <c r="K76" i="14"/>
  <c r="K71" i="14"/>
  <c r="K95" i="16"/>
  <c r="K122" i="16" s="1"/>
  <c r="K82" i="14"/>
  <c r="K90" i="16"/>
  <c r="K117" i="16" s="1"/>
  <c r="K77" i="14"/>
  <c r="D103" i="16"/>
  <c r="D130" i="16" s="1"/>
  <c r="D90" i="14"/>
  <c r="D83" i="14"/>
  <c r="D96" i="16"/>
  <c r="D123" i="16" s="1"/>
  <c r="H93" i="14"/>
  <c r="H106" i="16"/>
  <c r="H133" i="16" s="1"/>
  <c r="H91" i="14"/>
  <c r="H104" i="16"/>
  <c r="H131" i="16" s="1"/>
  <c r="M103" i="16"/>
  <c r="M130" i="16" s="1"/>
  <c r="M90" i="14"/>
  <c r="M91" i="14"/>
  <c r="M104" i="16"/>
  <c r="M131" i="16" s="1"/>
  <c r="F83" i="14"/>
  <c r="F96" i="16"/>
  <c r="F123" i="16" s="1"/>
  <c r="F95" i="14"/>
  <c r="F108" i="16"/>
  <c r="F135" i="16" s="1"/>
  <c r="F81" i="14"/>
  <c r="F94" i="16"/>
  <c r="F121" i="16" s="1"/>
  <c r="F95" i="16"/>
  <c r="F122" i="16" s="1"/>
  <c r="F82" i="14"/>
  <c r="L100" i="16"/>
  <c r="L127" i="16" s="1"/>
  <c r="L87" i="14"/>
  <c r="L77" i="14"/>
  <c r="L90" i="16"/>
  <c r="L117" i="16" s="1"/>
  <c r="L82" i="14"/>
  <c r="L95" i="16"/>
  <c r="L122" i="16" s="1"/>
  <c r="I91" i="14"/>
  <c r="I104" i="16"/>
  <c r="I131" i="16" s="1"/>
  <c r="I88" i="14"/>
  <c r="I101" i="16"/>
  <c r="I128" i="16" s="1"/>
  <c r="I81" i="14"/>
  <c r="I94" i="16"/>
  <c r="I121" i="16" s="1"/>
  <c r="I82" i="14"/>
  <c r="I95" i="16"/>
  <c r="I122" i="16" s="1"/>
  <c r="I94" i="14"/>
  <c r="I107" i="16"/>
  <c r="I134" i="16" s="1"/>
  <c r="I84" i="14"/>
  <c r="I97" i="16"/>
  <c r="I124" i="16" s="1"/>
  <c r="I83" i="14"/>
  <c r="I96" i="16"/>
  <c r="I123" i="16" s="1"/>
  <c r="G93" i="14"/>
  <c r="G106" i="16"/>
  <c r="G133" i="16" s="1"/>
  <c r="G81" i="14"/>
  <c r="G94" i="16"/>
  <c r="G121" i="16" s="1"/>
  <c r="G96" i="16"/>
  <c r="G123" i="16" s="1"/>
  <c r="G83" i="14"/>
  <c r="G101" i="16"/>
  <c r="G128" i="16" s="1"/>
  <c r="G88" i="14"/>
  <c r="G96" i="14"/>
  <c r="G109" i="16"/>
  <c r="G136" i="16" s="1"/>
  <c r="G84" i="14"/>
  <c r="G97" i="16"/>
  <c r="G124" i="16" s="1"/>
  <c r="G90" i="14"/>
  <c r="G103" i="16"/>
  <c r="G130" i="16" s="1"/>
  <c r="G82" i="14"/>
  <c r="G95" i="16"/>
  <c r="G122" i="16" s="1"/>
  <c r="E93" i="16"/>
  <c r="E120" i="16" s="1"/>
  <c r="E80" i="14"/>
  <c r="E108" i="16"/>
  <c r="E135" i="16" s="1"/>
  <c r="E95" i="14"/>
  <c r="E97" i="16"/>
  <c r="E124" i="16" s="1"/>
  <c r="E84" i="14"/>
  <c r="E102" i="16"/>
  <c r="E129" i="16" s="1"/>
  <c r="E89" i="14"/>
  <c r="E94" i="16"/>
  <c r="E121" i="16" s="1"/>
  <c r="E81" i="14"/>
  <c r="J78" i="14"/>
  <c r="J91" i="16"/>
  <c r="J118" i="16" s="1"/>
  <c r="J77" i="14"/>
  <c r="J90" i="16"/>
  <c r="J117" i="16" s="1"/>
  <c r="J96" i="14"/>
  <c r="J109" i="16"/>
  <c r="J136" i="16" s="1"/>
  <c r="K100" i="16"/>
  <c r="K127" i="16" s="1"/>
  <c r="K87" i="14"/>
  <c r="K99" i="16"/>
  <c r="K126" i="16" s="1"/>
  <c r="K86" i="14"/>
  <c r="K102" i="16"/>
  <c r="K129" i="16" s="1"/>
  <c r="K89" i="14"/>
  <c r="K92" i="16"/>
  <c r="K119" i="16" s="1"/>
  <c r="K79" i="14"/>
  <c r="K94" i="16"/>
  <c r="K121" i="16" s="1"/>
  <c r="K81" i="14"/>
  <c r="D88" i="14"/>
  <c r="D101" i="16"/>
  <c r="D128" i="16" s="1"/>
  <c r="D97" i="14"/>
  <c r="D110" i="16"/>
  <c r="D137" i="16" s="1"/>
  <c r="D79" i="14"/>
  <c r="D92" i="16"/>
  <c r="D119" i="16" s="1"/>
  <c r="D81" i="14"/>
  <c r="D94" i="16"/>
  <c r="D121" i="16" s="1"/>
  <c r="D77" i="14"/>
  <c r="D90" i="16"/>
  <c r="D117" i="16" s="1"/>
  <c r="D100" i="16"/>
  <c r="D127" i="16" s="1"/>
  <c r="D87" i="14"/>
  <c r="H78" i="14"/>
  <c r="H91" i="16"/>
  <c r="H118" i="16" s="1"/>
  <c r="H97" i="14"/>
  <c r="H110" i="16"/>
  <c r="H137" i="16" s="1"/>
  <c r="H100" i="16"/>
  <c r="H127" i="16" s="1"/>
  <c r="H87" i="14"/>
  <c r="H81" i="14"/>
  <c r="H94" i="16"/>
  <c r="H121" i="16" s="1"/>
  <c r="H89" i="14"/>
  <c r="H102" i="16"/>
  <c r="H129" i="16" s="1"/>
  <c r="H83" i="14"/>
  <c r="H96" i="16"/>
  <c r="H123" i="16" s="1"/>
  <c r="H85" i="14"/>
  <c r="H98" i="16"/>
  <c r="H125" i="16" s="1"/>
  <c r="M107" i="16"/>
  <c r="M134" i="16" s="1"/>
  <c r="M94" i="14"/>
  <c r="M83" i="14"/>
  <c r="M96" i="16"/>
  <c r="M123" i="16" s="1"/>
  <c r="M89" i="14"/>
  <c r="M102" i="16"/>
  <c r="M129" i="16" s="1"/>
  <c r="M78" i="14"/>
  <c r="M91" i="16"/>
  <c r="M118" i="16" s="1"/>
  <c r="M82" i="14"/>
  <c r="M95" i="16"/>
  <c r="M122" i="16" s="1"/>
  <c r="F89" i="14"/>
  <c r="F102" i="16"/>
  <c r="F129" i="16" s="1"/>
  <c r="F89" i="16"/>
  <c r="F76" i="14"/>
  <c r="F71" i="14"/>
  <c r="F93" i="14"/>
  <c r="F106" i="16"/>
  <c r="F133" i="16" s="1"/>
  <c r="F79" i="14"/>
  <c r="F92" i="16"/>
  <c r="F119" i="16" s="1"/>
  <c r="F101" i="16"/>
  <c r="F128" i="16" s="1"/>
  <c r="F88" i="14"/>
  <c r="L90" i="14"/>
  <c r="L103" i="16"/>
  <c r="L130" i="16" s="1"/>
  <c r="L93" i="14"/>
  <c r="L106" i="16"/>
  <c r="L133" i="16" s="1"/>
  <c r="L93" i="16"/>
  <c r="L120" i="16" s="1"/>
  <c r="L80" i="14"/>
  <c r="L85" i="14"/>
  <c r="L98" i="16"/>
  <c r="L125" i="16" s="1"/>
  <c r="L102" i="16"/>
  <c r="L129" i="16" s="1"/>
  <c r="L89" i="14"/>
  <c r="C55" i="37" l="1"/>
  <c r="O55" i="37" s="1"/>
  <c r="N28" i="37"/>
  <c r="H32" i="17" s="1"/>
  <c r="C42" i="37"/>
  <c r="O42" i="37" s="1"/>
  <c r="N15" i="37"/>
  <c r="H19" i="17" s="1"/>
  <c r="C46" i="37"/>
  <c r="O46" i="37" s="1"/>
  <c r="N19" i="37"/>
  <c r="H23" i="17" s="1"/>
  <c r="C53" i="37"/>
  <c r="O53" i="37" s="1"/>
  <c r="N26" i="37"/>
  <c r="H30" i="17" s="1"/>
  <c r="C50" i="37"/>
  <c r="O50" i="37" s="1"/>
  <c r="N23" i="37"/>
  <c r="H27" i="17" s="1"/>
  <c r="C40" i="37"/>
  <c r="O40" i="37" s="1"/>
  <c r="N13" i="37"/>
  <c r="H17" i="17" s="1"/>
  <c r="H57" i="37"/>
  <c r="E57" i="37"/>
  <c r="J57" i="37"/>
  <c r="C47" i="37"/>
  <c r="O47" i="37" s="1"/>
  <c r="N20" i="37"/>
  <c r="H24" i="17" s="1"/>
  <c r="C45" i="37"/>
  <c r="O45" i="37" s="1"/>
  <c r="N18" i="37"/>
  <c r="H22" i="17" s="1"/>
  <c r="C37" i="37"/>
  <c r="O37" i="37" s="1"/>
  <c r="N10" i="37"/>
  <c r="H14" i="17" s="1"/>
  <c r="C39" i="37"/>
  <c r="O39" i="37" s="1"/>
  <c r="N12" i="37"/>
  <c r="H16" i="17" s="1"/>
  <c r="C43" i="37"/>
  <c r="O43" i="37" s="1"/>
  <c r="N16" i="37"/>
  <c r="H20" i="17" s="1"/>
  <c r="C36" i="37"/>
  <c r="O36" i="37" s="1"/>
  <c r="N9" i="37"/>
  <c r="H13" i="17" s="1"/>
  <c r="F57" i="37"/>
  <c r="G57" i="37"/>
  <c r="C48" i="37"/>
  <c r="O48" i="37" s="1"/>
  <c r="N21" i="37"/>
  <c r="H25" i="17" s="1"/>
  <c r="C56" i="37"/>
  <c r="O56" i="37" s="1"/>
  <c r="N29" i="37"/>
  <c r="H33" i="17" s="1"/>
  <c r="C52" i="37"/>
  <c r="O52" i="37" s="1"/>
  <c r="N25" i="37"/>
  <c r="H29" i="17" s="1"/>
  <c r="C38" i="37"/>
  <c r="O38" i="37" s="1"/>
  <c r="N11" i="37"/>
  <c r="H15" i="17" s="1"/>
  <c r="C35" i="37"/>
  <c r="O35" i="37" s="1"/>
  <c r="N8" i="37"/>
  <c r="H12" i="17" s="1"/>
  <c r="C30" i="37"/>
  <c r="K57" i="37"/>
  <c r="D57" i="37"/>
  <c r="L57" i="37"/>
  <c r="I57" i="37"/>
  <c r="C54" i="37"/>
  <c r="O54" i="37" s="1"/>
  <c r="N27" i="37"/>
  <c r="H31" i="17" s="1"/>
  <c r="C41" i="37"/>
  <c r="O41" i="37" s="1"/>
  <c r="N14" i="37"/>
  <c r="H18" i="17" s="1"/>
  <c r="C44" i="37"/>
  <c r="O44" i="37" s="1"/>
  <c r="N17" i="37"/>
  <c r="H21" i="17" s="1"/>
  <c r="C49" i="37"/>
  <c r="O49" i="37" s="1"/>
  <c r="N22" i="37"/>
  <c r="H26" i="17" s="1"/>
  <c r="C51" i="37"/>
  <c r="O51" i="37" s="1"/>
  <c r="N24" i="37"/>
  <c r="H28" i="17" s="1"/>
  <c r="K98" i="14"/>
  <c r="L116" i="16"/>
  <c r="L111" i="16"/>
  <c r="C78" i="14"/>
  <c r="O78" i="14" s="1"/>
  <c r="C91" i="16"/>
  <c r="N51" i="14"/>
  <c r="C84" i="14"/>
  <c r="O84" i="14" s="1"/>
  <c r="C97" i="16"/>
  <c r="N57" i="14"/>
  <c r="C91" i="14"/>
  <c r="O91" i="14" s="1"/>
  <c r="C104" i="16"/>
  <c r="N64" i="14"/>
  <c r="G98" i="14"/>
  <c r="E116" i="16"/>
  <c r="E111" i="16"/>
  <c r="D98" i="14"/>
  <c r="F116" i="16"/>
  <c r="F111" i="16"/>
  <c r="K116" i="16"/>
  <c r="K111" i="16"/>
  <c r="I98" i="14"/>
  <c r="C94" i="14"/>
  <c r="O94" i="14" s="1"/>
  <c r="C107" i="16"/>
  <c r="N67" i="14"/>
  <c r="C80" i="14"/>
  <c r="O80" i="14" s="1"/>
  <c r="C93" i="16"/>
  <c r="N53" i="14"/>
  <c r="C79" i="14"/>
  <c r="O79" i="14" s="1"/>
  <c r="C92" i="16"/>
  <c r="N52" i="14"/>
  <c r="C85" i="14"/>
  <c r="O85" i="14" s="1"/>
  <c r="C98" i="16"/>
  <c r="N58" i="14"/>
  <c r="C76" i="14"/>
  <c r="O76" i="14" s="1"/>
  <c r="C71" i="14"/>
  <c r="C89" i="16"/>
  <c r="N49" i="14"/>
  <c r="C81" i="14"/>
  <c r="O81" i="14" s="1"/>
  <c r="C94" i="16"/>
  <c r="N54" i="14"/>
  <c r="G116" i="16"/>
  <c r="G111" i="16"/>
  <c r="L98" i="14"/>
  <c r="D116" i="16"/>
  <c r="D111" i="16"/>
  <c r="J116" i="16"/>
  <c r="J111" i="16"/>
  <c r="H116" i="16"/>
  <c r="H111" i="16"/>
  <c r="C83" i="14"/>
  <c r="O83" i="14" s="1"/>
  <c r="C96" i="16"/>
  <c r="N56" i="14"/>
  <c r="C89" i="14"/>
  <c r="O89" i="14" s="1"/>
  <c r="C102" i="16"/>
  <c r="N62" i="14"/>
  <c r="C93" i="14"/>
  <c r="O93" i="14" s="1"/>
  <c r="C106" i="16"/>
  <c r="N66" i="14"/>
  <c r="C96" i="14"/>
  <c r="O96" i="14" s="1"/>
  <c r="C109" i="16"/>
  <c r="N69" i="14"/>
  <c r="C87" i="14"/>
  <c r="O87" i="14" s="1"/>
  <c r="C100" i="16"/>
  <c r="N60" i="14"/>
  <c r="E98" i="14"/>
  <c r="F98" i="14"/>
  <c r="I116" i="16"/>
  <c r="I111" i="16"/>
  <c r="H98" i="14"/>
  <c r="C77" i="14"/>
  <c r="O77" i="14" s="1"/>
  <c r="C90" i="16"/>
  <c r="N50" i="14"/>
  <c r="C88" i="14"/>
  <c r="O88" i="14" s="1"/>
  <c r="C101" i="16"/>
  <c r="N61" i="14"/>
  <c r="C95" i="14"/>
  <c r="O95" i="14" s="1"/>
  <c r="C108" i="16"/>
  <c r="N68" i="14"/>
  <c r="C97" i="14"/>
  <c r="O97" i="14" s="1"/>
  <c r="C110" i="16"/>
  <c r="N70" i="14"/>
  <c r="C90" i="14"/>
  <c r="O90" i="14" s="1"/>
  <c r="C103" i="16"/>
  <c r="N63" i="14"/>
  <c r="C82" i="14"/>
  <c r="O82" i="14" s="1"/>
  <c r="C95" i="16"/>
  <c r="N55" i="14"/>
  <c r="C86" i="14"/>
  <c r="O86" i="14" s="1"/>
  <c r="C99" i="16"/>
  <c r="N59" i="14"/>
  <c r="C92" i="14"/>
  <c r="O92" i="14" s="1"/>
  <c r="C105" i="16"/>
  <c r="N65" i="14"/>
  <c r="J98" i="14"/>
  <c r="N51" i="37" l="1"/>
  <c r="O24" i="37"/>
  <c r="N44" i="37"/>
  <c r="O17" i="37"/>
  <c r="N54" i="37"/>
  <c r="O27" i="37"/>
  <c r="N43" i="37"/>
  <c r="O16" i="37"/>
  <c r="N37" i="37"/>
  <c r="O10" i="37"/>
  <c r="N47" i="37"/>
  <c r="O20" i="37"/>
  <c r="N40" i="37"/>
  <c r="O13" i="37"/>
  <c r="N53" i="37"/>
  <c r="O26" i="37"/>
  <c r="N42" i="37"/>
  <c r="O15" i="37"/>
  <c r="N38" i="37"/>
  <c r="O11" i="37"/>
  <c r="O29" i="37"/>
  <c r="N56" i="37"/>
  <c r="N49" i="37"/>
  <c r="O22" i="37"/>
  <c r="N41" i="37"/>
  <c r="O14" i="37"/>
  <c r="C57" i="37"/>
  <c r="N36" i="37"/>
  <c r="O9" i="37"/>
  <c r="N39" i="37"/>
  <c r="O12" i="37"/>
  <c r="N45" i="37"/>
  <c r="O18" i="37"/>
  <c r="N50" i="37"/>
  <c r="O23" i="37"/>
  <c r="N46" i="37"/>
  <c r="O19" i="37"/>
  <c r="N55" i="37"/>
  <c r="O28" i="37"/>
  <c r="N30" i="37"/>
  <c r="N35" i="37"/>
  <c r="O8" i="37"/>
  <c r="N52" i="37"/>
  <c r="O25" i="37"/>
  <c r="N48" i="37"/>
  <c r="O21" i="37"/>
  <c r="O59" i="14"/>
  <c r="F47" i="16"/>
  <c r="G47" i="16" s="1"/>
  <c r="H47" i="16" s="1"/>
  <c r="N86" i="14"/>
  <c r="O60" i="14"/>
  <c r="F48" i="16"/>
  <c r="G48" i="16" s="1"/>
  <c r="H48" i="16" s="1"/>
  <c r="N87" i="14"/>
  <c r="H138" i="16"/>
  <c r="N80" i="14"/>
  <c r="O53" i="14"/>
  <c r="F41" i="16"/>
  <c r="G41" i="16" s="1"/>
  <c r="H41" i="16" s="1"/>
  <c r="N91" i="14"/>
  <c r="F52" i="16"/>
  <c r="G52" i="16" s="1"/>
  <c r="H52" i="16" s="1"/>
  <c r="O64" i="14"/>
  <c r="C122" i="16"/>
  <c r="O95" i="16"/>
  <c r="N95" i="14"/>
  <c r="F56" i="16"/>
  <c r="G56" i="16" s="1"/>
  <c r="H56" i="16" s="1"/>
  <c r="O68" i="14"/>
  <c r="N77" i="14"/>
  <c r="O50" i="14"/>
  <c r="F38" i="16"/>
  <c r="G38" i="16" s="1"/>
  <c r="H38" i="16" s="1"/>
  <c r="C136" i="16"/>
  <c r="O109" i="16"/>
  <c r="O58" i="14"/>
  <c r="N85" i="14"/>
  <c r="F46" i="16"/>
  <c r="G46" i="16" s="1"/>
  <c r="H46" i="16" s="1"/>
  <c r="L138" i="16"/>
  <c r="C126" i="16"/>
  <c r="O99" i="16"/>
  <c r="N97" i="14"/>
  <c r="O70" i="14"/>
  <c r="F58" i="16"/>
  <c r="G58" i="16" s="1"/>
  <c r="H58" i="16" s="1"/>
  <c r="O61" i="14"/>
  <c r="F49" i="16"/>
  <c r="G49" i="16" s="1"/>
  <c r="H49" i="16" s="1"/>
  <c r="N88" i="14"/>
  <c r="C127" i="16"/>
  <c r="O100" i="16"/>
  <c r="C133" i="16"/>
  <c r="O106" i="16"/>
  <c r="N83" i="14"/>
  <c r="O56" i="14"/>
  <c r="F44" i="16"/>
  <c r="G44" i="16" s="1"/>
  <c r="H44" i="16" s="1"/>
  <c r="O89" i="16"/>
  <c r="C111" i="16"/>
  <c r="C116" i="16"/>
  <c r="N79" i="14"/>
  <c r="F40" i="16"/>
  <c r="G40" i="16" s="1"/>
  <c r="H40" i="16" s="1"/>
  <c r="O52" i="14"/>
  <c r="C120" i="16"/>
  <c r="O93" i="16"/>
  <c r="K138" i="16"/>
  <c r="N90" i="14"/>
  <c r="F51" i="16"/>
  <c r="G51" i="16" s="1"/>
  <c r="H51" i="16" s="1"/>
  <c r="O63" i="14"/>
  <c r="C137" i="16"/>
  <c r="O110" i="16"/>
  <c r="C128" i="16"/>
  <c r="O101" i="16"/>
  <c r="N89" i="14"/>
  <c r="F50" i="16"/>
  <c r="G50" i="16" s="1"/>
  <c r="H50" i="16" s="1"/>
  <c r="O62" i="14"/>
  <c r="C123" i="16"/>
  <c r="O96" i="16"/>
  <c r="C121" i="16"/>
  <c r="O94" i="16"/>
  <c r="C98" i="14"/>
  <c r="C119" i="16"/>
  <c r="O92" i="16"/>
  <c r="C134" i="16"/>
  <c r="O107" i="16"/>
  <c r="C131" i="16"/>
  <c r="O104" i="16"/>
  <c r="O57" i="14"/>
  <c r="N84" i="14"/>
  <c r="F45" i="16"/>
  <c r="G45" i="16" s="1"/>
  <c r="H45" i="16" s="1"/>
  <c r="C118" i="16"/>
  <c r="O91" i="16"/>
  <c r="C132" i="16"/>
  <c r="O105" i="16"/>
  <c r="F54" i="16"/>
  <c r="G54" i="16" s="1"/>
  <c r="H54" i="16" s="1"/>
  <c r="N93" i="14"/>
  <c r="O66" i="14"/>
  <c r="N76" i="14"/>
  <c r="F37" i="16"/>
  <c r="N71" i="14"/>
  <c r="C72" i="14" s="1"/>
  <c r="O49" i="14"/>
  <c r="C135" i="16"/>
  <c r="O108" i="16"/>
  <c r="C117" i="16"/>
  <c r="O90" i="16"/>
  <c r="D138" i="16"/>
  <c r="O54" i="14"/>
  <c r="N81" i="14"/>
  <c r="F42" i="16"/>
  <c r="G42" i="16" s="1"/>
  <c r="H42" i="16" s="1"/>
  <c r="C125" i="16"/>
  <c r="O98" i="16"/>
  <c r="N94" i="14"/>
  <c r="O67" i="14"/>
  <c r="F55" i="16"/>
  <c r="G55" i="16" s="1"/>
  <c r="H55" i="16" s="1"/>
  <c r="E138" i="16"/>
  <c r="O51" i="14"/>
  <c r="F39" i="16"/>
  <c r="G39" i="16" s="1"/>
  <c r="H39" i="16" s="1"/>
  <c r="N78" i="14"/>
  <c r="N92" i="14"/>
  <c r="O65" i="14"/>
  <c r="F53" i="16"/>
  <c r="G53" i="16" s="1"/>
  <c r="H53" i="16" s="1"/>
  <c r="N82" i="14"/>
  <c r="O55" i="14"/>
  <c r="F43" i="16"/>
  <c r="G43" i="16" s="1"/>
  <c r="H43" i="16" s="1"/>
  <c r="C130" i="16"/>
  <c r="O103" i="16"/>
  <c r="I138" i="16"/>
  <c r="O69" i="14"/>
  <c r="N96" i="14"/>
  <c r="F57" i="16"/>
  <c r="G57" i="16" s="1"/>
  <c r="H57" i="16" s="1"/>
  <c r="C129" i="16"/>
  <c r="O102" i="16"/>
  <c r="J138" i="16"/>
  <c r="G138" i="16"/>
  <c r="F138" i="16"/>
  <c r="C124" i="16"/>
  <c r="O97" i="16"/>
  <c r="C31" i="37" l="1"/>
  <c r="H34" i="17"/>
  <c r="N57" i="37"/>
  <c r="O30" i="37"/>
  <c r="M31" i="37"/>
  <c r="H31" i="37"/>
  <c r="D31" i="37"/>
  <c r="I31" i="37"/>
  <c r="J31" i="37"/>
  <c r="G31" i="37"/>
  <c r="E31" i="37"/>
  <c r="L31" i="37"/>
  <c r="F31" i="37"/>
  <c r="K31" i="37"/>
  <c r="O57" i="37"/>
  <c r="C58" i="37" s="1"/>
  <c r="O135" i="16"/>
  <c r="P108" i="16"/>
  <c r="F29" i="16"/>
  <c r="O119" i="16"/>
  <c r="F13" i="16"/>
  <c r="P92" i="16"/>
  <c r="O116" i="16"/>
  <c r="P89" i="16"/>
  <c r="O111" i="16"/>
  <c r="C112" i="16" s="1"/>
  <c r="F10" i="16"/>
  <c r="E1" i="14"/>
  <c r="O125" i="16"/>
  <c r="P98" i="16"/>
  <c r="F19" i="16"/>
  <c r="F59" i="16"/>
  <c r="G59" i="16" s="1"/>
  <c r="H59" i="16" s="1"/>
  <c r="G37" i="16"/>
  <c r="H37" i="16" s="1"/>
  <c r="O137" i="16"/>
  <c r="P110" i="16"/>
  <c r="F31" i="16"/>
  <c r="O136" i="16"/>
  <c r="P109" i="16"/>
  <c r="F30" i="16"/>
  <c r="O118" i="16"/>
  <c r="P91" i="16"/>
  <c r="F12" i="16"/>
  <c r="O131" i="16"/>
  <c r="P104" i="16"/>
  <c r="F25" i="16"/>
  <c r="O123" i="16"/>
  <c r="P96" i="16"/>
  <c r="F17" i="16"/>
  <c r="O120" i="16"/>
  <c r="F14" i="16"/>
  <c r="P93" i="16"/>
  <c r="O127" i="16"/>
  <c r="P100" i="16"/>
  <c r="F21" i="16"/>
  <c r="O124" i="16"/>
  <c r="F18" i="16"/>
  <c r="P97" i="16"/>
  <c r="O117" i="16"/>
  <c r="P90" i="16"/>
  <c r="F11" i="16"/>
  <c r="O132" i="16"/>
  <c r="P105" i="16"/>
  <c r="F26" i="16"/>
  <c r="O134" i="16"/>
  <c r="F28" i="16"/>
  <c r="P107" i="16"/>
  <c r="O126" i="16"/>
  <c r="P99" i="16"/>
  <c r="F20" i="16"/>
  <c r="O130" i="16"/>
  <c r="F24" i="16"/>
  <c r="P103" i="16"/>
  <c r="O71" i="14"/>
  <c r="N98" i="14"/>
  <c r="C99" i="14" s="1"/>
  <c r="F1" i="14"/>
  <c r="M72" i="14"/>
  <c r="M112" i="16" s="1"/>
  <c r="K72" i="14"/>
  <c r="D72" i="14"/>
  <c r="I72" i="14"/>
  <c r="E72" i="14"/>
  <c r="H72" i="14"/>
  <c r="J72" i="14"/>
  <c r="G72" i="14"/>
  <c r="L72" i="14"/>
  <c r="F72" i="14"/>
  <c r="O121" i="16"/>
  <c r="P94" i="16"/>
  <c r="F15" i="16"/>
  <c r="O129" i="16"/>
  <c r="P102" i="16"/>
  <c r="F23" i="16"/>
  <c r="O98" i="14"/>
  <c r="O128" i="16"/>
  <c r="P101" i="16"/>
  <c r="F22" i="16"/>
  <c r="C138" i="16"/>
  <c r="O133" i="16"/>
  <c r="P106" i="16"/>
  <c r="F27" i="16"/>
  <c r="O122" i="16"/>
  <c r="P95" i="16"/>
  <c r="F16" i="16"/>
  <c r="H21" i="16" l="1"/>
  <c r="D18" i="35"/>
  <c r="H20" i="16"/>
  <c r="I20" i="16" s="1"/>
  <c r="F17" i="35" s="1"/>
  <c r="D17" i="35"/>
  <c r="H28" i="16"/>
  <c r="D25" i="35"/>
  <c r="H25" i="16"/>
  <c r="D22" i="35"/>
  <c r="H13" i="16"/>
  <c r="I13" i="16" s="1"/>
  <c r="F10" i="35" s="1"/>
  <c r="D10" i="35"/>
  <c r="H11" i="16"/>
  <c r="I11" i="16" s="1"/>
  <c r="F8" i="35" s="1"/>
  <c r="D8" i="35"/>
  <c r="H18" i="16"/>
  <c r="I18" i="16" s="1"/>
  <c r="F15" i="35" s="1"/>
  <c r="D15" i="35"/>
  <c r="H17" i="16"/>
  <c r="I17" i="16" s="1"/>
  <c r="F14" i="35" s="1"/>
  <c r="D14" i="35"/>
  <c r="H31" i="16"/>
  <c r="I31" i="16" s="1"/>
  <c r="F28" i="35" s="1"/>
  <c r="D28" i="35"/>
  <c r="H29" i="16"/>
  <c r="I29" i="16" s="1"/>
  <c r="F26" i="35" s="1"/>
  <c r="D26" i="35"/>
  <c r="H14" i="16"/>
  <c r="I14" i="16" s="1"/>
  <c r="F11" i="35" s="1"/>
  <c r="D11" i="35"/>
  <c r="H12" i="16"/>
  <c r="I12" i="16" s="1"/>
  <c r="F9" i="35" s="1"/>
  <c r="D9" i="35"/>
  <c r="H27" i="16"/>
  <c r="D24" i="35"/>
  <c r="H22" i="16"/>
  <c r="D19" i="35"/>
  <c r="H15" i="16"/>
  <c r="I15" i="16" s="1"/>
  <c r="F12" i="35" s="1"/>
  <c r="D12" i="35"/>
  <c r="H16" i="16"/>
  <c r="I16" i="16" s="1"/>
  <c r="F13" i="35" s="1"/>
  <c r="D13" i="35"/>
  <c r="H23" i="16"/>
  <c r="D20" i="35"/>
  <c r="H24" i="16"/>
  <c r="I24" i="16" s="1"/>
  <c r="F21" i="35" s="1"/>
  <c r="D21" i="35"/>
  <c r="H26" i="16"/>
  <c r="D23" i="35"/>
  <c r="H30" i="16"/>
  <c r="I30" i="16" s="1"/>
  <c r="F27" i="35" s="1"/>
  <c r="D27" i="35"/>
  <c r="H19" i="16"/>
  <c r="D16" i="35"/>
  <c r="H10" i="16"/>
  <c r="I10" i="16" s="1"/>
  <c r="F7" i="35" s="1"/>
  <c r="D7" i="35"/>
  <c r="N31" i="37"/>
  <c r="M58" i="37"/>
  <c r="K58" i="37"/>
  <c r="H58" i="37"/>
  <c r="J58" i="37"/>
  <c r="E58" i="37"/>
  <c r="F58" i="37"/>
  <c r="L58" i="37"/>
  <c r="I58" i="37"/>
  <c r="D58" i="37"/>
  <c r="G58" i="37"/>
  <c r="N58" i="37"/>
  <c r="N72" i="14"/>
  <c r="G22" i="16"/>
  <c r="E19" i="35" s="1"/>
  <c r="G19" i="35" s="1"/>
  <c r="I22" i="16"/>
  <c r="F19" i="35" s="1"/>
  <c r="E24" i="17"/>
  <c r="F24" i="17" s="1"/>
  <c r="G24" i="17" s="1"/>
  <c r="G11" i="16"/>
  <c r="E8" i="35" s="1"/>
  <c r="G8" i="35" s="1"/>
  <c r="E13" i="17"/>
  <c r="F13" i="17" s="1"/>
  <c r="G13" i="17" s="1"/>
  <c r="I16" i="17"/>
  <c r="J16" i="17" s="1"/>
  <c r="G16" i="16"/>
  <c r="E13" i="35" s="1"/>
  <c r="G13" i="35" s="1"/>
  <c r="E18" i="17"/>
  <c r="F18" i="17" s="1"/>
  <c r="G18" i="17" s="1"/>
  <c r="G23" i="16"/>
  <c r="E20" i="35" s="1"/>
  <c r="G20" i="35" s="1"/>
  <c r="I23" i="16"/>
  <c r="F20" i="35" s="1"/>
  <c r="E25" i="17"/>
  <c r="F25" i="17" s="1"/>
  <c r="G25" i="17" s="1"/>
  <c r="I27" i="17"/>
  <c r="J27" i="17" s="1"/>
  <c r="I25" i="17"/>
  <c r="J25" i="17" s="1"/>
  <c r="I23" i="17"/>
  <c r="J23" i="17" s="1"/>
  <c r="I21" i="16"/>
  <c r="F18" i="35" s="1"/>
  <c r="G21" i="16"/>
  <c r="E18" i="35" s="1"/>
  <c r="G18" i="35" s="1"/>
  <c r="E23" i="17"/>
  <c r="F23" i="17" s="1"/>
  <c r="G23" i="17" s="1"/>
  <c r="E16" i="17"/>
  <c r="F16" i="17" s="1"/>
  <c r="G16" i="17" s="1"/>
  <c r="G14" i="16"/>
  <c r="E11" i="35" s="1"/>
  <c r="G11" i="35" s="1"/>
  <c r="G19" i="16"/>
  <c r="E16" i="35" s="1"/>
  <c r="G16" i="35" s="1"/>
  <c r="I19" i="16"/>
  <c r="F16" i="35" s="1"/>
  <c r="E21" i="17"/>
  <c r="F21" i="17" s="1"/>
  <c r="G21" i="17" s="1"/>
  <c r="E12" i="17"/>
  <c r="F32" i="16"/>
  <c r="G10" i="16"/>
  <c r="E7" i="35" s="1"/>
  <c r="G7" i="35" s="1"/>
  <c r="I33" i="17"/>
  <c r="J33" i="17" s="1"/>
  <c r="G12" i="16"/>
  <c r="E9" i="35" s="1"/>
  <c r="G9" i="35" s="1"/>
  <c r="E14" i="17"/>
  <c r="F14" i="17" s="1"/>
  <c r="G14" i="17" s="1"/>
  <c r="I20" i="17"/>
  <c r="J20" i="17" s="1"/>
  <c r="N112" i="16"/>
  <c r="O138" i="16"/>
  <c r="O112" i="16"/>
  <c r="P111" i="16"/>
  <c r="K112" i="16"/>
  <c r="G112" i="16"/>
  <c r="D112" i="16"/>
  <c r="F112" i="16"/>
  <c r="L112" i="16"/>
  <c r="I112" i="16"/>
  <c r="J112" i="16"/>
  <c r="H112" i="16"/>
  <c r="E112" i="16"/>
  <c r="I28" i="17"/>
  <c r="J28" i="17" s="1"/>
  <c r="E15" i="17"/>
  <c r="F15" i="17" s="1"/>
  <c r="G15" i="17" s="1"/>
  <c r="G13" i="16"/>
  <c r="E10" i="35" s="1"/>
  <c r="G10" i="35" s="1"/>
  <c r="I15" i="17"/>
  <c r="J15" i="17" s="1"/>
  <c r="I21" i="17"/>
  <c r="J21" i="17" s="1"/>
  <c r="I19" i="17"/>
  <c r="J19" i="17" s="1"/>
  <c r="G15" i="16"/>
  <c r="E12" i="35" s="1"/>
  <c r="G12" i="35" s="1"/>
  <c r="E17" i="17"/>
  <c r="F17" i="17" s="1"/>
  <c r="G17" i="17" s="1"/>
  <c r="I24" i="17"/>
  <c r="J24" i="17" s="1"/>
  <c r="I18" i="17"/>
  <c r="J18" i="17" s="1"/>
  <c r="I32" i="17"/>
  <c r="J32" i="17" s="1"/>
  <c r="G18" i="16"/>
  <c r="E15" i="35" s="1"/>
  <c r="G15" i="35" s="1"/>
  <c r="E20" i="17"/>
  <c r="F20" i="17" s="1"/>
  <c r="G20" i="17" s="1"/>
  <c r="E19" i="17"/>
  <c r="F19" i="17" s="1"/>
  <c r="G19" i="17" s="1"/>
  <c r="G17" i="16"/>
  <c r="E14" i="35" s="1"/>
  <c r="G14" i="35" s="1"/>
  <c r="I25" i="16"/>
  <c r="F22" i="35" s="1"/>
  <c r="E27" i="17"/>
  <c r="F27" i="17" s="1"/>
  <c r="G27" i="17" s="1"/>
  <c r="G25" i="16"/>
  <c r="E22" i="35" s="1"/>
  <c r="G22" i="35" s="1"/>
  <c r="I30" i="17"/>
  <c r="J30" i="17" s="1"/>
  <c r="G30" i="16"/>
  <c r="E27" i="35" s="1"/>
  <c r="G27" i="35" s="1"/>
  <c r="E32" i="17"/>
  <c r="F32" i="17" s="1"/>
  <c r="G32" i="17" s="1"/>
  <c r="G31" i="16"/>
  <c r="E28" i="35" s="1"/>
  <c r="G28" i="35" s="1"/>
  <c r="E33" i="17"/>
  <c r="F33" i="17" s="1"/>
  <c r="G33" i="17" s="1"/>
  <c r="I29" i="17"/>
  <c r="J29" i="17" s="1"/>
  <c r="I31" i="17"/>
  <c r="J31" i="17" s="1"/>
  <c r="I22" i="17"/>
  <c r="J22" i="17" s="1"/>
  <c r="I13" i="17"/>
  <c r="J13" i="17" s="1"/>
  <c r="I27" i="16"/>
  <c r="F24" i="35" s="1"/>
  <c r="E29" i="17"/>
  <c r="F29" i="17" s="1"/>
  <c r="G29" i="17" s="1"/>
  <c r="G27" i="16"/>
  <c r="E24" i="35" s="1"/>
  <c r="G24" i="35" s="1"/>
  <c r="I17" i="17"/>
  <c r="J17" i="17" s="1"/>
  <c r="M99" i="14"/>
  <c r="N99" i="14"/>
  <c r="K99" i="14"/>
  <c r="G99" i="14"/>
  <c r="D99" i="14"/>
  <c r="J99" i="14"/>
  <c r="L99" i="14"/>
  <c r="H99" i="14"/>
  <c r="I99" i="14"/>
  <c r="F99" i="14"/>
  <c r="E99" i="14"/>
  <c r="G24" i="16"/>
  <c r="E21" i="35" s="1"/>
  <c r="G21" i="35" s="1"/>
  <c r="E26" i="17"/>
  <c r="F26" i="17" s="1"/>
  <c r="G26" i="17" s="1"/>
  <c r="G20" i="16"/>
  <c r="E17" i="35" s="1"/>
  <c r="G17" i="35" s="1"/>
  <c r="E22" i="17"/>
  <c r="F22" i="17" s="1"/>
  <c r="G22" i="17" s="1"/>
  <c r="E30" i="17"/>
  <c r="F30" i="17" s="1"/>
  <c r="G30" i="17" s="1"/>
  <c r="I28" i="16"/>
  <c r="F25" i="35" s="1"/>
  <c r="G28" i="16"/>
  <c r="E25" i="35" s="1"/>
  <c r="G25" i="35" s="1"/>
  <c r="E28" i="17"/>
  <c r="F28" i="17" s="1"/>
  <c r="G28" i="17" s="1"/>
  <c r="G26" i="16"/>
  <c r="E23" i="35" s="1"/>
  <c r="G23" i="35" s="1"/>
  <c r="I26" i="16"/>
  <c r="F23" i="35" s="1"/>
  <c r="I26" i="17"/>
  <c r="J26" i="17" s="1"/>
  <c r="E31" i="17"/>
  <c r="F31" i="17" s="1"/>
  <c r="G31" i="17" s="1"/>
  <c r="G29" i="16"/>
  <c r="E26" i="35" s="1"/>
  <c r="G26" i="35" s="1"/>
  <c r="I14" i="17"/>
  <c r="J14" i="17" s="1"/>
  <c r="H32" i="16" l="1"/>
  <c r="D29" i="35"/>
  <c r="E60" i="17"/>
  <c r="E87" i="17" s="1"/>
  <c r="F60" i="17"/>
  <c r="F87" i="17" s="1"/>
  <c r="D60" i="17"/>
  <c r="D87" i="17" s="1"/>
  <c r="G43" i="17"/>
  <c r="G70" i="17" s="1"/>
  <c r="I43" i="17"/>
  <c r="I70" i="17" s="1"/>
  <c r="H43" i="17"/>
  <c r="H70" i="17" s="1"/>
  <c r="J43" i="17"/>
  <c r="J70" i="17" s="1"/>
  <c r="I12" i="17"/>
  <c r="J12" i="17" s="1"/>
  <c r="H55" i="17"/>
  <c r="H82" i="17" s="1"/>
  <c r="I55" i="17"/>
  <c r="I82" i="17" s="1"/>
  <c r="G55" i="17"/>
  <c r="G82" i="17" s="1"/>
  <c r="J55" i="17"/>
  <c r="J82" i="17" s="1"/>
  <c r="D57" i="17"/>
  <c r="D84" i="17" s="1"/>
  <c r="E57" i="17"/>
  <c r="E84" i="17" s="1"/>
  <c r="F57" i="17"/>
  <c r="F84" i="17" s="1"/>
  <c r="I50" i="17"/>
  <c r="I77" i="17" s="1"/>
  <c r="J50" i="17"/>
  <c r="J77" i="17" s="1"/>
  <c r="G50" i="17"/>
  <c r="G77" i="17" s="1"/>
  <c r="H50" i="17"/>
  <c r="H77" i="17" s="1"/>
  <c r="H52" i="17"/>
  <c r="H79" i="17" s="1"/>
  <c r="J52" i="17"/>
  <c r="J79" i="17" s="1"/>
  <c r="G52" i="17"/>
  <c r="G79" i="17" s="1"/>
  <c r="I52" i="17"/>
  <c r="I79" i="17" s="1"/>
  <c r="F47" i="17"/>
  <c r="F74" i="17" s="1"/>
  <c r="E47" i="17"/>
  <c r="E74" i="17" s="1"/>
  <c r="D47" i="17"/>
  <c r="D74" i="17" s="1"/>
  <c r="E58" i="17"/>
  <c r="E85" i="17" s="1"/>
  <c r="F58" i="17"/>
  <c r="F85" i="17" s="1"/>
  <c r="D58" i="17"/>
  <c r="D85" i="17" s="1"/>
  <c r="G59" i="17"/>
  <c r="G86" i="17" s="1"/>
  <c r="I59" i="17"/>
  <c r="I86" i="17" s="1"/>
  <c r="J59" i="17"/>
  <c r="J86" i="17" s="1"/>
  <c r="H59" i="17"/>
  <c r="H86" i="17" s="1"/>
  <c r="E56" i="17"/>
  <c r="E83" i="17" s="1"/>
  <c r="F56" i="17"/>
  <c r="F83" i="17" s="1"/>
  <c r="D56" i="17"/>
  <c r="D83" i="17" s="1"/>
  <c r="D48" i="17"/>
  <c r="D75" i="17" s="1"/>
  <c r="E48" i="17"/>
  <c r="E75" i="17" s="1"/>
  <c r="F48" i="17"/>
  <c r="F75" i="17" s="1"/>
  <c r="H47" i="17"/>
  <c r="H74" i="17" s="1"/>
  <c r="J47" i="17"/>
  <c r="J74" i="17" s="1"/>
  <c r="G47" i="17"/>
  <c r="G74" i="17" s="1"/>
  <c r="I47" i="17"/>
  <c r="I74" i="17" s="1"/>
  <c r="H53" i="17"/>
  <c r="H80" i="17" s="1"/>
  <c r="I53" i="17"/>
  <c r="I80" i="17" s="1"/>
  <c r="G53" i="17"/>
  <c r="G80" i="17" s="1"/>
  <c r="J53" i="17"/>
  <c r="J80" i="17" s="1"/>
  <c r="E46" i="17"/>
  <c r="E73" i="17" s="1"/>
  <c r="D46" i="17"/>
  <c r="D73" i="17" s="1"/>
  <c r="F46" i="17"/>
  <c r="F73" i="17" s="1"/>
  <c r="I48" i="17"/>
  <c r="I75" i="17" s="1"/>
  <c r="J48" i="17"/>
  <c r="J75" i="17" s="1"/>
  <c r="G48" i="17"/>
  <c r="G75" i="17" s="1"/>
  <c r="H48" i="17"/>
  <c r="H75" i="17" s="1"/>
  <c r="E44" i="17"/>
  <c r="E71" i="17" s="1"/>
  <c r="F44" i="17"/>
  <c r="F71" i="17" s="1"/>
  <c r="D44" i="17"/>
  <c r="D71" i="17" s="1"/>
  <c r="M139" i="16"/>
  <c r="N139" i="16"/>
  <c r="O139" i="16"/>
  <c r="D139" i="16"/>
  <c r="I139" i="16"/>
  <c r="F139" i="16"/>
  <c r="G139" i="16"/>
  <c r="E139" i="16"/>
  <c r="L139" i="16"/>
  <c r="K139" i="16"/>
  <c r="J139" i="16"/>
  <c r="H139" i="16"/>
  <c r="G62" i="17"/>
  <c r="G89" i="17" s="1"/>
  <c r="H62" i="17"/>
  <c r="H89" i="17" s="1"/>
  <c r="I62" i="17"/>
  <c r="I89" i="17" s="1"/>
  <c r="J62" i="17"/>
  <c r="J89" i="17" s="1"/>
  <c r="G32" i="16"/>
  <c r="D50" i="17"/>
  <c r="D77" i="17" s="1"/>
  <c r="E50" i="17"/>
  <c r="E77" i="17" s="1"/>
  <c r="F50" i="17"/>
  <c r="F77" i="17" s="1"/>
  <c r="H54" i="17"/>
  <c r="H81" i="17" s="1"/>
  <c r="J54" i="17"/>
  <c r="J81" i="17" s="1"/>
  <c r="G54" i="17"/>
  <c r="G81" i="17" s="1"/>
  <c r="I54" i="17"/>
  <c r="I81" i="17" s="1"/>
  <c r="H45" i="17"/>
  <c r="H72" i="17" s="1"/>
  <c r="J45" i="17"/>
  <c r="J72" i="17" s="1"/>
  <c r="G45" i="17"/>
  <c r="G72" i="17" s="1"/>
  <c r="I45" i="17"/>
  <c r="I72" i="17" s="1"/>
  <c r="D53" i="17"/>
  <c r="D80" i="17" s="1"/>
  <c r="E53" i="17"/>
  <c r="E80" i="17" s="1"/>
  <c r="F53" i="17"/>
  <c r="F80" i="17" s="1"/>
  <c r="G51" i="17"/>
  <c r="G78" i="17" s="1"/>
  <c r="J51" i="17"/>
  <c r="J78" i="17" s="1"/>
  <c r="H51" i="17"/>
  <c r="H78" i="17" s="1"/>
  <c r="I51" i="17"/>
  <c r="I78" i="17" s="1"/>
  <c r="I60" i="17"/>
  <c r="I87" i="17" s="1"/>
  <c r="J60" i="17"/>
  <c r="J87" i="17" s="1"/>
  <c r="G60" i="17"/>
  <c r="G87" i="17" s="1"/>
  <c r="H60" i="17"/>
  <c r="H87" i="17" s="1"/>
  <c r="I58" i="17"/>
  <c r="I85" i="17" s="1"/>
  <c r="J58" i="17"/>
  <c r="J85" i="17" s="1"/>
  <c r="G58" i="17"/>
  <c r="G85" i="17" s="1"/>
  <c r="H58" i="17"/>
  <c r="H85" i="17" s="1"/>
  <c r="E61" i="17"/>
  <c r="E88" i="17" s="1"/>
  <c r="D61" i="17"/>
  <c r="D88" i="17" s="1"/>
  <c r="F61" i="17"/>
  <c r="F88" i="17" s="1"/>
  <c r="E49" i="17"/>
  <c r="E76" i="17" s="1"/>
  <c r="D49" i="17"/>
  <c r="D76" i="17" s="1"/>
  <c r="F49" i="17"/>
  <c r="F76" i="17" s="1"/>
  <c r="G61" i="17"/>
  <c r="G88" i="17" s="1"/>
  <c r="I61" i="17"/>
  <c r="I88" i="17" s="1"/>
  <c r="J61" i="17"/>
  <c r="J88" i="17" s="1"/>
  <c r="H61" i="17"/>
  <c r="H88" i="17" s="1"/>
  <c r="G44" i="17"/>
  <c r="G71" i="17" s="1"/>
  <c r="J44" i="17"/>
  <c r="J71" i="17" s="1"/>
  <c r="H44" i="17"/>
  <c r="H71" i="17" s="1"/>
  <c r="I44" i="17"/>
  <c r="I71" i="17" s="1"/>
  <c r="E43" i="17"/>
  <c r="E70" i="17" s="1"/>
  <c r="F43" i="17"/>
  <c r="F70" i="17" s="1"/>
  <c r="D43" i="17"/>
  <c r="D70" i="17" s="1"/>
  <c r="E34" i="17"/>
  <c r="F34" i="17" s="1"/>
  <c r="G34" i="17" s="1"/>
  <c r="F12" i="17"/>
  <c r="G12" i="17" s="1"/>
  <c r="E45" i="17"/>
  <c r="E72" i="17" s="1"/>
  <c r="F45" i="17"/>
  <c r="F72" i="17" s="1"/>
  <c r="D45" i="17"/>
  <c r="D72" i="17" s="1"/>
  <c r="G56" i="17"/>
  <c r="G83" i="17" s="1"/>
  <c r="H56" i="17"/>
  <c r="H83" i="17" s="1"/>
  <c r="I56" i="17"/>
  <c r="I83" i="17" s="1"/>
  <c r="J56" i="17"/>
  <c r="J83" i="17" s="1"/>
  <c r="C139" i="16"/>
  <c r="E42" i="17"/>
  <c r="E69" i="17" s="1"/>
  <c r="F42" i="17"/>
  <c r="F69" i="17" s="1"/>
  <c r="D42" i="17"/>
  <c r="D69" i="17" s="1"/>
  <c r="D51" i="17"/>
  <c r="D78" i="17" s="1"/>
  <c r="F51" i="17"/>
  <c r="F78" i="17" s="1"/>
  <c r="E51" i="17"/>
  <c r="E78" i="17" s="1"/>
  <c r="F59" i="17"/>
  <c r="F86" i="17" s="1"/>
  <c r="E59" i="17"/>
  <c r="E86" i="17" s="1"/>
  <c r="D59" i="17"/>
  <c r="D86" i="17" s="1"/>
  <c r="F55" i="17"/>
  <c r="F82" i="17" s="1"/>
  <c r="D55" i="17"/>
  <c r="D82" i="17" s="1"/>
  <c r="E55" i="17"/>
  <c r="E82" i="17" s="1"/>
  <c r="H46" i="17"/>
  <c r="H73" i="17" s="1"/>
  <c r="I46" i="17"/>
  <c r="I73" i="17" s="1"/>
  <c r="G46" i="17"/>
  <c r="G73" i="17" s="1"/>
  <c r="J46" i="17"/>
  <c r="J73" i="17" s="1"/>
  <c r="G42" i="17"/>
  <c r="G69" i="17" s="1"/>
  <c r="J42" i="17"/>
  <c r="J69" i="17" s="1"/>
  <c r="H42" i="17"/>
  <c r="H69" i="17" s="1"/>
  <c r="I42" i="17"/>
  <c r="I69" i="17" s="1"/>
  <c r="E62" i="17"/>
  <c r="E89" i="17" s="1"/>
  <c r="F62" i="17"/>
  <c r="F89" i="17" s="1"/>
  <c r="D62" i="17"/>
  <c r="D89" i="17" s="1"/>
  <c r="G57" i="17"/>
  <c r="G84" i="17" s="1"/>
  <c r="I57" i="17"/>
  <c r="I84" i="17" s="1"/>
  <c r="J57" i="17"/>
  <c r="J84" i="17" s="1"/>
  <c r="H57" i="17"/>
  <c r="H84" i="17" s="1"/>
  <c r="G49" i="17"/>
  <c r="G76" i="17" s="1"/>
  <c r="I49" i="17"/>
  <c r="I76" i="17" s="1"/>
  <c r="J49" i="17"/>
  <c r="J76" i="17" s="1"/>
  <c r="H49" i="17"/>
  <c r="H76" i="17" s="1"/>
  <c r="E52" i="17"/>
  <c r="E79" i="17" s="1"/>
  <c r="F52" i="17"/>
  <c r="F79" i="17" s="1"/>
  <c r="D52" i="17"/>
  <c r="D79" i="17" s="1"/>
  <c r="E54" i="17"/>
  <c r="E81" i="17" s="1"/>
  <c r="F54" i="17"/>
  <c r="F81" i="17" s="1"/>
  <c r="D54" i="17"/>
  <c r="D81" i="17" s="1"/>
  <c r="I32" i="16" l="1"/>
  <c r="F29" i="35" s="1"/>
  <c r="E29" i="35"/>
  <c r="G29" i="35" s="1"/>
  <c r="D41" i="17"/>
  <c r="D68" i="17" s="1"/>
  <c r="D90" i="17" s="1"/>
  <c r="D63" i="17" s="1"/>
  <c r="E41" i="17"/>
  <c r="E68" i="17" s="1"/>
  <c r="E90" i="17" s="1"/>
  <c r="E63" i="17" s="1"/>
  <c r="F41" i="17"/>
  <c r="F68" i="17" s="1"/>
  <c r="F90" i="17" s="1"/>
  <c r="F63" i="17" s="1"/>
  <c r="G41" i="17"/>
  <c r="G68" i="17" s="1"/>
  <c r="G90" i="17" s="1"/>
  <c r="G63" i="17" s="1"/>
  <c r="J41" i="17"/>
  <c r="J68" i="17" s="1"/>
  <c r="J90" i="17" s="1"/>
  <c r="J63" i="17" s="1"/>
  <c r="H41" i="17"/>
  <c r="H68" i="17" s="1"/>
  <c r="H90" i="17" s="1"/>
  <c r="H63" i="17" s="1"/>
  <c r="I41" i="17"/>
  <c r="I68" i="17" s="1"/>
  <c r="I90" i="17" s="1"/>
  <c r="I63" i="17" s="1"/>
</calcChain>
</file>

<file path=xl/sharedStrings.xml><?xml version="1.0" encoding="utf-8"?>
<sst xmlns="http://schemas.openxmlformats.org/spreadsheetml/2006/main" count="2594" uniqueCount="721">
  <si>
    <t>Yhteensä</t>
  </si>
  <si>
    <t>Muu sosiaali- ja terveystoiminta</t>
  </si>
  <si>
    <t>Ympäristöterveydenhuolto</t>
  </si>
  <si>
    <t>Työllistämistä tukevat palvelut, josta vähennetään</t>
  </si>
  <si>
    <t xml:space="preserve"> - SOS 10%</t>
  </si>
  <si>
    <t xml:space="preserve"> - VH 90%</t>
  </si>
  <si>
    <t>Kotihoito jaetaan</t>
  </si>
  <si>
    <t>VH</t>
  </si>
  <si>
    <t>TH</t>
  </si>
  <si>
    <t>TK:n määritelmä:</t>
  </si>
  <si>
    <t>Nettokustannukset</t>
  </si>
  <si>
    <t>Käyttötuotot</t>
  </si>
  <si>
    <t>Käyttökustannukset</t>
  </si>
  <si>
    <t>Vyörytystuotot</t>
  </si>
  <si>
    <t>Valmistus omaan käyttöön</t>
  </si>
  <si>
    <t>Valmistevarastojen muutos</t>
  </si>
  <si>
    <t>Toimintatuotoista: Sisäiset tuotot yhteensä</t>
  </si>
  <si>
    <t>Toimintatuotot yhteensä</t>
  </si>
  <si>
    <t>Muut tuotot</t>
  </si>
  <si>
    <t>Vuokratuotot, sisäiset</t>
  </si>
  <si>
    <t>Vuokratuotot, ulkoiset</t>
  </si>
  <si>
    <t>Tuet ja avustukset muilta</t>
  </si>
  <si>
    <t>Tuet ja avustukset Euroopan unionilta</t>
  </si>
  <si>
    <t>Tuet ja avustukset sosiaaliturvarahastoilta (mm. Kela)</t>
  </si>
  <si>
    <t>Tuet ja avustukset kunnilta ja kuntayhtymiltä</t>
  </si>
  <si>
    <t>Muut tuet ja avustukset valtiolta</t>
  </si>
  <si>
    <t>Työllistämistuet</t>
  </si>
  <si>
    <t>.</t>
  </si>
  <si>
    <t>Tuet ja avustukset:</t>
  </si>
  <si>
    <t>Maksutuotot</t>
  </si>
  <si>
    <t>Sisäiset myyntituotot</t>
  </si>
  <si>
    <t>Myyntituotot muilta</t>
  </si>
  <si>
    <t>Myyntituotot kuntayhtymiltä</t>
  </si>
  <si>
    <t>Myyntituotot kunnilta</t>
  </si>
  <si>
    <t>Myyntituotot valtiolta</t>
  </si>
  <si>
    <t>TUOTTOLAJIT</t>
  </si>
  <si>
    <t>Palautusjärjestelmän arvonlisävero</t>
  </si>
  <si>
    <t>Vyörytyskulut</t>
  </si>
  <si>
    <t>Poistot ja arvonalentumiset</t>
  </si>
  <si>
    <t>Toimintakuluista: Sisäiset kulut yhteensä</t>
  </si>
  <si>
    <t>Toimintakulut yhteensä</t>
  </si>
  <si>
    <t>Muut kulut</t>
  </si>
  <si>
    <t>Vuokrakulut, sisäiset</t>
  </si>
  <si>
    <t>Vuokrakulut, ulkoiset</t>
  </si>
  <si>
    <t>Avustukset</t>
  </si>
  <si>
    <t>Aineet, tarvikkeet ja tavarat</t>
  </si>
  <si>
    <t>Muiden palvelujen ostot</t>
  </si>
  <si>
    <t>Asiakaspalvelujen ostot muilta</t>
  </si>
  <si>
    <t>Asiakaspalvelujen ostot kuntayhtymiltä</t>
  </si>
  <si>
    <t>Asiakaspalvelujen ostot kunnilta</t>
  </si>
  <si>
    <t>Asiakaspalvelujen ostot valtiolta</t>
  </si>
  <si>
    <t>Asiakaspalvelujen ostot:</t>
  </si>
  <si>
    <t>Muut henkilösivukulut</t>
  </si>
  <si>
    <t>Eläkekulut</t>
  </si>
  <si>
    <t>Palkat ja palkkiot</t>
  </si>
  <si>
    <t>Manner-Suomen kuntayhtymät yhteensä</t>
  </si>
  <si>
    <t>Manner-Suomi</t>
  </si>
  <si>
    <t>Käyttötalous yhteensä</t>
  </si>
  <si>
    <t>Muu toiminta</t>
  </si>
  <si>
    <t>Maa- ja metsätilat</t>
  </si>
  <si>
    <t>Satamatoiminta</t>
  </si>
  <si>
    <t>Joukkoliikenne</t>
  </si>
  <si>
    <t>Jätehuolto</t>
  </si>
  <si>
    <t>Energiahuolto</t>
  </si>
  <si>
    <t>Vesihuolto</t>
  </si>
  <si>
    <t>Elinkeinoelämän edistäminen</t>
  </si>
  <si>
    <t>Tukipalvelut</t>
  </si>
  <si>
    <t>Tila- ja vuokrauspalvelut</t>
  </si>
  <si>
    <t>Lomituspalvelut</t>
  </si>
  <si>
    <t>Palo- ja pelastustoiminta</t>
  </si>
  <si>
    <t>Puistot ja yleiset alueet</t>
  </si>
  <si>
    <t>Liikenneväylät</t>
  </si>
  <si>
    <t>Ympäristön huolto</t>
  </si>
  <si>
    <t>Rakennusvalvonta</t>
  </si>
  <si>
    <t>Yhdyskuntasuunnittelu</t>
  </si>
  <si>
    <t>Opetus- ja kulttuuritoiminta yhteensä</t>
  </si>
  <si>
    <t>Muu kulttuuritoiminta</t>
  </si>
  <si>
    <t>Musiikkitoiminta</t>
  </si>
  <si>
    <t>Teatteri-, tanssi- ja sirkustoiminta</t>
  </si>
  <si>
    <t>Museo- ja näyttelytoiminta</t>
  </si>
  <si>
    <t>Nuorisotoiminta</t>
  </si>
  <si>
    <t>Liikunta ja ulkoilu</t>
  </si>
  <si>
    <t>Kirjastotoiminta</t>
  </si>
  <si>
    <t>Muu opetustoiminta</t>
  </si>
  <si>
    <t>Taiteen perusopetus</t>
  </si>
  <si>
    <t>Kansalaisopistojen vapaa sivistystyö</t>
  </si>
  <si>
    <t>Ammatillinen koulutus</t>
  </si>
  <si>
    <t>Lukiokoulutus</t>
  </si>
  <si>
    <t>Perusopetus</t>
  </si>
  <si>
    <t>Esiopetus</t>
  </si>
  <si>
    <t>Varhaiskasvatus</t>
  </si>
  <si>
    <t>Erikoissairaanhoito</t>
  </si>
  <si>
    <t>Perusterveydenhuollon vuodeosastohoito</t>
  </si>
  <si>
    <t>Suun terveydenhuolto</t>
  </si>
  <si>
    <t>Perusterveydenhuollon avohoito</t>
  </si>
  <si>
    <t>Päihdehuollon erityispalvelut</t>
  </si>
  <si>
    <t>Työllistymistä tukevat palvelut</t>
  </si>
  <si>
    <t>Kotihoito</t>
  </si>
  <si>
    <t>Muut vammaisten palvelut</t>
  </si>
  <si>
    <t>Vammaisten ympärivuorokautisen hoivan asumispalvelut</t>
  </si>
  <si>
    <t>Vammaisten laitoshoito</t>
  </si>
  <si>
    <t>Muut ikääntyneiden palvelut</t>
  </si>
  <si>
    <t>Ikääntyneiden ympärivuorokautisen hoivan asumispalvelut</t>
  </si>
  <si>
    <t>Ikääntyneiden laitoshoito</t>
  </si>
  <si>
    <t>Muut lasten ja perheiden avopalvelut</t>
  </si>
  <si>
    <t>Lastensuojelun avohuoltopalvelut</t>
  </si>
  <si>
    <t>Lastensuojelun laitos- ja perhehoito</t>
  </si>
  <si>
    <t>Yleishallinto</t>
  </si>
  <si>
    <t>Sosiaali- ja terveystoiminta yhteensä</t>
  </si>
  <si>
    <t>Manner-Suomi yhteensä</t>
  </si>
  <si>
    <t>Lappi</t>
  </si>
  <si>
    <t>Kainuu</t>
  </si>
  <si>
    <t>Pohjois-Pohjanmaa</t>
  </si>
  <si>
    <t>Keski-Pohjanmaa</t>
  </si>
  <si>
    <t>Pohjanmaa</t>
  </si>
  <si>
    <t>Etelä-Pmaa</t>
  </si>
  <si>
    <t>Keski-Suomi</t>
  </si>
  <si>
    <t>Pohjois-Karjala</t>
  </si>
  <si>
    <t>Pohjois-Savo</t>
  </si>
  <si>
    <t>Etelä-Savo</t>
  </si>
  <si>
    <t>Etelä-Karjala</t>
  </si>
  <si>
    <t>Kymenlaakso</t>
  </si>
  <si>
    <t>Päijät-Häme</t>
  </si>
  <si>
    <t>Pirkanmaa</t>
  </si>
  <si>
    <t>Kanta-Häme</t>
  </si>
  <si>
    <t>Satakunta</t>
  </si>
  <si>
    <t>Varsinais-Suomi</t>
  </si>
  <si>
    <t>Keski-Uusimaa</t>
  </si>
  <si>
    <t>Itä-Uusimaa</t>
  </si>
  <si>
    <t>Länsi-Uusimaa</t>
  </si>
  <si>
    <t>Vantaa+Kerava</t>
  </si>
  <si>
    <t>Helsinki</t>
  </si>
  <si>
    <t>Etelä-Pohjanmaa</t>
  </si>
  <si>
    <t>Siirtyvät sote-kustannukset</t>
  </si>
  <si>
    <t>Hyvinvointialue</t>
  </si>
  <si>
    <t>Äänekoski</t>
  </si>
  <si>
    <t>Ähtäri</t>
  </si>
  <si>
    <t>Ypäjä</t>
  </si>
  <si>
    <t>Ylöjärvi</t>
  </si>
  <si>
    <t>Ylivieska</t>
  </si>
  <si>
    <t>Ylitornio</t>
  </si>
  <si>
    <t>Vöyri</t>
  </si>
  <si>
    <t>Virrat</t>
  </si>
  <si>
    <t>Virolahti</t>
  </si>
  <si>
    <t>Vimpeli</t>
  </si>
  <si>
    <t>Viitasaari</t>
  </si>
  <si>
    <t>Vihti</t>
  </si>
  <si>
    <t>Vieremä</t>
  </si>
  <si>
    <t>Veteli</t>
  </si>
  <si>
    <t>Vesilahti</t>
  </si>
  <si>
    <t>Vesanto</t>
  </si>
  <si>
    <t>Vehmaa</t>
  </si>
  <si>
    <t>Varkaus</t>
  </si>
  <si>
    <t>Valkeakoski</t>
  </si>
  <si>
    <t>Vaasa</t>
  </si>
  <si>
    <t>Uusikaupunki</t>
  </si>
  <si>
    <t>Uusikaarlepyy</t>
  </si>
  <si>
    <t>Uurainen</t>
  </si>
  <si>
    <t>Utsjoki</t>
  </si>
  <si>
    <t>Utajärvi</t>
  </si>
  <si>
    <t>Urjala</t>
  </si>
  <si>
    <t>Ulvila</t>
  </si>
  <si>
    <t>Tyrnävä</t>
  </si>
  <si>
    <t>Tuusula</t>
  </si>
  <si>
    <t>Tuusniemi</t>
  </si>
  <si>
    <t>Pello</t>
  </si>
  <si>
    <t>Turku</t>
  </si>
  <si>
    <t>Tornio</t>
  </si>
  <si>
    <t>Toivakka</t>
  </si>
  <si>
    <t>Toholampi</t>
  </si>
  <si>
    <t>Tohmajärvi</t>
  </si>
  <si>
    <t>Teuva</t>
  </si>
  <si>
    <t>Tervola</t>
  </si>
  <si>
    <t>Tervo</t>
  </si>
  <si>
    <t>Tampere</t>
  </si>
  <si>
    <t>Tammela</t>
  </si>
  <si>
    <t>Taivassalo</t>
  </si>
  <si>
    <t>Taivalkoski</t>
  </si>
  <si>
    <t>Taipalsaari</t>
  </si>
  <si>
    <t>Siikalatva</t>
  </si>
  <si>
    <t>Sastamala</t>
  </si>
  <si>
    <t>Vaala</t>
  </si>
  <si>
    <t>Säkylä</t>
  </si>
  <si>
    <t>Sysmä</t>
  </si>
  <si>
    <t>Suonenjoki</t>
  </si>
  <si>
    <t>Suomussalmi</t>
  </si>
  <si>
    <t>Sulkava</t>
  </si>
  <si>
    <t>Sotkamo</t>
  </si>
  <si>
    <t>Sonkajärvi</t>
  </si>
  <si>
    <t>Somero</t>
  </si>
  <si>
    <t>Soini</t>
  </si>
  <si>
    <t>Sodankylä</t>
  </si>
  <si>
    <t>Siuntio</t>
  </si>
  <si>
    <t>Sipoo</t>
  </si>
  <si>
    <t>Simo</t>
  </si>
  <si>
    <t>Siilinjärvi</t>
  </si>
  <si>
    <t>Siikajoki</t>
  </si>
  <si>
    <t>Siikainen</t>
  </si>
  <si>
    <t>Sievi</t>
  </si>
  <si>
    <t>Seinäjoki</t>
  </si>
  <si>
    <t>Savukoski</t>
  </si>
  <si>
    <t>Savonlinna</t>
  </si>
  <si>
    <t>Savitaipale</t>
  </si>
  <si>
    <t>Sauvo</t>
  </si>
  <si>
    <t>Salo</t>
  </si>
  <si>
    <t>Salla</t>
  </si>
  <si>
    <t>Saarijärvi</t>
  </si>
  <si>
    <t>Raasepori</t>
  </si>
  <si>
    <t>Rääkkylä</t>
  </si>
  <si>
    <t>Rusko</t>
  </si>
  <si>
    <t>Ruovesi</t>
  </si>
  <si>
    <t>Ruokolahti</t>
  </si>
  <si>
    <t>Rovaniemi</t>
  </si>
  <si>
    <t>Ristijärvi</t>
  </si>
  <si>
    <t>Riihimäki</t>
  </si>
  <si>
    <t>Reisjärvi</t>
  </si>
  <si>
    <t>Rautjärvi</t>
  </si>
  <si>
    <t>Rautavaara</t>
  </si>
  <si>
    <t>Rautalampi</t>
  </si>
  <si>
    <t>Rauma</t>
  </si>
  <si>
    <t>Ranua</t>
  </si>
  <si>
    <t>Rantasalmi</t>
  </si>
  <si>
    <t>Raisio</t>
  </si>
  <si>
    <t>Raahe</t>
  </si>
  <si>
    <t>Porvoo</t>
  </si>
  <si>
    <t>Pöytyä</t>
  </si>
  <si>
    <t>Pälkäne</t>
  </si>
  <si>
    <t>Pyhäranta</t>
  </si>
  <si>
    <t>Pyhäntä</t>
  </si>
  <si>
    <t>Pyhäjärvi</t>
  </si>
  <si>
    <t>Pyhäjoki</t>
  </si>
  <si>
    <t>Pyhtää</t>
  </si>
  <si>
    <t>Puumala</t>
  </si>
  <si>
    <t>Puolanka</t>
  </si>
  <si>
    <t>Punkalaidun</t>
  </si>
  <si>
    <t>Pukkila</t>
  </si>
  <si>
    <t>Pudasjärvi</t>
  </si>
  <si>
    <t>Posio</t>
  </si>
  <si>
    <t>Pornainen</t>
  </si>
  <si>
    <t>Pori</t>
  </si>
  <si>
    <t>Pomarkku</t>
  </si>
  <si>
    <t>Polvijärvi</t>
  </si>
  <si>
    <t>Pirkkala</t>
  </si>
  <si>
    <t>Pihtipudas</t>
  </si>
  <si>
    <t>Pedersören</t>
  </si>
  <si>
    <t>Pietarsaari</t>
  </si>
  <si>
    <t>Pielavesi</t>
  </si>
  <si>
    <t>Pieksämäki</t>
  </si>
  <si>
    <t>Petäjävesi</t>
  </si>
  <si>
    <t>Pertunmaa</t>
  </si>
  <si>
    <t>Perho</t>
  </si>
  <si>
    <t>Pelkosenniemi</t>
  </si>
  <si>
    <t>Parkano</t>
  </si>
  <si>
    <t>Parikkala</t>
  </si>
  <si>
    <t>Paltamo</t>
  </si>
  <si>
    <t>Paimio</t>
  </si>
  <si>
    <t>Padasjoki</t>
  </si>
  <si>
    <t>Oulu</t>
  </si>
  <si>
    <t>Oulainen</t>
  </si>
  <si>
    <t>Orivesi</t>
  </si>
  <si>
    <t>Oripää</t>
  </si>
  <si>
    <t>Orimattila</t>
  </si>
  <si>
    <t>Närpiö</t>
  </si>
  <si>
    <t>Nurmijärvi</t>
  </si>
  <si>
    <t>Nurmes</t>
  </si>
  <si>
    <t>Nousiainen</t>
  </si>
  <si>
    <t>Nokia</t>
  </si>
  <si>
    <t>Nivala</t>
  </si>
  <si>
    <t>Nakkila</t>
  </si>
  <si>
    <t>Naantali</t>
  </si>
  <si>
    <t>Mänttä-Vilppula</t>
  </si>
  <si>
    <t>Mäntyharju</t>
  </si>
  <si>
    <t>Mäntsälä</t>
  </si>
  <si>
    <t>Myrskylä</t>
  </si>
  <si>
    <t>Mynämäki</t>
  </si>
  <si>
    <t>Muurame</t>
  </si>
  <si>
    <t>Mustasaari</t>
  </si>
  <si>
    <t>Muonio</t>
  </si>
  <si>
    <t>Multia</t>
  </si>
  <si>
    <t>Muhos</t>
  </si>
  <si>
    <t>Mikkeli</t>
  </si>
  <si>
    <t>Miehikkälä</t>
  </si>
  <si>
    <t>Merikarvia</t>
  </si>
  <si>
    <t>Merijärvi</t>
  </si>
  <si>
    <t>Masku</t>
  </si>
  <si>
    <t>Marttila</t>
  </si>
  <si>
    <t>Maalahti</t>
  </si>
  <si>
    <t>Parainen</t>
  </si>
  <si>
    <t>Lohja</t>
  </si>
  <si>
    <t>Luumäki</t>
  </si>
  <si>
    <t>Luoto</t>
  </si>
  <si>
    <t>Lumijoki</t>
  </si>
  <si>
    <t>Luhanka</t>
  </si>
  <si>
    <t>Loviisa</t>
  </si>
  <si>
    <t>Loppi</t>
  </si>
  <si>
    <t>Loimaa</t>
  </si>
  <si>
    <t>Liperi</t>
  </si>
  <si>
    <t>Liminka</t>
  </si>
  <si>
    <t>Lieto</t>
  </si>
  <si>
    <t>Lieksa</t>
  </si>
  <si>
    <t>Lestijärvi</t>
  </si>
  <si>
    <t>Leppävirta</t>
  </si>
  <si>
    <t>Lempäälä</t>
  </si>
  <si>
    <t>Lemi</t>
  </si>
  <si>
    <t>Laukaa</t>
  </si>
  <si>
    <t>Lapua</t>
  </si>
  <si>
    <t>Lapinjärvi</t>
  </si>
  <si>
    <t>Lappeenranta</t>
  </si>
  <si>
    <t>Lappajärvi</t>
  </si>
  <si>
    <t>Lapinlahti</t>
  </si>
  <si>
    <t>Laitila</t>
  </si>
  <si>
    <t>Laihia</t>
  </si>
  <si>
    <t>Lahti</t>
  </si>
  <si>
    <t>Kemiönsaari</t>
  </si>
  <si>
    <t>Kemijärvi</t>
  </si>
  <si>
    <t>Kärsämäki</t>
  </si>
  <si>
    <t>Kärkölä</t>
  </si>
  <si>
    <t>Kyyjärvi</t>
  </si>
  <si>
    <t>Outokumpu</t>
  </si>
  <si>
    <t>Kuusamo</t>
  </si>
  <si>
    <t>Kustavi</t>
  </si>
  <si>
    <t>Kurikka</t>
  </si>
  <si>
    <t>Kuortane</t>
  </si>
  <si>
    <t>Kuopio</t>
  </si>
  <si>
    <t>Kuhmoinen</t>
  </si>
  <si>
    <t>Kuhmo</t>
  </si>
  <si>
    <t>Kruunupyy</t>
  </si>
  <si>
    <t>Kristiinankaupunki</t>
  </si>
  <si>
    <t>Kouvola</t>
  </si>
  <si>
    <t>Kotka</t>
  </si>
  <si>
    <t>Koski</t>
  </si>
  <si>
    <t>Korsnäs</t>
  </si>
  <si>
    <t>Kontiolahti</t>
  </si>
  <si>
    <t>Konnevesi</t>
  </si>
  <si>
    <t>Kolari</t>
  </si>
  <si>
    <t>Kokkola</t>
  </si>
  <si>
    <t>Kokemäki</t>
  </si>
  <si>
    <t>Kivijärvi</t>
  </si>
  <si>
    <t>Kiuruvesi</t>
  </si>
  <si>
    <t>Kittilä</t>
  </si>
  <si>
    <t>Kitee</t>
  </si>
  <si>
    <t>Kirkkonummi</t>
  </si>
  <si>
    <t>Kinnula</t>
  </si>
  <si>
    <t>Kihniö</t>
  </si>
  <si>
    <t>Keuruu</t>
  </si>
  <si>
    <t>Kerava</t>
  </si>
  <si>
    <t>Kempele</t>
  </si>
  <si>
    <t>Keminmaa</t>
  </si>
  <si>
    <t>Kemi</t>
  </si>
  <si>
    <t>Keitele</t>
  </si>
  <si>
    <t>Kaustinen</t>
  </si>
  <si>
    <t>Kauniainen</t>
  </si>
  <si>
    <t>Kauhava</t>
  </si>
  <si>
    <t>Kauhajoki</t>
  </si>
  <si>
    <t>Kaskinen</t>
  </si>
  <si>
    <t>Karvia</t>
  </si>
  <si>
    <t>Karstula</t>
  </si>
  <si>
    <t>Karkkila</t>
  </si>
  <si>
    <t>Karijoki</t>
  </si>
  <si>
    <t>Kannus</t>
  </si>
  <si>
    <t>Kannonkoski</t>
  </si>
  <si>
    <t>Kankaanpää</t>
  </si>
  <si>
    <t>Kangasniemi</t>
  </si>
  <si>
    <t>Kangasala</t>
  </si>
  <si>
    <t>Kalajoki</t>
  </si>
  <si>
    <t>Kajaani</t>
  </si>
  <si>
    <t>Kaavi</t>
  </si>
  <si>
    <t>Kaarina</t>
  </si>
  <si>
    <t>Järvenpää</t>
  </si>
  <si>
    <t>Jämsä</t>
  </si>
  <si>
    <t>Jämijärvi</t>
  </si>
  <si>
    <t>Jyväskylä</t>
  </si>
  <si>
    <t>Juva</t>
  </si>
  <si>
    <t>Juupajoki</t>
  </si>
  <si>
    <t>Juuka</t>
  </si>
  <si>
    <t>Joutsa</t>
  </si>
  <si>
    <t>Joroinen</t>
  </si>
  <si>
    <t>Jokioinen</t>
  </si>
  <si>
    <t>Joensuu</t>
  </si>
  <si>
    <t>Janakkala</t>
  </si>
  <si>
    <t>Imatra</t>
  </si>
  <si>
    <t>Isokyrö</t>
  </si>
  <si>
    <t>Isojoki</t>
  </si>
  <si>
    <t>Inkoo</t>
  </si>
  <si>
    <t>Inari</t>
  </si>
  <si>
    <t>Ilomantsi</t>
  </si>
  <si>
    <t>Ilmajoki</t>
  </si>
  <si>
    <t>Ikaalinen</t>
  </si>
  <si>
    <t>Iitti</t>
  </si>
  <si>
    <t>Iisalmi</t>
  </si>
  <si>
    <t>Ii</t>
  </si>
  <si>
    <t>Heinola</t>
  </si>
  <si>
    <t>Hämeenlinna</t>
  </si>
  <si>
    <t>Hämeenkyrö</t>
  </si>
  <si>
    <t>Hyvinkää</t>
  </si>
  <si>
    <t>Hyrynsalmi</t>
  </si>
  <si>
    <t>Humppila</t>
  </si>
  <si>
    <t>Huittinen</t>
  </si>
  <si>
    <t>Hollola</t>
  </si>
  <si>
    <t>Hirvensalmi</t>
  </si>
  <si>
    <t>Vantaa</t>
  </si>
  <si>
    <t>Heinävesi</t>
  </si>
  <si>
    <t>Hausjärvi</t>
  </si>
  <si>
    <t>Hattula</t>
  </si>
  <si>
    <t>Hartola</t>
  </si>
  <si>
    <t>Harjavalta</t>
  </si>
  <si>
    <t>Hanko</t>
  </si>
  <si>
    <t>Hankasalmi</t>
  </si>
  <si>
    <t>Hamina</t>
  </si>
  <si>
    <t>Halsua</t>
  </si>
  <si>
    <t>Hailuoto</t>
  </si>
  <si>
    <t>Haapavesi</t>
  </si>
  <si>
    <t>Haapajärvi</t>
  </si>
  <si>
    <t>Forssa</t>
  </si>
  <si>
    <t>Evijärvi</t>
  </si>
  <si>
    <t>Eurajoki</t>
  </si>
  <si>
    <t>Eura</t>
  </si>
  <si>
    <t>Espoo</t>
  </si>
  <si>
    <t>Enontekiö</t>
  </si>
  <si>
    <t>Enonkoski</t>
  </si>
  <si>
    <t>Akaa</t>
  </si>
  <si>
    <t>Aura</t>
  </si>
  <si>
    <t>Askola</t>
  </si>
  <si>
    <t>Asikkala</t>
  </si>
  <si>
    <t>Alavus</t>
  </si>
  <si>
    <t>Alavieska</t>
  </si>
  <si>
    <t>Alajärvi</t>
  </si>
  <si>
    <t>keskiarvo</t>
  </si>
  <si>
    <t>Rahoitus kriteerille yhteensä:</t>
  </si>
  <si>
    <t>Asukastiheys</t>
  </si>
  <si>
    <t>Kaksikielisyys</t>
  </si>
  <si>
    <t>Asukasperusteisuus</t>
  </si>
  <si>
    <t>Kriteeri:</t>
  </si>
  <si>
    <t>Vieraskielisyys</t>
  </si>
  <si>
    <t>Kustannukset per asukas</t>
  </si>
  <si>
    <t>Kunnilta siirtyvät sote-kustannukset yhteensä:</t>
  </si>
  <si>
    <t>Asukastiheyskerroin</t>
  </si>
  <si>
    <t>Vantaa ja Kerava</t>
  </si>
  <si>
    <t>Määräytymistekijät ja kertoimet (kaavaviittauksilla)</t>
  </si>
  <si>
    <t>Riskikerroin</t>
  </si>
  <si>
    <t>Painotettu summa</t>
  </si>
  <si>
    <t>RL II</t>
  </si>
  <si>
    <t>RL I</t>
  </si>
  <si>
    <t>Asukasluku</t>
  </si>
  <si>
    <t>Pohjois-Pohjamaa</t>
  </si>
  <si>
    <t>Etelä-Pohjamaa</t>
  </si>
  <si>
    <t xml:space="preserve"> +/-30 €/as</t>
  </si>
  <si>
    <t xml:space="preserve"> +/- 10 €/as</t>
  </si>
  <si>
    <t>Vantaa-Kerava</t>
  </si>
  <si>
    <t>Kunta</t>
  </si>
  <si>
    <t>painotettu k.a</t>
  </si>
  <si>
    <t>SOTE.keskiarvo</t>
  </si>
  <si>
    <t>TULOS.mean</t>
  </si>
  <si>
    <t>PROSESSI.mean</t>
  </si>
  <si>
    <t>Työkyvyttömyys</t>
  </si>
  <si>
    <t>Toimeentulotuki</t>
  </si>
  <si>
    <t>NEET</t>
  </si>
  <si>
    <t>Lonkkamurtumat</t>
  </si>
  <si>
    <t>Vammatjamyrkytykset</t>
  </si>
  <si>
    <t>Koulukuraattori</t>
  </si>
  <si>
    <t>Koulupsykologi</t>
  </si>
  <si>
    <t>Työttömientarkastukset</t>
  </si>
  <si>
    <t>Rokotuskattavuus</t>
  </si>
  <si>
    <t>Miniinterventio</t>
  </si>
  <si>
    <t>Keski-arvo</t>
  </si>
  <si>
    <t>Rahoituslain mukainen paino kriteerille</t>
  </si>
  <si>
    <t>Määräytymistekijöiden perushinnat</t>
  </si>
  <si>
    <t>Kriteerin perushinta:</t>
  </si>
  <si>
    <t xml:space="preserve">Jaettava sote-rahoitus saadaan kunnilta siirtyvistä kustannuksista </t>
  </si>
  <si>
    <t>Hyvinvointialuekoodi</t>
  </si>
  <si>
    <t>Hyte-kerroin</t>
  </si>
  <si>
    <t>Vieraskielisten määrä</t>
  </si>
  <si>
    <t>Ruotsinkielisten määrä kaksikielisillä hyvinvointialueilla</t>
  </si>
  <si>
    <t>Maapinta-ala, km2</t>
  </si>
  <si>
    <t>Asukastiheys-kerroin</t>
  </si>
  <si>
    <t>Kuntanumero</t>
  </si>
  <si>
    <t>1) Lasketaan siirtyvät sote-kustannukset kunnittain.</t>
  </si>
  <si>
    <t>2) Siirtyvät sote-kustannukset hyvinvointialueittain</t>
  </si>
  <si>
    <t>2) Summataan kuntakohtaiset siirtyvät sote-kustannukset hyvinvointialueittain.</t>
  </si>
  <si>
    <t>Hyte-kriteeri</t>
  </si>
  <si>
    <t>Saaristoisuus</t>
  </si>
  <si>
    <t>Sote-palvelutarve yhteensä</t>
  </si>
  <si>
    <t xml:space="preserve">Jaettava pelastustoimen rahoitus saadaan kunnilta siirtyvistä kustannuksista </t>
  </si>
  <si>
    <t>Kunnilta siirtyvät pelastustoimen kustannukset yhteensä:</t>
  </si>
  <si>
    <t>1) Siirtyvät sote-kustannukset kunnittain</t>
  </si>
  <si>
    <t>Laskennallinen rahoitus yhteensä (hyte-kriteeri kertoimella) €</t>
  </si>
  <si>
    <t>Siirtyvät sote-kustannukset, €</t>
  </si>
  <si>
    <t>Siirtyvät pelastustoimen kustannukset, €</t>
  </si>
  <si>
    <t>Siirtyvät kustannukset yhteensä, €</t>
  </si>
  <si>
    <t>Muutos laskennallisen rahoituksen ja siirtyvien kustannusten välillä (hyte-kriteeri kertoimella), €</t>
  </si>
  <si>
    <t>Muutos laskennallisen rahoituksen ja siirtyvien kustannusten välillä (hyte-kriteeri kertoimella), €/as.</t>
  </si>
  <si>
    <t>Muutos laskennallisen rahoituksen ja siirtyvien kustannusten välillä (hyte-kriteeri €/as.), €</t>
  </si>
  <si>
    <t>Muutos laskennallisen rahoituksen ja siirtyvien kustannusten välillä (hyte-kriteeri €/as.), €/as.</t>
  </si>
  <si>
    <t>Siirtyvät kustannukset yhteensä €</t>
  </si>
  <si>
    <t xml:space="preserve"> +90 €/as / 
-75 €/as</t>
  </si>
  <si>
    <t xml:space="preserve"> +60 €/as / 
-60 €/as</t>
  </si>
  <si>
    <t xml:space="preserve"> +150 €/as / 
-90 €/as</t>
  </si>
  <si>
    <t xml:space="preserve"> +200 €/as / 
-100 €/as</t>
  </si>
  <si>
    <t xml:space="preserve"> +/- 0 €/as</t>
  </si>
  <si>
    <t>Uudistuksen voimaantulovuonna 2023 muutos suhteessa nykytilaan rajataan nollaan euroon per asukas.</t>
  </si>
  <si>
    <t xml:space="preserve">Yhteenveto hyvinvointialueiden rahoituksesta. </t>
  </si>
  <si>
    <t>Hyvinvointialueittain tarkastellaan laskennallisen rahoituksen ja siirtyvien kustannusten välistä erotusta.</t>
  </si>
  <si>
    <t>Yhteensä, €/as.</t>
  </si>
  <si>
    <t>Yhteensä, €/as.2</t>
  </si>
  <si>
    <t>Yhteensä, €</t>
  </si>
  <si>
    <t>Laskennallinen pelastustoimen rahoitus, euroa yhteensä</t>
  </si>
  <si>
    <t>Laskennallinen pelastustoimen rahoitus, euroa/asukas</t>
  </si>
  <si>
    <t>Laskennallinen rahoitus, yhteensä €</t>
  </si>
  <si>
    <t>Laskennallinen rahoitus, yhteensä €/as.</t>
  </si>
  <si>
    <t>Siirtyvät pelastustoimen kustannukset, €/as.</t>
  </si>
  <si>
    <t>Siirtyvät sote-kustannukset, €/as.</t>
  </si>
  <si>
    <t>Siirtyvät kustannukset, €/as.</t>
  </si>
  <si>
    <t>Prosessi-indikaattorit</t>
  </si>
  <si>
    <t>Tulos-indikaattorit</t>
  </si>
  <si>
    <t>Painotettu hyte-kerroin rahoituslaskelmaan</t>
  </si>
  <si>
    <t>SOTE laskennallinen rahoitus</t>
  </si>
  <si>
    <t>Pelastustoimen laskennallinen rahoitus</t>
  </si>
  <si>
    <t>Vuosi</t>
  </si>
  <si>
    <t>Siirtymätasaus max euroa/asukas</t>
  </si>
  <si>
    <t>Siirtymätasaus min euroa/asukas</t>
  </si>
  <si>
    <t xml:space="preserve">Hyte-kerroin </t>
  </si>
  <si>
    <t>Osuus yleiskatteisesta rahoituksesta</t>
  </si>
  <si>
    <t>Osuus sote-rahoituksesta</t>
  </si>
  <si>
    <t>Osuus pela-rahoituksesta</t>
  </si>
  <si>
    <t>Kokonaispinta-ala</t>
  </si>
  <si>
    <t>VH:n sektoripaino</t>
  </si>
  <si>
    <t>SH:n sektoripaino</t>
  </si>
  <si>
    <t>TH:n tarvekerroin</t>
  </si>
  <si>
    <t>VH:n tarvekerroin</t>
  </si>
  <si>
    <t>SH:n tarvekerroin</t>
  </si>
  <si>
    <t>Laskennassa käytettävä TH:n palvelutarvekerroin</t>
  </si>
  <si>
    <t>Laskennassa käytettävä VH:n palvelutarvekerroin</t>
  </si>
  <si>
    <t>Laskennassa käytettävä SH:n palvelutarvekerroin</t>
  </si>
  <si>
    <t>TH:n sektoripaino</t>
  </si>
  <si>
    <t>INFO hyvinvointialueiden rahoitus</t>
  </si>
  <si>
    <t>SOTE laskennallinen rahoitus ja Pela laskennallinen rahoitus -välilehdillä lasketaan hyvinvointialueiden laskennallinen rahoitus rahoituslain mukaisten kriteereiden ja niiden osuuksien mukaisesti.</t>
  </si>
  <si>
    <t>Yhteenveto ja muutos nykytilaan -välilehdellä lasketaan yhteen soten ja pelastustoimen siirtyvät kustannukset hyvinvointialueittain sekä soten ja pelastustoimen laskennallinen rahoitus hyvinvointialueittain.</t>
  </si>
  <si>
    <t>Laskennallisen rahoituksen ja siirtyvien kustannusten välinen erotus esitetään sekä euroa yhteensä että euroa per asukas.</t>
  </si>
  <si>
    <t>Siirtymäkausi-välilehdellä kuvataan rahoituslain mukainen siirtymäkausi hyvinvointialueittain.</t>
  </si>
  <si>
    <t>Hyvinvointialueiden rahoituksen siirtymäkausi ja euromääräinen siirtymätasaus</t>
  </si>
  <si>
    <t>Laskennallinen pelastustoimen  rahoitus, €</t>
  </si>
  <si>
    <t>Laskennallinen pelastustoimen rahoitus, €/as</t>
  </si>
  <si>
    <t>Terveydenhuollon palvelutarve</t>
  </si>
  <si>
    <t>Vanhustenhuollon palvelutarve</t>
  </si>
  <si>
    <t>Sosiaalihuollon palvelutarve</t>
  </si>
  <si>
    <t>Terveydenhuollon palvelutarvekerroin</t>
  </si>
  <si>
    <t>Vanhustenhuollon palvelutarvekerroin</t>
  </si>
  <si>
    <t>Sosiaalihuollon palvelutarvekerroin</t>
  </si>
  <si>
    <t>SOTE yhteenveto hyvinvointialueiden siirtyvistä sote-kustannuksista ja laskennallisesta sote-rahoituksesta sekä muutos laskennallisen rahoituksen ja siirtyvien kustannusten välillä.</t>
  </si>
  <si>
    <t>PELA yhteenveto hyvinvointialueiden siirtyvistä pelastustoimen kustannuksista ja laskennallisesta pelastustoimen rahoituksesta sekä muutos laskennallisen rahoituksen ja siirtyvien kustannusten välillä.</t>
  </si>
  <si>
    <t>Yleiskatteinen yhteensä. Yhteenveto hyvinvointialueiden siirtyvistä kustannuksista ja laskennallisesta rahoituksesta sekä muutos laskennallisen rahoituksen ja siirtyvien kustannusten välillä.</t>
  </si>
  <si>
    <t>Manner-Suomen kunnat yhteensä</t>
  </si>
  <si>
    <t>Manner-Suomi kuntatalous yhteensä</t>
  </si>
  <si>
    <t>Terveydenhuolto</t>
  </si>
  <si>
    <t>Vanhustenhuolto</t>
  </si>
  <si>
    <t>Sektorikohtaiset nettokustannukset</t>
  </si>
  <si>
    <t>Euroa yhteensä</t>
  </si>
  <si>
    <t>Suhteelliset osuudet</t>
  </si>
  <si>
    <t>Sosiaalihuolto</t>
  </si>
  <si>
    <t>Saamenkielisyys</t>
  </si>
  <si>
    <t>Saaristokuntien saaristossa asuvan väestön määrä</t>
  </si>
  <si>
    <t xml:space="preserve">Saamenkielisten määrä hyvinvointialueella, jolla sijaitsee saamelaisten kotiseutualueen kunnat </t>
  </si>
  <si>
    <t>Kriteeri</t>
  </si>
  <si>
    <t>Saamenkielisten määrä hyvinvointialueella, jolla sijaitsee saamelaisten kotiseutualueen kunnat</t>
  </si>
  <si>
    <t>Saaristokuntien saaristossa asuvien määrä</t>
  </si>
  <si>
    <t>Kuntakoodi</t>
  </si>
  <si>
    <t>Saamenkieliset</t>
  </si>
  <si>
    <t>Vieraskieliset</t>
  </si>
  <si>
    <t>Maapinta-ala</t>
  </si>
  <si>
    <t xml:space="preserve">Siirtymäkausi 2023-2029. Siirtymätasauksen määrä hyvinvointialuettain, euroa/asukas. </t>
  </si>
  <si>
    <t>Siirtymäkausi 2023-2029. Siirtymätasauksen määrä hyvinvointialuettain, euroa yhteensä.</t>
  </si>
  <si>
    <t xml:space="preserve">Siirtymätasaus min/max euroa/asukas </t>
  </si>
  <si>
    <t>Jos muutos on negatiivinen, on hyvinvointialueen saama laskennallinen rahoitus alhaisempaa kuin hyvinvointialueen kuntien yhteenlasketut siirtyvät kustannukset.</t>
  </si>
  <si>
    <t>Jos muutos on positiivinen, on hyvinvointialueen saama laskennallinen rahoitus korkeampaa kuin hyvinvointialueen kuntien yhteenlasketut siirtyvät kustannukset.</t>
  </si>
  <si>
    <t>Hyvinvointialueen laskennallinen yleiskatteinen rahoitus esitetään kriteereittäin sekä euromääräisinä summina että euroa per asukas jolloin hyvinvointialueen laskennallisen rahoituksen muodostumista voi tarkastella eri tekijöiden perusteella.</t>
  </si>
  <si>
    <t>Yhteensä2</t>
  </si>
  <si>
    <t>Sote-palvelutarvekerroin yhteensä</t>
  </si>
  <si>
    <t>Lisäksi huomioidaan</t>
  </si>
  <si>
    <t>Lähde</t>
  </si>
  <si>
    <t>joka jakaantuu tp-osuuksien mukaisesti, ks. Välilehti TH, VH, SH sektoripainot</t>
  </si>
  <si>
    <t>2023</t>
  </si>
  <si>
    <t>2024</t>
  </si>
  <si>
    <t>2025</t>
  </si>
  <si>
    <t>2026</t>
  </si>
  <si>
    <t>2027</t>
  </si>
  <si>
    <t>Siirtymätasauksen määrä laskee vuosittain vuoteen 2029, jonka jälkeen vuoden 2029 siirtymätasaus jää toistaiseksi pysyväksi siirtymätasaukseksi.</t>
  </si>
  <si>
    <t>2 028</t>
  </si>
  <si>
    <t>2029</t>
  </si>
  <si>
    <t>Määräytymistekijät hyvinvointialueittain</t>
  </si>
  <si>
    <t>Pelastustoimen riskitekijät</t>
  </si>
  <si>
    <t>Riskitekijät</t>
  </si>
  <si>
    <t>Pelastustoimen laskennallisen rahoituksen määräytymistekijät ovat asukasperusteisuus, asukastiheys ja pelastustoimen riskitekijät.</t>
  </si>
  <si>
    <r>
      <rPr>
        <b/>
        <sz val="12"/>
        <rFont val="Arial Narrow"/>
        <family val="2"/>
        <scheme val="major"/>
      </rPr>
      <t xml:space="preserve">Käyttötuotot </t>
    </r>
    <r>
      <rPr>
        <sz val="12"/>
        <rFont val="Arial Narrow"/>
        <family val="2"/>
        <scheme val="major"/>
      </rPr>
      <t xml:space="preserve">= toimintatuotot yhteensä + valmistevarastojen muutos + valmistus omaan käyttöön + vyörytystuotot </t>
    </r>
  </si>
  <si>
    <t>kuntien rahoitusosuus tmt</t>
  </si>
  <si>
    <t>Kunnan väestö</t>
  </si>
  <si>
    <t>Saaristoväestö</t>
  </si>
  <si>
    <t>Saaristokunnat</t>
  </si>
  <si>
    <t>Virallinen tilasto</t>
  </si>
  <si>
    <t>Koordinaattiväki</t>
  </si>
  <si>
    <t>Hv-aluekoodi</t>
  </si>
  <si>
    <t>Hv-alue</t>
  </si>
  <si>
    <t>046</t>
  </si>
  <si>
    <t xml:space="preserve">Enonkoski                               </t>
  </si>
  <si>
    <t>072</t>
  </si>
  <si>
    <t xml:space="preserve">Hailuoto                                </t>
  </si>
  <si>
    <t>322</t>
  </si>
  <si>
    <t xml:space="preserve">Kemiönsaari                             </t>
  </si>
  <si>
    <t>304</t>
  </si>
  <si>
    <t xml:space="preserve">Kustavi                                 </t>
  </si>
  <si>
    <t>475</t>
  </si>
  <si>
    <t xml:space="preserve">Maalahti                                </t>
  </si>
  <si>
    <t>445</t>
  </si>
  <si>
    <t xml:space="preserve">Parainen                                </t>
  </si>
  <si>
    <t>623</t>
  </si>
  <si>
    <t xml:space="preserve">Puumala                                 </t>
  </si>
  <si>
    <t>768</t>
  </si>
  <si>
    <t xml:space="preserve">Sulkava                                 </t>
  </si>
  <si>
    <t>RL III</t>
  </si>
  <si>
    <t>RLIV</t>
  </si>
  <si>
    <t xml:space="preserve">Yhteensä RL I-IV </t>
  </si>
  <si>
    <t>Sote-kustannukset keskiarvo 2021-2022</t>
  </si>
  <si>
    <t>Kunnan osuus koko maan sote-kustannusten keskiarvosta</t>
  </si>
  <si>
    <t>TH:n tarvekerroin painotettu 2020 asukasluvulla</t>
  </si>
  <si>
    <t>VH:n tarvekerroin painotettu 2020 asukasluvulla</t>
  </si>
  <si>
    <t>SH:n tarvekerroin painotettu 2020 asukasluvulla</t>
  </si>
  <si>
    <t>MANNER-SUOMI</t>
  </si>
  <si>
    <t>Pela-kustannukset keskiarvo 2021-2022</t>
  </si>
  <si>
    <t>Kunnan osuus koko maan pela-kustannusten keskiarvosta</t>
  </si>
  <si>
    <t>2) Siirtyvät pela-kustannukset hyvinvointialueittain</t>
  </si>
  <si>
    <t>Siirtyvät pela-kustannukset v. 2022 tasossa</t>
  </si>
  <si>
    <t>Näin saadaan kuntakohtaiset siirtyvät pela-kustannukset vuoden 2022 tasolla.</t>
  </si>
  <si>
    <t>Määräytymistekijät kunnittain 2020</t>
  </si>
  <si>
    <t>MANNER-SUOMI yhteensä</t>
  </si>
  <si>
    <t>Ruotsinkieliset</t>
  </si>
  <si>
    <t>Pelastustoimen rahoituslaskelman määräytymistekijät hyvinvointialueittain 2020</t>
  </si>
  <si>
    <t>Sote-rahoituslaskelman määräytymistekijät hyvinvointialueittain, 2020</t>
  </si>
  <si>
    <t>Kokonaispinta-ala, km2</t>
  </si>
  <si>
    <t>Kokonais pinta-ala</t>
  </si>
  <si>
    <t>Siirtyvät sote-kustannukset v. 2022 tasossa</t>
  </si>
  <si>
    <t>Väestö 2020</t>
  </si>
  <si>
    <t>Laskennallinen rahoitus yhteensä (hyte-kriteeri €/as.</t>
  </si>
  <si>
    <t>Määräytymistekijät-välilehdellä kuvataan laskelmassa käytetyttjä tilastotietoja alueittain</t>
  </si>
  <si>
    <t>Viimeisillä välilehdillä kuvataan THL:n tutkimukseen pohjautuvien tarvekertoimien sisältö ja aluekohtaiset tulokset sekä johdetaan sote-sektoripainot kuntataloustilaston tiedoista</t>
  </si>
  <si>
    <t>Asukasluku 2020</t>
  </si>
  <si>
    <r>
      <rPr>
        <b/>
        <sz val="12"/>
        <rFont val="Arial Narrow"/>
        <family val="2"/>
        <scheme val="major"/>
      </rPr>
      <t>Käyttökustannukse</t>
    </r>
    <r>
      <rPr>
        <sz val="12"/>
        <rFont val="Arial Narrow"/>
        <family val="2"/>
        <scheme val="major"/>
      </rPr>
      <t xml:space="preserve">t = toimintakulut yhteensä + poistot ja arvonalentumiset + vyörytyskulut </t>
    </r>
  </si>
  <si>
    <t xml:space="preserve">Hv-aluekoodi </t>
  </si>
  <si>
    <t xml:space="preserve">Hv-alue </t>
  </si>
  <si>
    <t xml:space="preserve">Saaristoväestö </t>
  </si>
  <si>
    <t>Siirtyvät pela-kustannukset</t>
  </si>
  <si>
    <t>1) Lasketaan siirtyvät pela-kustannukset kunnittain.</t>
  </si>
  <si>
    <t>2) Summataan kuntakohtaiset siirtyvät pela-kustannukset hyvinvointialueittain.</t>
  </si>
  <si>
    <t>1) Siirtyvät pela-kustannukset kunnittain</t>
  </si>
  <si>
    <t>SAARISTOVÄESTÖ 31.12.2020 SAARISTOKUNNISSA JA SAARISTO-OSAKUNNISSA. LÄHDE: TILASTOKESKUS.</t>
  </si>
  <si>
    <t>Terveydenhuollon, vanhustenhuollon ja sosiaalihuollon sektorikohtaiset painotukset vuoden 2020 tilinpäätöstietojen mukaisesti</t>
  </si>
  <si>
    <t>KUNTATALOUS YHTEENSÄ (kunnat + kuntayhtymät) käyttötalous muuttujina Alue, Kulu-/tuottolaji, Tehtävä ja Vuosi 2020</t>
  </si>
  <si>
    <t>Kuntien käyttötalous muuttujina Alue, Kulu-/tuottolaji, Tehtävä ja Vuosi 2020</t>
  </si>
  <si>
    <t>Kuntayhtymien käyttötalous muuttujina Alue, Kulu-/tuottolaji, Tehtävä ja Vuosi 2020</t>
  </si>
  <si>
    <t>SH</t>
  </si>
  <si>
    <t>VH/SH</t>
  </si>
  <si>
    <t>lähde: TK 2020</t>
  </si>
  <si>
    <t>lähde: Kela</t>
  </si>
  <si>
    <t>Lähde THL, 29.3.2022</t>
  </si>
  <si>
    <t>YO-lisä</t>
  </si>
  <si>
    <t>Asukasmäärä alueille joilla sijaitsee yliopistosairaala</t>
  </si>
  <si>
    <t>Yo-sairaala-alueiden asukasluku</t>
  </si>
  <si>
    <t>Rahoituslaskelma vuoden 2022 tasolla ja siirtymätasaus vuodelle 2023</t>
  </si>
  <si>
    <t>Laskennan pohjana on kuntien vuosien TAE2021 ja TA2022 mukaiset sote-nettokustannukset</t>
  </si>
  <si>
    <t>Lasketaan vuosien TAE2021 ja TA2022 kuntakohtainen keskiarvo, ja sen osuus koko maan keskiarvosta.</t>
  </si>
  <si>
    <t>Kerrotaan saatu kuntakohtainen osuus vuoden TA2022 koko maan tasolla. Saadaan kuntakohtainen arvio vuoden 2022 tasolla.</t>
  </si>
  <si>
    <t>Siirtyvät sote-nettokustannukset 2022 tasossa</t>
  </si>
  <si>
    <t>Sote-nettokustannukset, TAE2021</t>
  </si>
  <si>
    <t>Sote-nettokustannukset, TA2022</t>
  </si>
  <si>
    <t xml:space="preserve">Huom. Ympäristöterveydenhuollon ja kuntiin jäävä hyte-toiminta on eliminoitu luvuista talousarviokyselyn perusteella </t>
  </si>
  <si>
    <t>VM/KAO 13.4.2021</t>
  </si>
  <si>
    <t>Tässä työkirjassa kuvataan hyvinvointialuiden rahoituksen muodostuminen vuoden 2022 poikkileikkaustilanteessa.</t>
  </si>
  <si>
    <t>Vuoden 2023 siirtymätasaus välilehdellä kuvataan vuoden 2023 rahoituslaskelmaan vietävä siirtymätasaus</t>
  </si>
  <si>
    <t>Laskennan pohjana on kuntien vuosien TAE2021 ja TA2022 mukaiset pela-nettokustannukset</t>
  </si>
  <si>
    <t>Pela-nettokustannukset, TAE2021</t>
  </si>
  <si>
    <t>Pela-nettokustannukset, TA2022</t>
  </si>
  <si>
    <t>Siirtyvät pela-nettokustannukset laskelmaan kunnittain</t>
  </si>
  <si>
    <t>Lasketaan vuosien TAE2021 ja TA2022 kuntakohtainen keskiarvo ja sen osuus koko maan keskiarvosta.</t>
  </si>
  <si>
    <r>
      <t xml:space="preserve">Sote-tehtävien rahoituksen pohjana on kunnilta siirtyvät sote-nettokustannukset yhteensä </t>
    </r>
    <r>
      <rPr>
        <b/>
        <sz val="12"/>
        <rFont val="Arial Narrow"/>
        <family val="2"/>
      </rPr>
      <t>n. 20,7 mrd. euroa</t>
    </r>
    <r>
      <rPr>
        <sz val="12"/>
        <rFont val="Arial Narrow"/>
        <family val="2"/>
      </rPr>
      <t xml:space="preserve">. </t>
    </r>
  </si>
  <si>
    <t>Hyte-rahoitus kohdennetaan vuosina 2023-2025 asukasperusteisesti.</t>
  </si>
  <si>
    <t xml:space="preserve">Sote-tehtävien laskennallisen rahoituksen määräytymistekijät ovat asukasperusteisuus, sote-palvelutarvekerroin (joka muodostuu terveydenhuollon, vanhustenhuollon ja sosiaalihuollon palvelutarvekertoimista), vieraskielisyys, kaksikielisyys, asukastiheys, saaristoisuus ja saamenkielisyys sekä </t>
  </si>
  <si>
    <t>Määräytymistekijänä on laskelmassa myös HE-luonnoksen mukainen yliopistosairaalatekijä. Sen paino on 1,7% rahoituksesta ja vastaava osuus vähennetään asukasperusteisesta osuudesta</t>
  </si>
  <si>
    <t>ARVIO sote-rahoitus (hyte-kriteeri laskennallisen kertoimen mukaan, vuodesta 2026 alkaen) euroa yhteensä</t>
  </si>
  <si>
    <t>ARVIO sote-rahoitus (hyte-kriteeri laskennallisen kertoimen mukaan) euroa/asukas</t>
  </si>
  <si>
    <t>Arvio hyte-kertoimen vaikutuksesta rahoitukseen</t>
  </si>
  <si>
    <t xml:space="preserve">Laskennallinen rahoitus euroa yhteensä </t>
  </si>
  <si>
    <t>Laskennallinen rahoitus euroa/asukas</t>
  </si>
  <si>
    <t>Pelastutoimen rahoituksen pohjana on kunnilta siirtyvät pelastustoimen kustannukset n. 485 milj. euroa.</t>
  </si>
  <si>
    <t>Muutos laskennallisen rahoituksen ja siirtyvien kustannusten välillä , €</t>
  </si>
  <si>
    <t>Laskennallinen rahoitus yhteensä  €</t>
  </si>
  <si>
    <t>Laskennallinen rahoitus yhteensä € /as.</t>
  </si>
  <si>
    <t>Muutos laskennallisen rahoituksen ja siirtyvien kustannusten välillä , €/as.</t>
  </si>
  <si>
    <t>Laskennallinen sote- rahoitus €</t>
  </si>
  <si>
    <t xml:space="preserve">Yhteenveto hyvinvointialueen laskennallisesta soten ja pelastustoimen rahoituksesta kriteereittäin, euroa. </t>
  </si>
  <si>
    <t>Yhteenveto hyvinvointialueen laskennallisesta soten ja pelastustoimen rahoituksesta kriteereittäin, euroa/asukas.</t>
  </si>
  <si>
    <t>Siirtymätasaus lasketaan poikkileikkaustilanteessa vuoden 2022 tasossa</t>
  </si>
  <si>
    <t>Siirtymätasaus lasketaan koko yleiskatteisen laskennallisen rahoituksen ja siirtyvien kustannusten erotuksesta.</t>
  </si>
  <si>
    <t xml:space="preserve">Vuosille 2023-2025 hyte-rahoitusmääräytyy asukasperusteisesti ja siirtymätasaus lasketaan sen mukaan. </t>
  </si>
  <si>
    <t>Vuosille 2026-2029 hyte-rahoitus määräytyy hyte-kertoimen perusteella ja siirtymätasaus lasketaan sen perusteella. Tästä esitetään alustava arvio</t>
  </si>
  <si>
    <t>Laskennallinen rahoitus yhteensä €</t>
  </si>
  <si>
    <t>Muutos laskennallisen rahoituksen ja siirtyvien kustannusten välillä, €</t>
  </si>
  <si>
    <t>Siirtymätasaus vuonna 2023, €</t>
  </si>
  <si>
    <t>Muutos laskennallisen rahoituksen ja siirtyvien kustannusten välillä, €/as.</t>
  </si>
  <si>
    <t>Siirtymätasaus lasketaan vuoden 2022 tasolla (poikkileikkaus)</t>
  </si>
  <si>
    <t>Sarakkeen G mukainen siirtymätasaus lisätään (vähennetään) alueen rahoitukseen vuonna 2023</t>
  </si>
  <si>
    <t>Siirtymätasauksen laskenta vuodelle 2023</t>
  </si>
  <si>
    <t>Terveydenhuollon, vanhustenhuollon ja sosiaalihuollon tarvekertoimet hyvinvointialueittain 2020</t>
  </si>
  <si>
    <t>Sarakkeissa G,H ja I THL:n tuottamat aluekohtaiset tarvekertoimet</t>
  </si>
  <si>
    <t>Kertoimet on laskettu HE-luonnoksen mukaisten päivitettyjen tarvetekijöiden ja niiden painojen perusteella</t>
  </si>
  <si>
    <t>Hyte-rahoitus määräytyy vuosina 2023-2025 asukasperusteisesti. Kerroin tulee käyttöön vuoden 2026 rahoitukseen</t>
  </si>
  <si>
    <t>Laskelmassa on huomioitu rahoituslain muutosesitystä koskevan HE-luonnoksen mukainen yliopistosairaalalisä osana sote-rahoitusta</t>
  </si>
  <si>
    <t>Yliopistosairaalalisä</t>
  </si>
  <si>
    <t xml:space="preserve">Laskelma pohjautuu kunnilta siirtyviin sosiaali- ja terveydenhuollon sekä pelastustoimen nettokustannuksiin. </t>
  </si>
  <si>
    <t>Siirtyvät kustannukset lasketaan kuntien vuoden 2021 talousarvioennuste- ja vuoden 2022 talousarviotietojen keskiarvona skaalattuna vuoden 2022 tasolle.</t>
  </si>
  <si>
    <t>Hyte-kerroin sisällytetään hyvinvointialueiden laskennalliseen rahoitukseen vuodesta 2026 alkaen. Tästä esitetty arvio ei vaikuta vielä rahoitukseen</t>
  </si>
  <si>
    <t>Tiedot on kuitenkin huomioitu arvioitaessa tulevaa siirtymäkautta</t>
  </si>
  <si>
    <t>Laskelmat päivittyvät vielä vuoden 2022 aikana.</t>
  </si>
  <si>
    <t>Siirtyvät sote-kustannukset ja siirtyvät pelan kustannukset -välilehdillä lasketaan siirtyvät kustannukset kunnittain ja hyvinvointialueittain, jotka muodostavat koko maan rahoituksen pohjan.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</si>
</sst>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#,##0\ &quot;€&quot;;[Red]\-#,##0\ &quot;€&quot;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"/>
    <numFmt numFmtId="167" formatCode="#,##0.00000_ ;[Red]\-#,##0.00000\ "/>
    <numFmt numFmtId="168" formatCode="#,##0_ ;[Red]\-#,##0\ "/>
    <numFmt numFmtId="169" formatCode="#,##0.000"/>
    <numFmt numFmtId="170" formatCode="#,##0.0000"/>
    <numFmt numFmtId="171" formatCode="0.0000"/>
    <numFmt numFmtId="172" formatCode="0.000"/>
    <numFmt numFmtId="173" formatCode="0.000\ %"/>
    <numFmt numFmtId="174" formatCode="0.0\ %"/>
    <numFmt numFmtId="175" formatCode="0.00000\ %"/>
    <numFmt numFmtId="176" formatCode="0.0000\ %"/>
    <numFmt numFmtId="177" formatCode="0_ ;[Red]\-0\ "/>
    <numFmt numFmtId="178" formatCode="#,##0.000_ ;[Red]\-#,##0.000\ "/>
    <numFmt numFmtId="179" formatCode="#,##0.000000000_ ;[Red]\-#,##0.000000000\ "/>
    <numFmt numFmtId="180" formatCode="0.00000000000"/>
    <numFmt numFmtId="181" formatCode="#,##0.00000000000000"/>
    <numFmt numFmtId="182" formatCode="#,##0.0000000000"/>
    <numFmt numFmtId="183" formatCode="#,##0.00000000000"/>
    <numFmt numFmtId="184" formatCode="0.00000000000000_ ;[Red]\-0.00000000000000\ "/>
    <numFmt numFmtId="185" formatCode="0.000000"/>
    <numFmt numFmtId="186" formatCode="0.00000"/>
    <numFmt numFmtId="187" formatCode="0.0000000000000000"/>
    <numFmt numFmtId="188" formatCode="0.0000000"/>
    <numFmt numFmtId="189" formatCode="#,##0.00000"/>
    <numFmt numFmtId="190" formatCode="_-* #,##0_-;\-* #,##0_-;_-* &quot;-&quot;??_-;_-@_-"/>
    <numFmt numFmtId="191" formatCode="#,##0.000000"/>
  </numFmts>
  <fonts count="6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u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0" tint="-0.249977111117893"/>
      <name val="Arial Narrow"/>
      <family val="2"/>
    </font>
    <font>
      <sz val="12"/>
      <color rgb="FFFF0000"/>
      <name val="Arial Narrow"/>
      <family val="2"/>
    </font>
    <font>
      <sz val="12"/>
      <color theme="0" tint="-0.499984740745262"/>
      <name val="Arial Narrow"/>
      <family val="2"/>
    </font>
    <font>
      <b/>
      <sz val="12"/>
      <color theme="0" tint="-0.499984740745262"/>
      <name val="Arial Narrow"/>
      <family val="2"/>
    </font>
    <font>
      <sz val="12"/>
      <color rgb="FFFF0000"/>
      <name val="Arial Narrow"/>
      <family val="2"/>
    </font>
    <font>
      <b/>
      <sz val="12"/>
      <name val="Arial Narrow"/>
      <family val="2"/>
    </font>
    <font>
      <b/>
      <sz val="12"/>
      <name val="Arial Narrow"/>
      <family val="2"/>
      <scheme val="major"/>
    </font>
    <font>
      <b/>
      <sz val="12"/>
      <color rgb="FFFF0000"/>
      <name val="Arial Narrow"/>
      <family val="2"/>
      <scheme val="major"/>
    </font>
    <font>
      <sz val="12"/>
      <color rgb="FFFF0000"/>
      <name val="Arial Narrow"/>
      <family val="2"/>
      <scheme val="major"/>
    </font>
    <font>
      <sz val="12"/>
      <name val="Arial Narrow"/>
      <family val="2"/>
      <scheme val="major"/>
    </font>
    <font>
      <b/>
      <sz val="12"/>
      <color theme="1"/>
      <name val="Arial Narrow"/>
      <family val="2"/>
      <scheme val="major"/>
    </font>
    <font>
      <sz val="12"/>
      <color theme="1"/>
      <name val="Arial Narrow"/>
      <family val="2"/>
      <scheme val="major"/>
    </font>
    <font>
      <b/>
      <sz val="12"/>
      <color theme="0"/>
      <name val="Arial Narrow"/>
      <family val="2"/>
      <scheme val="major"/>
    </font>
    <font>
      <sz val="8"/>
      <name val="Arial Narrow"/>
      <family val="2"/>
      <scheme val="major"/>
    </font>
    <font>
      <sz val="12"/>
      <color theme="0"/>
      <name val="Arial Narrow"/>
      <family val="2"/>
      <scheme val="major"/>
    </font>
    <font>
      <b/>
      <sz val="12"/>
      <color rgb="FF000000"/>
      <name val="Arial Narrow"/>
      <family val="2"/>
      <scheme val="major"/>
    </font>
    <font>
      <sz val="12"/>
      <color rgb="FF000000"/>
      <name val="Arial Narrow"/>
      <family val="2"/>
      <scheme val="major"/>
    </font>
    <font>
      <b/>
      <u/>
      <sz val="12"/>
      <name val="Arial Narrow"/>
      <family val="2"/>
      <scheme val="maj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sz val="11"/>
      <color rgb="FFFF0000"/>
      <name val="Arial"/>
      <family val="2"/>
      <scheme val="minor"/>
    </font>
    <font>
      <u/>
      <sz val="12"/>
      <name val="Arial Narrow"/>
      <family val="2"/>
      <scheme val="major"/>
    </font>
    <font>
      <b/>
      <sz val="11"/>
      <color theme="0"/>
      <name val="Arial Narrow"/>
      <family val="2"/>
      <scheme val="major"/>
    </font>
    <font>
      <sz val="11"/>
      <name val="Arial Narrow"/>
      <family val="2"/>
      <scheme val="major"/>
    </font>
    <font>
      <sz val="11"/>
      <color theme="1"/>
      <name val="Arial Narrow"/>
      <family val="2"/>
      <scheme val="major"/>
    </font>
    <font>
      <b/>
      <sz val="11"/>
      <color theme="1"/>
      <name val="Arial Narrow"/>
      <family val="2"/>
      <scheme val="major"/>
    </font>
    <font>
      <sz val="10"/>
      <color rgb="FFFF0000"/>
      <name val="Arial"/>
      <family val="2"/>
    </font>
    <font>
      <i/>
      <sz val="12"/>
      <name val="Arial Narrow"/>
      <family val="2"/>
    </font>
    <font>
      <sz val="18"/>
      <color theme="3"/>
      <name val="Arial Narrow"/>
      <family val="2"/>
      <scheme val="major"/>
    </font>
    <font>
      <sz val="11"/>
      <color rgb="FF000000"/>
      <name val="Arial"/>
      <family val="2"/>
    </font>
    <font>
      <sz val="12"/>
      <name val="Arial Narrow"/>
      <family val="2"/>
      <scheme val="major"/>
    </font>
    <font>
      <sz val="12"/>
      <name val="Arial Narrow"/>
    </font>
    <font>
      <b/>
      <sz val="12"/>
      <color theme="0"/>
      <name val="Arial Narrow"/>
    </font>
    <font>
      <b/>
      <sz val="12"/>
      <name val="Arial Narrow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  <scheme val="minor"/>
    </font>
    <font>
      <sz val="10"/>
      <color theme="0" tint="-0.249977111117893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indexed="64"/>
      </top>
      <bottom/>
      <diagonal/>
    </border>
    <border>
      <left/>
      <right style="thin">
        <color theme="8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 style="thin">
        <color indexed="64"/>
      </left>
      <right style="thin">
        <color theme="8"/>
      </right>
      <top style="thin">
        <color theme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5" fillId="0" borderId="0" applyNumberFormat="0" applyBorder="0" applyAlignment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5" fillId="0" borderId="0" applyBorder="0"/>
    <xf numFmtId="0" fontId="4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7">
    <xf numFmtId="0" fontId="0" fillId="0" borderId="0" xfId="0"/>
    <xf numFmtId="0" fontId="3" fillId="0" borderId="0" xfId="3" applyFont="1"/>
    <xf numFmtId="0" fontId="3" fillId="0" borderId="0" xfId="3" applyFont="1" applyFill="1" applyBorder="1"/>
    <xf numFmtId="0" fontId="6" fillId="0" borderId="0" xfId="3" applyFont="1" applyFill="1" applyBorder="1"/>
    <xf numFmtId="0" fontId="3" fillId="0" borderId="0" xfId="3" applyFont="1" applyFill="1"/>
    <xf numFmtId="0" fontId="8" fillId="0" borderId="0" xfId="0" applyFont="1" applyFill="1"/>
    <xf numFmtId="185" fontId="0" fillId="0" borderId="0" xfId="0" applyNumberFormat="1"/>
    <xf numFmtId="0" fontId="9" fillId="0" borderId="0" xfId="3" applyFont="1"/>
    <xf numFmtId="0" fontId="10" fillId="0" borderId="0" xfId="8" applyFont="1"/>
    <xf numFmtId="0" fontId="10" fillId="0" borderId="0" xfId="0" applyFont="1"/>
    <xf numFmtId="0" fontId="11" fillId="0" borderId="0" xfId="8" applyFont="1"/>
    <xf numFmtId="168" fontId="10" fillId="0" borderId="0" xfId="8" applyNumberFormat="1" applyFont="1"/>
    <xf numFmtId="0" fontId="9" fillId="0" borderId="0" xfId="3" applyFont="1" applyFill="1" applyBorder="1"/>
    <xf numFmtId="0" fontId="9" fillId="0" borderId="0" xfId="3" applyFont="1" applyFill="1"/>
    <xf numFmtId="0" fontId="12" fillId="0" borderId="0" xfId="3" applyFont="1" applyFill="1" applyBorder="1"/>
    <xf numFmtId="168" fontId="13" fillId="0" borderId="0" xfId="8" applyNumberFormat="1" applyFont="1" applyAlignment="1">
      <alignment horizontal="center"/>
    </xf>
    <xf numFmtId="0" fontId="12" fillId="0" borderId="0" xfId="3" applyFont="1" applyFill="1" applyAlignment="1"/>
    <xf numFmtId="0" fontId="9" fillId="0" borderId="0" xfId="3" applyFont="1" applyAlignment="1"/>
    <xf numFmtId="0" fontId="12" fillId="0" borderId="0" xfId="3" applyFont="1" applyFill="1" applyBorder="1" applyAlignment="1">
      <alignment horizontal="center"/>
    </xf>
    <xf numFmtId="0" fontId="12" fillId="0" borderId="0" xfId="3" applyFont="1"/>
    <xf numFmtId="0" fontId="12" fillId="2" borderId="0" xfId="3" applyFont="1" applyFill="1"/>
    <xf numFmtId="0" fontId="10" fillId="2" borderId="0" xfId="8" applyFont="1" applyFill="1"/>
    <xf numFmtId="0" fontId="14" fillId="2" borderId="0" xfId="8" applyFont="1" applyFill="1"/>
    <xf numFmtId="0" fontId="11" fillId="2" borderId="0" xfId="3" applyFont="1" applyFill="1"/>
    <xf numFmtId="0" fontId="9" fillId="2" borderId="0" xfId="3" applyFont="1" applyFill="1"/>
    <xf numFmtId="0" fontId="11" fillId="0" borderId="0" xfId="3" applyFont="1" applyFill="1"/>
    <xf numFmtId="0" fontId="9" fillId="0" borderId="0" xfId="3" applyFont="1" applyBorder="1"/>
    <xf numFmtId="3" fontId="12" fillId="0" borderId="0" xfId="3" applyNumberFormat="1" applyFont="1" applyFill="1"/>
    <xf numFmtId="0" fontId="15" fillId="3" borderId="7" xfId="3" applyNumberFormat="1" applyFont="1" applyFill="1" applyBorder="1" applyAlignment="1">
      <alignment wrapText="1"/>
    </xf>
    <xf numFmtId="0" fontId="15" fillId="3" borderId="6" xfId="3" applyNumberFormat="1" applyFont="1" applyFill="1" applyBorder="1" applyAlignment="1"/>
    <xf numFmtId="0" fontId="12" fillId="0" borderId="11" xfId="3" applyNumberFormat="1" applyFont="1" applyBorder="1" applyAlignment="1"/>
    <xf numFmtId="0" fontId="12" fillId="0" borderId="5" xfId="3" applyNumberFormat="1" applyFont="1" applyBorder="1" applyAlignment="1"/>
    <xf numFmtId="0" fontId="9" fillId="0" borderId="5" xfId="3" applyNumberFormat="1" applyFont="1" applyBorder="1" applyAlignment="1"/>
    <xf numFmtId="3" fontId="12" fillId="0" borderId="5" xfId="3" applyNumberFormat="1" applyFont="1" applyBorder="1" applyAlignment="1"/>
    <xf numFmtId="0" fontId="9" fillId="0" borderId="7" xfId="3" applyNumberFormat="1" applyFont="1" applyBorder="1" applyAlignment="1"/>
    <xf numFmtId="3" fontId="9" fillId="0" borderId="7" xfId="3" applyNumberFormat="1" applyFont="1" applyBorder="1" applyAlignment="1"/>
    <xf numFmtId="3" fontId="9" fillId="0" borderId="0" xfId="3" applyNumberFormat="1" applyFont="1"/>
    <xf numFmtId="0" fontId="10" fillId="0" borderId="7" xfId="3" applyNumberFormat="1" applyFont="1" applyBorder="1" applyAlignment="1"/>
    <xf numFmtId="3" fontId="10" fillId="0" borderId="0" xfId="3" applyNumberFormat="1" applyFont="1"/>
    <xf numFmtId="3" fontId="9" fillId="0" borderId="0" xfId="3" applyNumberFormat="1" applyFont="1" applyFill="1" applyBorder="1"/>
    <xf numFmtId="0" fontId="10" fillId="0" borderId="0" xfId="3" applyFont="1" applyFill="1"/>
    <xf numFmtId="0" fontId="11" fillId="0" borderId="5" xfId="3" applyNumberFormat="1" applyFont="1" applyBorder="1" applyAlignment="1"/>
    <xf numFmtId="3" fontId="9" fillId="0" borderId="0" xfId="3" applyNumberFormat="1" applyFont="1" applyFill="1"/>
    <xf numFmtId="168" fontId="9" fillId="0" borderId="0" xfId="3" applyNumberFormat="1" applyFont="1"/>
    <xf numFmtId="3" fontId="12" fillId="0" borderId="10" xfId="3" applyNumberFormat="1" applyFont="1" applyBorder="1" applyAlignment="1"/>
    <xf numFmtId="0" fontId="12" fillId="0" borderId="0" xfId="3" applyFont="1" applyFill="1" applyBorder="1" applyAlignment="1"/>
    <xf numFmtId="173" fontId="12" fillId="0" borderId="0" xfId="7" applyNumberFormat="1" applyFont="1" applyFill="1" applyBorder="1"/>
    <xf numFmtId="173" fontId="12" fillId="0" borderId="0" xfId="3" applyNumberFormat="1" applyFont="1" applyFill="1" applyBorder="1"/>
    <xf numFmtId="0" fontId="12" fillId="2" borderId="0" xfId="3" applyFont="1" applyFill="1" applyAlignment="1">
      <alignment horizontal="left"/>
    </xf>
    <xf numFmtId="0" fontId="15" fillId="0" borderId="1" xfId="3" applyFont="1" applyBorder="1"/>
    <xf numFmtId="0" fontId="15" fillId="0" borderId="1" xfId="3" applyFont="1" applyBorder="1" applyAlignment="1">
      <alignment wrapText="1"/>
    </xf>
    <xf numFmtId="3" fontId="15" fillId="0" borderId="1" xfId="3" applyNumberFormat="1" applyFont="1" applyBorder="1"/>
    <xf numFmtId="0" fontId="9" fillId="0" borderId="0" xfId="3" applyFont="1" applyAlignment="1">
      <alignment wrapText="1"/>
    </xf>
    <xf numFmtId="173" fontId="9" fillId="0" borderId="0" xfId="7" applyNumberFormat="1" applyFont="1" applyFill="1"/>
    <xf numFmtId="173" fontId="9" fillId="0" borderId="0" xfId="3" applyNumberFormat="1" applyFont="1" applyFill="1"/>
    <xf numFmtId="173" fontId="12" fillId="0" borderId="0" xfId="3" applyNumberFormat="1" applyFont="1"/>
    <xf numFmtId="0" fontId="9" fillId="0" borderId="1" xfId="3" applyFont="1" applyBorder="1" applyAlignment="1">
      <alignment horizontal="left"/>
    </xf>
    <xf numFmtId="3" fontId="9" fillId="0" borderId="1" xfId="3" applyNumberFormat="1" applyFont="1" applyBorder="1"/>
    <xf numFmtId="3" fontId="9" fillId="0" borderId="1" xfId="3" applyNumberFormat="1" applyFont="1" applyFill="1" applyBorder="1"/>
    <xf numFmtId="3" fontId="12" fillId="0" borderId="0" xfId="3" applyNumberFormat="1" applyFont="1"/>
    <xf numFmtId="1" fontId="12" fillId="0" borderId="0" xfId="3" applyNumberFormat="1" applyFont="1"/>
    <xf numFmtId="0" fontId="17" fillId="0" borderId="0" xfId="3" applyFont="1" applyFill="1" applyBorder="1"/>
    <xf numFmtId="0" fontId="18" fillId="2" borderId="0" xfId="3" applyFont="1" applyFill="1"/>
    <xf numFmtId="0" fontId="15" fillId="3" borderId="7" xfId="3" applyNumberFormat="1" applyFont="1" applyFill="1" applyBorder="1" applyAlignment="1">
      <alignment horizontal="left"/>
    </xf>
    <xf numFmtId="0" fontId="10" fillId="0" borderId="0" xfId="0" applyFont="1" applyAlignment="1">
      <alignment vertical="center" wrapText="1"/>
    </xf>
    <xf numFmtId="0" fontId="10" fillId="0" borderId="0" xfId="10" applyFont="1"/>
    <xf numFmtId="3" fontId="9" fillId="0" borderId="5" xfId="3" applyNumberFormat="1" applyFont="1" applyBorder="1" applyAlignment="1"/>
    <xf numFmtId="2" fontId="9" fillId="0" borderId="5" xfId="3" applyNumberFormat="1" applyFont="1" applyBorder="1" applyAlignment="1"/>
    <xf numFmtId="172" fontId="9" fillId="0" borderId="5" xfId="3" applyNumberFormat="1" applyFont="1" applyBorder="1" applyAlignment="1"/>
    <xf numFmtId="3" fontId="17" fillId="0" borderId="0" xfId="3" applyNumberFormat="1" applyFont="1" applyFill="1" applyBorder="1"/>
    <xf numFmtId="0" fontId="12" fillId="0" borderId="6" xfId="3" applyNumberFormat="1" applyFont="1" applyBorder="1" applyAlignment="1"/>
    <xf numFmtId="172" fontId="9" fillId="0" borderId="7" xfId="3" applyNumberFormat="1" applyFont="1" applyBorder="1" applyAlignment="1"/>
    <xf numFmtId="0" fontId="10" fillId="0" borderId="0" xfId="10" applyFont="1" applyBorder="1"/>
    <xf numFmtId="0" fontId="12" fillId="0" borderId="9" xfId="3" applyNumberFormat="1" applyFont="1" applyBorder="1" applyAlignment="1"/>
    <xf numFmtId="2" fontId="12" fillId="0" borderId="10" xfId="3" applyNumberFormat="1" applyFont="1" applyBorder="1" applyAlignment="1"/>
    <xf numFmtId="172" fontId="12" fillId="0" borderId="10" xfId="3" applyNumberFormat="1" applyFont="1" applyBorder="1" applyAlignment="1"/>
    <xf numFmtId="2" fontId="12" fillId="0" borderId="0" xfId="3" applyNumberFormat="1" applyFont="1"/>
    <xf numFmtId="172" fontId="12" fillId="0" borderId="0" xfId="3" applyNumberFormat="1" applyFont="1"/>
    <xf numFmtId="0" fontId="17" fillId="2" borderId="0" xfId="3" applyFont="1" applyFill="1"/>
    <xf numFmtId="0" fontId="9" fillId="0" borderId="0" xfId="10" applyFont="1"/>
    <xf numFmtId="0" fontId="12" fillId="0" borderId="0" xfId="3" applyFont="1" applyFill="1" applyProtection="1"/>
    <xf numFmtId="0" fontId="9" fillId="0" borderId="0" xfId="10" applyFont="1" applyBorder="1"/>
    <xf numFmtId="0" fontId="12" fillId="0" borderId="0" xfId="3" applyFont="1" applyFill="1" applyBorder="1" applyProtection="1"/>
    <xf numFmtId="3" fontId="12" fillId="0" borderId="0" xfId="3" applyNumberFormat="1" applyFont="1" applyFill="1" applyBorder="1"/>
    <xf numFmtId="173" fontId="12" fillId="0" borderId="0" xfId="7" applyNumberFormat="1" applyFont="1"/>
    <xf numFmtId="0" fontId="12" fillId="0" borderId="7" xfId="3" applyNumberFormat="1" applyFont="1" applyBorder="1" applyAlignment="1"/>
    <xf numFmtId="3" fontId="12" fillId="0" borderId="7" xfId="3" applyNumberFormat="1" applyFont="1" applyBorder="1" applyAlignment="1"/>
    <xf numFmtId="0" fontId="12" fillId="0" borderId="10" xfId="3" applyNumberFormat="1" applyFont="1" applyBorder="1" applyAlignment="1"/>
    <xf numFmtId="3" fontId="12" fillId="0" borderId="15" xfId="3" applyNumberFormat="1" applyFont="1" applyBorder="1" applyAlignment="1"/>
    <xf numFmtId="1" fontId="9" fillId="0" borderId="0" xfId="3" applyNumberFormat="1" applyFont="1"/>
    <xf numFmtId="0" fontId="10" fillId="0" borderId="0" xfId="3" applyFont="1"/>
    <xf numFmtId="0" fontId="12" fillId="2" borderId="0" xfId="3" applyFont="1" applyFill="1" applyBorder="1" applyAlignment="1">
      <alignment horizontal="left"/>
    </xf>
    <xf numFmtId="0" fontId="9" fillId="2" borderId="0" xfId="3" applyFont="1" applyFill="1" applyBorder="1"/>
    <xf numFmtId="0" fontId="10" fillId="2" borderId="0" xfId="3" applyFont="1" applyFill="1" applyBorder="1"/>
    <xf numFmtId="0" fontId="10" fillId="0" borderId="0" xfId="3" applyFont="1" applyFill="1" applyBorder="1"/>
    <xf numFmtId="0" fontId="9" fillId="0" borderId="0" xfId="3" applyFont="1" applyFill="1" applyBorder="1" applyAlignment="1">
      <alignment wrapText="1"/>
    </xf>
    <xf numFmtId="173" fontId="9" fillId="0" borderId="0" xfId="7" applyNumberFormat="1" applyFont="1" applyFill="1" applyBorder="1"/>
    <xf numFmtId="173" fontId="9" fillId="0" borderId="0" xfId="3" applyNumberFormat="1" applyFont="1" applyFill="1" applyBorder="1"/>
    <xf numFmtId="173" fontId="10" fillId="0" borderId="0" xfId="3" applyNumberFormat="1" applyFont="1" applyFill="1" applyBorder="1"/>
    <xf numFmtId="0" fontId="9" fillId="0" borderId="0" xfId="3" applyFont="1" applyFill="1" applyBorder="1" applyAlignment="1">
      <alignment horizontal="left"/>
    </xf>
    <xf numFmtId="3" fontId="10" fillId="0" borderId="0" xfId="3" applyNumberFormat="1" applyFont="1" applyFill="1" applyBorder="1"/>
    <xf numFmtId="0" fontId="11" fillId="2" borderId="0" xfId="3" applyFont="1" applyFill="1" applyBorder="1"/>
    <xf numFmtId="0" fontId="11" fillId="0" borderId="0" xfId="3" applyFont="1" applyFill="1" applyBorder="1"/>
    <xf numFmtId="172" fontId="10" fillId="0" borderId="0" xfId="3" applyNumberFormat="1" applyFont="1" applyFill="1" applyBorder="1"/>
    <xf numFmtId="2" fontId="10" fillId="0" borderId="0" xfId="3" applyNumberFormat="1" applyFont="1" applyFill="1" applyBorder="1"/>
    <xf numFmtId="0" fontId="11" fillId="0" borderId="0" xfId="3" applyFont="1"/>
    <xf numFmtId="3" fontId="11" fillId="0" borderId="0" xfId="3" applyNumberFormat="1" applyFont="1" applyFill="1" applyBorder="1"/>
    <xf numFmtId="9" fontId="10" fillId="0" borderId="0" xfId="3" applyNumberFormat="1" applyFont="1"/>
    <xf numFmtId="1" fontId="10" fillId="0" borderId="0" xfId="3" applyNumberFormat="1" applyFont="1"/>
    <xf numFmtId="3" fontId="11" fillId="0" borderId="0" xfId="3" applyNumberFormat="1" applyFont="1" applyFill="1" applyBorder="1" applyAlignment="1">
      <alignment horizontal="right"/>
    </xf>
    <xf numFmtId="0" fontId="10" fillId="0" borderId="0" xfId="3" applyFont="1" applyAlignment="1">
      <alignment horizontal="right"/>
    </xf>
    <xf numFmtId="0" fontId="10" fillId="0" borderId="0" xfId="3" applyFont="1" applyFill="1" applyAlignment="1">
      <alignment horizontal="right"/>
    </xf>
    <xf numFmtId="9" fontId="11" fillId="0" borderId="0" xfId="2" applyFont="1" applyFill="1" applyBorder="1"/>
    <xf numFmtId="1" fontId="10" fillId="0" borderId="0" xfId="3" applyNumberFormat="1" applyFont="1" applyFill="1"/>
    <xf numFmtId="0" fontId="11" fillId="0" borderId="0" xfId="3" applyFont="1" applyFill="1" applyAlignment="1">
      <alignment horizontal="center"/>
    </xf>
    <xf numFmtId="0" fontId="10" fillId="0" borderId="0" xfId="3" applyFont="1" applyFill="1" applyBorder="1" applyAlignment="1">
      <alignment wrapText="1"/>
    </xf>
    <xf numFmtId="0" fontId="10" fillId="0" borderId="0" xfId="3" applyFont="1" applyAlignment="1">
      <alignment wrapText="1"/>
    </xf>
    <xf numFmtId="0" fontId="19" fillId="0" borderId="0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 wrapText="1"/>
    </xf>
    <xf numFmtId="0" fontId="20" fillId="0" borderId="0" xfId="3" applyFont="1" applyFill="1" applyBorder="1" applyAlignment="1">
      <alignment horizontal="center" wrapText="1"/>
    </xf>
    <xf numFmtId="0" fontId="10" fillId="0" borderId="0" xfId="3" applyFont="1" applyFill="1" applyBorder="1" applyAlignment="1">
      <alignment horizontal="right"/>
    </xf>
    <xf numFmtId="0" fontId="10" fillId="0" borderId="0" xfId="3" applyFont="1" applyFill="1" applyBorder="1" applyAlignment="1">
      <alignment horizontal="center"/>
    </xf>
    <xf numFmtId="1" fontId="10" fillId="0" borderId="0" xfId="3" applyNumberFormat="1" applyFont="1" applyFill="1" applyBorder="1"/>
    <xf numFmtId="178" fontId="10" fillId="0" borderId="0" xfId="3" applyNumberFormat="1" applyFont="1" applyFill="1" applyBorder="1"/>
    <xf numFmtId="168" fontId="10" fillId="0" borderId="0" xfId="3" applyNumberFormat="1" applyFont="1" applyFill="1" applyBorder="1"/>
    <xf numFmtId="0" fontId="18" fillId="0" borderId="0" xfId="3" applyFont="1" applyFill="1" applyBorder="1"/>
    <xf numFmtId="168" fontId="11" fillId="0" borderId="0" xfId="3" applyNumberFormat="1" applyFont="1" applyFill="1" applyBorder="1"/>
    <xf numFmtId="0" fontId="12" fillId="0" borderId="0" xfId="3" applyFont="1" applyFill="1"/>
    <xf numFmtId="0" fontId="9" fillId="2" borderId="0" xfId="3" applyFont="1" applyFill="1" applyAlignment="1">
      <alignment horizontal="center"/>
    </xf>
    <xf numFmtId="173" fontId="9" fillId="2" borderId="0" xfId="3" applyNumberFormat="1" applyFont="1" applyFill="1" applyAlignment="1">
      <alignment horizontal="center"/>
    </xf>
    <xf numFmtId="3" fontId="9" fillId="0" borderId="0" xfId="3" applyNumberFormat="1" applyFont="1" applyFill="1" applyProtection="1"/>
    <xf numFmtId="168" fontId="12" fillId="0" borderId="0" xfId="3" applyNumberFormat="1" applyFont="1"/>
    <xf numFmtId="0" fontId="9" fillId="0" borderId="0" xfId="10" applyFont="1" applyFill="1" applyBorder="1"/>
    <xf numFmtId="3" fontId="9" fillId="0" borderId="0" xfId="3" applyNumberFormat="1" applyFont="1" applyFill="1" applyBorder="1" applyProtection="1"/>
    <xf numFmtId="168" fontId="9" fillId="0" borderId="0" xfId="3" applyNumberFormat="1" applyFont="1" applyFill="1" applyBorder="1"/>
    <xf numFmtId="168" fontId="12" fillId="0" borderId="0" xfId="3" applyNumberFormat="1" applyFont="1" applyFill="1" applyBorder="1"/>
    <xf numFmtId="1" fontId="9" fillId="0" borderId="0" xfId="3" applyNumberFormat="1" applyFont="1" applyFill="1" applyBorder="1"/>
    <xf numFmtId="167" fontId="9" fillId="0" borderId="0" xfId="3" applyNumberFormat="1" applyFont="1" applyFill="1" applyBorder="1"/>
    <xf numFmtId="168" fontId="9" fillId="0" borderId="0" xfId="3" applyNumberFormat="1" applyFont="1" applyFill="1"/>
    <xf numFmtId="168" fontId="12" fillId="0" borderId="0" xfId="3" applyNumberFormat="1" applyFont="1" applyFill="1"/>
    <xf numFmtId="1" fontId="9" fillId="0" borderId="0" xfId="3" applyNumberFormat="1" applyFont="1" applyFill="1"/>
    <xf numFmtId="177" fontId="11" fillId="0" borderId="0" xfId="3" applyNumberFormat="1" applyFont="1" applyBorder="1"/>
    <xf numFmtId="173" fontId="9" fillId="0" borderId="0" xfId="7" applyNumberFormat="1" applyFont="1"/>
    <xf numFmtId="0" fontId="12" fillId="0" borderId="0" xfId="3" applyFont="1" applyBorder="1"/>
    <xf numFmtId="0" fontId="12" fillId="0" borderId="0" xfId="3" applyFont="1" applyBorder="1" applyAlignment="1">
      <alignment horizontal="center"/>
    </xf>
    <xf numFmtId="173" fontId="12" fillId="0" borderId="0" xfId="3" applyNumberFormat="1" applyFont="1" applyFill="1" applyBorder="1" applyAlignment="1">
      <alignment horizontal="center"/>
    </xf>
    <xf numFmtId="3" fontId="9" fillId="0" borderId="0" xfId="3" applyNumberFormat="1" applyFont="1" applyFill="1" applyBorder="1" applyAlignment="1">
      <alignment horizontal="center"/>
    </xf>
    <xf numFmtId="3" fontId="12" fillId="0" borderId="0" xfId="3" applyNumberFormat="1" applyFont="1" applyFill="1" applyBorder="1" applyAlignment="1">
      <alignment horizontal="center"/>
    </xf>
    <xf numFmtId="3" fontId="9" fillId="0" borderId="0" xfId="3" applyNumberFormat="1" applyFont="1" applyBorder="1"/>
    <xf numFmtId="168" fontId="12" fillId="0" borderId="0" xfId="3" applyNumberFormat="1" applyFont="1" applyFill="1" applyBorder="1" applyAlignment="1">
      <alignment horizontal="center"/>
    </xf>
    <xf numFmtId="165" fontId="12" fillId="0" borderId="0" xfId="3" applyNumberFormat="1" applyFont="1" applyFill="1" applyBorder="1" applyAlignment="1">
      <alignment horizontal="center"/>
    </xf>
    <xf numFmtId="0" fontId="12" fillId="0" borderId="0" xfId="3" applyFont="1" applyFill="1" applyAlignment="1">
      <alignment wrapText="1"/>
    </xf>
    <xf numFmtId="173" fontId="12" fillId="0" borderId="0" xfId="7" applyNumberFormat="1" applyFont="1" applyFill="1"/>
    <xf numFmtId="176" fontId="12" fillId="0" borderId="0" xfId="7" applyNumberFormat="1" applyFont="1"/>
    <xf numFmtId="0" fontId="12" fillId="2" borderId="0" xfId="3" applyFont="1" applyFill="1" applyAlignment="1">
      <alignment wrapText="1"/>
    </xf>
    <xf numFmtId="173" fontId="12" fillId="2" borderId="0" xfId="7" applyNumberFormat="1" applyFont="1" applyFill="1"/>
    <xf numFmtId="3" fontId="9" fillId="0" borderId="0" xfId="7" applyNumberFormat="1" applyFont="1" applyFill="1"/>
    <xf numFmtId="168" fontId="9" fillId="0" borderId="0" xfId="7" applyNumberFormat="1" applyFont="1" applyFill="1"/>
    <xf numFmtId="168" fontId="12" fillId="0" borderId="0" xfId="7" applyNumberFormat="1" applyFont="1"/>
    <xf numFmtId="168" fontId="12" fillId="0" borderId="0" xfId="7" applyNumberFormat="1" applyFont="1" applyFill="1"/>
    <xf numFmtId="3" fontId="12" fillId="0" borderId="0" xfId="3" applyNumberFormat="1" applyFont="1" applyBorder="1"/>
    <xf numFmtId="173" fontId="9" fillId="0" borderId="0" xfId="3" applyNumberFormat="1" applyFont="1"/>
    <xf numFmtId="173" fontId="12" fillId="0" borderId="0" xfId="7" applyNumberFormat="1" applyFont="1" applyBorder="1"/>
    <xf numFmtId="0" fontId="11" fillId="0" borderId="0" xfId="3" applyFont="1" applyAlignment="1">
      <alignment vertical="center"/>
    </xf>
    <xf numFmtId="173" fontId="12" fillId="0" borderId="0" xfId="3" applyNumberFormat="1" applyFont="1" applyFill="1"/>
    <xf numFmtId="0" fontId="10" fillId="0" borderId="0" xfId="3" applyFont="1" applyAlignment="1">
      <alignment vertical="center"/>
    </xf>
    <xf numFmtId="173" fontId="12" fillId="0" borderId="0" xfId="3" applyNumberFormat="1" applyFont="1" applyFill="1" applyBorder="1" applyAlignment="1"/>
    <xf numFmtId="168" fontId="11" fillId="0" borderId="0" xfId="3" applyNumberFormat="1" applyFont="1" applyFill="1" applyBorder="1" applyAlignment="1">
      <alignment horizontal="right"/>
    </xf>
    <xf numFmtId="0" fontId="11" fillId="0" borderId="0" xfId="10" applyFont="1"/>
    <xf numFmtId="3" fontId="12" fillId="0" borderId="0" xfId="3" applyNumberFormat="1" applyFont="1" applyFill="1" applyProtection="1"/>
    <xf numFmtId="177" fontId="9" fillId="0" borderId="0" xfId="3" applyNumberFormat="1" applyFont="1" applyFill="1" applyBorder="1"/>
    <xf numFmtId="0" fontId="11" fillId="0" borderId="0" xfId="10" applyFont="1" applyBorder="1"/>
    <xf numFmtId="3" fontId="12" fillId="0" borderId="0" xfId="3" applyNumberFormat="1" applyFont="1" applyFill="1" applyBorder="1" applyProtection="1"/>
    <xf numFmtId="168" fontId="9" fillId="0" borderId="0" xfId="3" applyNumberFormat="1" applyFont="1" applyBorder="1"/>
    <xf numFmtId="168" fontId="12" fillId="0" borderId="0" xfId="3" applyNumberFormat="1" applyFont="1" applyBorder="1"/>
    <xf numFmtId="177" fontId="10" fillId="0" borderId="0" xfId="4" applyNumberFormat="1" applyFont="1" applyFill="1" applyBorder="1"/>
    <xf numFmtId="1" fontId="11" fillId="0" borderId="1" xfId="3" applyNumberFormat="1" applyFont="1" applyFill="1" applyBorder="1"/>
    <xf numFmtId="177" fontId="10" fillId="0" borderId="0" xfId="3" applyNumberFormat="1" applyFont="1" applyFill="1"/>
    <xf numFmtId="184" fontId="9" fillId="0" borderId="0" xfId="3" applyNumberFormat="1" applyFont="1" applyFill="1" applyBorder="1"/>
    <xf numFmtId="1" fontId="11" fillId="0" borderId="0" xfId="3" applyNumberFormat="1" applyFont="1" applyFill="1" applyBorder="1"/>
    <xf numFmtId="0" fontId="10" fillId="0" borderId="0" xfId="3" applyFont="1" applyBorder="1"/>
    <xf numFmtId="179" fontId="9" fillId="0" borderId="0" xfId="3" applyNumberFormat="1" applyFont="1" applyFill="1" applyBorder="1"/>
    <xf numFmtId="0" fontId="22" fillId="0" borderId="0" xfId="3" applyFont="1"/>
    <xf numFmtId="3" fontId="22" fillId="0" borderId="0" xfId="3" applyNumberFormat="1" applyFont="1" applyFill="1"/>
    <xf numFmtId="3" fontId="22" fillId="0" borderId="0" xfId="3" applyNumberFormat="1" applyFont="1"/>
    <xf numFmtId="0" fontId="21" fillId="0" borderId="0" xfId="3" applyFont="1" applyFill="1"/>
    <xf numFmtId="173" fontId="12" fillId="2" borderId="0" xfId="3" applyNumberFormat="1" applyFont="1" applyFill="1" applyBorder="1" applyAlignment="1">
      <alignment horizontal="center"/>
    </xf>
    <xf numFmtId="173" fontId="12" fillId="2" borderId="0" xfId="3" applyNumberFormat="1" applyFont="1" applyFill="1" applyAlignment="1">
      <alignment horizontal="center"/>
    </xf>
    <xf numFmtId="173" fontId="12" fillId="2" borderId="0" xfId="3" applyNumberFormat="1" applyFont="1" applyFill="1" applyBorder="1" applyAlignment="1"/>
    <xf numFmtId="0" fontId="15" fillId="5" borderId="1" xfId="3" applyFont="1" applyFill="1" applyBorder="1"/>
    <xf numFmtId="0" fontId="15" fillId="5" borderId="7" xfId="3" applyNumberFormat="1" applyFont="1" applyFill="1" applyBorder="1" applyAlignment="1">
      <alignment horizontal="left" wrapText="1"/>
    </xf>
    <xf numFmtId="175" fontId="9" fillId="0" borderId="0" xfId="7" applyNumberFormat="1" applyFont="1" applyFill="1"/>
    <xf numFmtId="0" fontId="12" fillId="0" borderId="0" xfId="3" applyFont="1" applyFill="1" applyBorder="1" applyAlignment="1">
      <alignment horizontal="center"/>
    </xf>
    <xf numFmtId="173" fontId="12" fillId="0" borderId="0" xfId="3" applyNumberFormat="1" applyFont="1" applyFill="1" applyBorder="1" applyAlignment="1">
      <alignment horizontal="center"/>
    </xf>
    <xf numFmtId="0" fontId="23" fillId="2" borderId="0" xfId="3" applyFont="1" applyFill="1"/>
    <xf numFmtId="0" fontId="24" fillId="2" borderId="0" xfId="3" applyFont="1" applyFill="1"/>
    <xf numFmtId="0" fontId="25" fillId="0" borderId="0" xfId="3" applyFont="1"/>
    <xf numFmtId="0" fontId="26" fillId="0" borderId="0" xfId="3" applyFont="1"/>
    <xf numFmtId="0" fontId="26" fillId="0" borderId="0" xfId="3" applyFont="1" applyFill="1" applyBorder="1"/>
    <xf numFmtId="0" fontId="25" fillId="0" borderId="0" xfId="3" applyFont="1" applyFill="1" applyBorder="1"/>
    <xf numFmtId="0" fontId="23" fillId="0" borderId="0" xfId="3" applyFont="1" applyFill="1" applyBorder="1"/>
    <xf numFmtId="0" fontId="28" fillId="0" borderId="0" xfId="10" applyFont="1"/>
    <xf numFmtId="0" fontId="26" fillId="0" borderId="0" xfId="3" applyFont="1" applyFill="1" applyProtection="1"/>
    <xf numFmtId="3" fontId="26" fillId="0" borderId="0" xfId="3" applyNumberFormat="1" applyFont="1" applyBorder="1"/>
    <xf numFmtId="0" fontId="26" fillId="0" borderId="0" xfId="3" applyFont="1" applyBorder="1"/>
    <xf numFmtId="166" fontId="26" fillId="0" borderId="0" xfId="11" applyNumberFormat="1" applyFont="1" applyFill="1"/>
    <xf numFmtId="172" fontId="26" fillId="0" borderId="0" xfId="3" applyNumberFormat="1" applyFont="1" applyFill="1"/>
    <xf numFmtId="3" fontId="26" fillId="0" borderId="0" xfId="3" applyNumberFormat="1" applyFont="1" applyFill="1"/>
    <xf numFmtId="1" fontId="26" fillId="0" borderId="0" xfId="3" applyNumberFormat="1" applyFont="1" applyFill="1" applyBorder="1"/>
    <xf numFmtId="0" fontId="26" fillId="0" borderId="0" xfId="13" applyFont="1" applyFill="1" applyBorder="1"/>
    <xf numFmtId="0" fontId="28" fillId="0" borderId="0" xfId="10" applyFont="1" applyBorder="1"/>
    <xf numFmtId="0" fontId="26" fillId="0" borderId="0" xfId="3" applyFont="1" applyFill="1" applyBorder="1" applyProtection="1"/>
    <xf numFmtId="166" fontId="26" fillId="0" borderId="0" xfId="11" applyNumberFormat="1" applyFont="1" applyFill="1" applyBorder="1"/>
    <xf numFmtId="172" fontId="26" fillId="0" borderId="0" xfId="3" applyNumberFormat="1" applyFont="1" applyFill="1" applyBorder="1"/>
    <xf numFmtId="3" fontId="26" fillId="0" borderId="0" xfId="3" applyNumberFormat="1" applyFont="1" applyFill="1" applyBorder="1"/>
    <xf numFmtId="1" fontId="26" fillId="0" borderId="0" xfId="3" applyNumberFormat="1" applyFont="1" applyFill="1"/>
    <xf numFmtId="0" fontId="23" fillId="0" borderId="0" xfId="3" applyFont="1"/>
    <xf numFmtId="3" fontId="23" fillId="0" borderId="0" xfId="3" applyNumberFormat="1" applyFont="1" applyFill="1"/>
    <xf numFmtId="166" fontId="26" fillId="0" borderId="0" xfId="11" applyNumberFormat="1" applyFont="1"/>
    <xf numFmtId="2" fontId="26" fillId="0" borderId="0" xfId="3" applyNumberFormat="1" applyFont="1" applyFill="1"/>
    <xf numFmtId="2" fontId="26" fillId="0" borderId="0" xfId="3" applyNumberFormat="1" applyFont="1"/>
    <xf numFmtId="0" fontId="27" fillId="2" borderId="0" xfId="3" applyFont="1" applyFill="1"/>
    <xf numFmtId="0" fontId="28" fillId="0" borderId="0" xfId="3" applyFont="1"/>
    <xf numFmtId="182" fontId="26" fillId="0" borderId="0" xfId="3" applyNumberFormat="1" applyFont="1" applyFill="1" applyBorder="1"/>
    <xf numFmtId="0" fontId="26" fillId="0" borderId="0" xfId="10" applyFont="1"/>
    <xf numFmtId="2" fontId="26" fillId="0" borderId="0" xfId="3" applyNumberFormat="1" applyFont="1" applyFill="1" applyBorder="1"/>
    <xf numFmtId="181" fontId="26" fillId="0" borderId="0" xfId="3" applyNumberFormat="1" applyFont="1" applyFill="1" applyBorder="1"/>
    <xf numFmtId="0" fontId="26" fillId="0" borderId="0" xfId="10" applyFont="1" applyBorder="1"/>
    <xf numFmtId="0" fontId="29" fillId="0" borderId="1" xfId="3" applyFont="1" applyBorder="1"/>
    <xf numFmtId="0" fontId="29" fillId="0" borderId="1" xfId="3" applyFont="1" applyFill="1" applyBorder="1" applyAlignment="1">
      <alignment wrapText="1"/>
    </xf>
    <xf numFmtId="0" fontId="29" fillId="0" borderId="1" xfId="3" applyFont="1" applyFill="1" applyBorder="1"/>
    <xf numFmtId="0" fontId="29" fillId="0" borderId="1" xfId="3" applyFont="1" applyFill="1" applyBorder="1" applyAlignment="1">
      <alignment horizontal="center"/>
    </xf>
    <xf numFmtId="0" fontId="29" fillId="0" borderId="1" xfId="3" applyFont="1" applyFill="1" applyBorder="1" applyAlignment="1">
      <alignment horizontal="center" wrapText="1"/>
    </xf>
    <xf numFmtId="0" fontId="30" fillId="0" borderId="0" xfId="3" applyFont="1"/>
    <xf numFmtId="3" fontId="26" fillId="0" borderId="0" xfId="3" applyNumberFormat="1" applyFont="1"/>
    <xf numFmtId="0" fontId="31" fillId="0" borderId="0" xfId="3" applyFont="1"/>
    <xf numFmtId="0" fontId="32" fillId="0" borderId="0" xfId="3" applyFont="1" applyFill="1" applyProtection="1"/>
    <xf numFmtId="0" fontId="26" fillId="0" borderId="0" xfId="3" applyFont="1" applyFill="1"/>
    <xf numFmtId="0" fontId="32" fillId="0" borderId="0" xfId="6" applyFont="1" applyFill="1" applyProtection="1"/>
    <xf numFmtId="0" fontId="33" fillId="0" borderId="0" xfId="6" applyFont="1" applyFill="1" applyProtection="1"/>
    <xf numFmtId="0" fontId="27" fillId="0" borderId="0" xfId="3" applyFont="1" applyFill="1" applyAlignment="1" applyProtection="1">
      <alignment horizontal="center"/>
    </xf>
    <xf numFmtId="0" fontId="29" fillId="0" borderId="0" xfId="3" applyFont="1" applyFill="1" applyProtection="1"/>
    <xf numFmtId="0" fontId="29" fillId="0" borderId="0" xfId="3" applyFont="1" applyFill="1" applyAlignment="1" applyProtection="1">
      <alignment wrapText="1"/>
    </xf>
    <xf numFmtId="0" fontId="29" fillId="4" borderId="22" xfId="6" applyFont="1" applyFill="1" applyBorder="1" applyAlignment="1">
      <alignment wrapText="1"/>
    </xf>
    <xf numFmtId="0" fontId="29" fillId="4" borderId="0" xfId="6" applyFont="1" applyFill="1" applyBorder="1" applyAlignment="1">
      <alignment wrapText="1"/>
    </xf>
    <xf numFmtId="0" fontId="29" fillId="4" borderId="23" xfId="6" applyFont="1" applyFill="1" applyBorder="1" applyAlignment="1">
      <alignment wrapText="1"/>
    </xf>
    <xf numFmtId="3" fontId="26" fillId="0" borderId="0" xfId="3" applyNumberFormat="1" applyFont="1" applyFill="1" applyProtection="1"/>
    <xf numFmtId="1" fontId="26" fillId="0" borderId="0" xfId="3" applyNumberFormat="1" applyFont="1" applyFill="1" applyProtection="1"/>
    <xf numFmtId="0" fontId="32" fillId="0" borderId="16" xfId="6" applyFont="1" applyBorder="1"/>
    <xf numFmtId="1" fontId="33" fillId="0" borderId="17" xfId="6" applyNumberFormat="1" applyFont="1" applyBorder="1"/>
    <xf numFmtId="0" fontId="26" fillId="0" borderId="0" xfId="3" applyFont="1" applyFill="1" applyAlignment="1" applyProtection="1">
      <alignment horizontal="right"/>
    </xf>
    <xf numFmtId="0" fontId="32" fillId="0" borderId="19" xfId="6" applyFont="1" applyBorder="1"/>
    <xf numFmtId="3" fontId="23" fillId="0" borderId="0" xfId="3" applyNumberFormat="1" applyFont="1" applyFill="1" applyProtection="1"/>
    <xf numFmtId="0" fontId="34" fillId="0" borderId="0" xfId="3" applyFont="1" applyFill="1" applyProtection="1"/>
    <xf numFmtId="3" fontId="29" fillId="0" borderId="0" xfId="3" applyNumberFormat="1" applyFont="1" applyFill="1" applyProtection="1"/>
    <xf numFmtId="170" fontId="26" fillId="0" borderId="0" xfId="3" applyNumberFormat="1" applyFont="1"/>
    <xf numFmtId="3" fontId="26" fillId="0" borderId="0" xfId="3" applyNumberFormat="1" applyFont="1" applyFill="1" applyBorder="1" applyProtection="1"/>
    <xf numFmtId="9" fontId="23" fillId="0" borderId="0" xfId="2" applyFont="1" applyFill="1" applyProtection="1"/>
    <xf numFmtId="0" fontId="31" fillId="0" borderId="0" xfId="3" applyFont="1" applyFill="1"/>
    <xf numFmtId="0" fontId="26" fillId="0" borderId="0" xfId="10" applyFont="1" applyFill="1"/>
    <xf numFmtId="2" fontId="26" fillId="0" borderId="0" xfId="12" applyNumberFormat="1" applyFont="1" applyFill="1"/>
    <xf numFmtId="2" fontId="23" fillId="0" borderId="0" xfId="12" applyNumberFormat="1" applyFont="1" applyFill="1"/>
    <xf numFmtId="0" fontId="26" fillId="0" borderId="0" xfId="10" applyFont="1" applyFill="1" applyBorder="1"/>
    <xf numFmtId="2" fontId="26" fillId="0" borderId="0" xfId="0" applyNumberFormat="1" applyFont="1" applyFill="1"/>
    <xf numFmtId="0" fontId="23" fillId="0" borderId="0" xfId="3" applyFont="1" applyFill="1"/>
    <xf numFmtId="3" fontId="26" fillId="0" borderId="0" xfId="0" applyNumberFormat="1" applyFont="1" applyFill="1"/>
    <xf numFmtId="0" fontId="29" fillId="0" borderId="1" xfId="0" applyFont="1" applyFill="1" applyBorder="1" applyAlignment="1">
      <alignment horizontal="left" wrapText="1"/>
    </xf>
    <xf numFmtId="3" fontId="29" fillId="0" borderId="1" xfId="3" applyNumberFormat="1" applyFont="1" applyBorder="1" applyAlignment="1">
      <alignment wrapText="1"/>
    </xf>
    <xf numFmtId="0" fontId="28" fillId="0" borderId="0" xfId="15" applyFont="1"/>
    <xf numFmtId="4" fontId="26" fillId="0" borderId="0" xfId="3" applyNumberFormat="1" applyFont="1" applyFill="1"/>
    <xf numFmtId="4" fontId="23" fillId="0" borderId="0" xfId="3" applyNumberFormat="1" applyFont="1" applyFill="1"/>
    <xf numFmtId="4" fontId="26" fillId="0" borderId="0" xfId="3" applyNumberFormat="1" applyFont="1"/>
    <xf numFmtId="183" fontId="26" fillId="0" borderId="0" xfId="3" applyNumberFormat="1" applyFont="1"/>
    <xf numFmtId="0" fontId="28" fillId="0" borderId="0" xfId="0" applyFont="1"/>
    <xf numFmtId="0" fontId="28" fillId="0" borderId="0" xfId="15" applyFont="1" applyFill="1" applyBorder="1"/>
    <xf numFmtId="4" fontId="26" fillId="0" borderId="0" xfId="3" applyNumberFormat="1" applyFont="1" applyFill="1" applyBorder="1"/>
    <xf numFmtId="4" fontId="23" fillId="0" borderId="0" xfId="3" applyNumberFormat="1" applyFont="1" applyFill="1" applyBorder="1"/>
    <xf numFmtId="3" fontId="23" fillId="0" borderId="0" xfId="3" applyNumberFormat="1" applyFont="1"/>
    <xf numFmtId="2" fontId="27" fillId="0" borderId="0" xfId="14" applyNumberFormat="1" applyFont="1" applyFill="1"/>
    <xf numFmtId="0" fontId="27" fillId="0" borderId="1" xfId="15" applyFont="1" applyBorder="1"/>
    <xf numFmtId="0" fontId="27" fillId="0" borderId="1" xfId="15" applyFont="1" applyFill="1" applyBorder="1"/>
    <xf numFmtId="178" fontId="28" fillId="0" borderId="0" xfId="15" applyNumberFormat="1" applyFont="1"/>
    <xf numFmtId="178" fontId="27" fillId="0" borderId="0" xfId="15" applyNumberFormat="1" applyFont="1" applyFill="1"/>
    <xf numFmtId="169" fontId="30" fillId="0" borderId="0" xfId="3" applyNumberFormat="1" applyFont="1"/>
    <xf numFmtId="4" fontId="30" fillId="0" borderId="0" xfId="3" applyNumberFormat="1" applyFont="1"/>
    <xf numFmtId="173" fontId="12" fillId="0" borderId="0" xfId="7" applyNumberFormat="1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right"/>
    </xf>
    <xf numFmtId="3" fontId="12" fillId="0" borderId="0" xfId="7" applyNumberFormat="1" applyFont="1" applyFill="1" applyBorder="1" applyAlignment="1">
      <alignment horizontal="center"/>
    </xf>
    <xf numFmtId="176" fontId="12" fillId="2" borderId="0" xfId="7" applyNumberFormat="1" applyFont="1" applyFill="1"/>
    <xf numFmtId="171" fontId="26" fillId="0" borderId="0" xfId="3" applyNumberFormat="1" applyFont="1" applyFill="1"/>
    <xf numFmtId="2" fontId="25" fillId="0" borderId="0" xfId="12" applyNumberFormat="1" applyFont="1" applyFill="1"/>
    <xf numFmtId="180" fontId="26" fillId="0" borderId="0" xfId="3" applyNumberFormat="1" applyFont="1" applyFill="1"/>
    <xf numFmtId="0" fontId="29" fillId="0" borderId="16" xfId="3" applyNumberFormat="1" applyFont="1" applyFill="1" applyBorder="1" applyAlignment="1"/>
    <xf numFmtId="0" fontId="26" fillId="0" borderId="16" xfId="3" applyNumberFormat="1" applyFont="1" applyFill="1" applyBorder="1" applyAlignment="1">
      <alignment horizontal="right"/>
    </xf>
    <xf numFmtId="3" fontId="26" fillId="0" borderId="18" xfId="3" applyNumberFormat="1" applyFont="1" applyFill="1" applyBorder="1" applyAlignment="1"/>
    <xf numFmtId="3" fontId="26" fillId="0" borderId="18" xfId="3" applyNumberFormat="1" applyFont="1" applyFill="1" applyBorder="1" applyAlignment="1">
      <alignment horizontal="right"/>
    </xf>
    <xf numFmtId="0" fontId="26" fillId="0" borderId="0" xfId="3" applyNumberFormat="1" applyFont="1" applyFill="1" applyBorder="1" applyAlignment="1">
      <alignment horizontal="right"/>
    </xf>
    <xf numFmtId="3" fontId="26" fillId="0" borderId="0" xfId="3" applyNumberFormat="1" applyFont="1" applyFill="1" applyBorder="1" applyAlignment="1"/>
    <xf numFmtId="0" fontId="15" fillId="3" borderId="0" xfId="3" applyNumberFormat="1" applyFont="1" applyFill="1" applyBorder="1" applyAlignment="1"/>
    <xf numFmtId="0" fontId="15" fillId="5" borderId="1" xfId="3" applyFont="1" applyFill="1" applyBorder="1" applyAlignment="1"/>
    <xf numFmtId="0" fontId="9" fillId="0" borderId="0" xfId="0" applyFont="1" applyAlignment="1">
      <alignment horizontal="left"/>
    </xf>
    <xf numFmtId="0" fontId="15" fillId="3" borderId="0" xfId="3" applyNumberFormat="1" applyFont="1" applyFill="1" applyBorder="1" applyAlignment="1">
      <alignment horizontal="center"/>
    </xf>
    <xf numFmtId="0" fontId="15" fillId="3" borderId="1" xfId="3" applyNumberFormat="1" applyFont="1" applyFill="1" applyBorder="1" applyAlignment="1">
      <alignment wrapText="1"/>
    </xf>
    <xf numFmtId="3" fontId="15" fillId="3" borderId="1" xfId="3" applyNumberFormat="1" applyFont="1" applyFill="1" applyBorder="1" applyAlignment="1"/>
    <xf numFmtId="0" fontId="15" fillId="3" borderId="1" xfId="3" applyNumberFormat="1" applyFont="1" applyFill="1" applyBorder="1" applyAlignment="1"/>
    <xf numFmtId="0" fontId="15" fillId="5" borderId="1" xfId="3" applyNumberFormat="1" applyFont="1" applyFill="1" applyBorder="1" applyAlignment="1"/>
    <xf numFmtId="173" fontId="12" fillId="0" borderId="7" xfId="2" applyNumberFormat="1" applyFont="1" applyBorder="1" applyAlignment="1"/>
    <xf numFmtId="0" fontId="10" fillId="0" borderId="5" xfId="10" applyNumberFormat="1" applyFont="1" applyBorder="1" applyAlignment="1"/>
    <xf numFmtId="0" fontId="10" fillId="0" borderId="7" xfId="10" applyNumberFormat="1" applyFont="1" applyBorder="1" applyAlignment="1"/>
    <xf numFmtId="1" fontId="12" fillId="0" borderId="15" xfId="3" applyNumberFormat="1" applyFont="1" applyBorder="1" applyAlignment="1"/>
    <xf numFmtId="1" fontId="12" fillId="0" borderId="13" xfId="3" applyNumberFormat="1" applyFont="1" applyBorder="1" applyAlignment="1"/>
    <xf numFmtId="1" fontId="12" fillId="0" borderId="7" xfId="3" applyNumberFormat="1" applyFont="1" applyBorder="1" applyAlignment="1"/>
    <xf numFmtId="0" fontId="15" fillId="3" borderId="24" xfId="3" applyNumberFormat="1" applyFont="1" applyFill="1" applyBorder="1" applyAlignment="1"/>
    <xf numFmtId="173" fontId="15" fillId="3" borderId="24" xfId="3" applyNumberFormat="1" applyFont="1" applyFill="1" applyBorder="1" applyAlignment="1"/>
    <xf numFmtId="173" fontId="12" fillId="0" borderId="7" xfId="7" applyNumberFormat="1" applyFont="1" applyBorder="1"/>
    <xf numFmtId="9" fontId="12" fillId="0" borderId="13" xfId="2" applyNumberFormat="1" applyFont="1" applyBorder="1"/>
    <xf numFmtId="173" fontId="12" fillId="0" borderId="13" xfId="7" applyNumberFormat="1" applyFont="1" applyBorder="1"/>
    <xf numFmtId="1" fontId="12" fillId="0" borderId="5" xfId="3" applyNumberFormat="1" applyFont="1" applyBorder="1" applyAlignment="1"/>
    <xf numFmtId="0" fontId="15" fillId="0" borderId="0" xfId="3" applyNumberFormat="1" applyFont="1" applyFill="1" applyBorder="1" applyAlignment="1"/>
    <xf numFmtId="0" fontId="16" fillId="0" borderId="0" xfId="3" applyFont="1" applyFill="1" applyBorder="1"/>
    <xf numFmtId="0" fontId="15" fillId="0" borderId="1" xfId="3" applyFont="1" applyFill="1" applyBorder="1" applyAlignment="1">
      <alignment wrapText="1"/>
    </xf>
    <xf numFmtId="0" fontId="15" fillId="0" borderId="0" xfId="3" applyFont="1" applyFill="1" applyBorder="1"/>
    <xf numFmtId="0" fontId="9" fillId="0" borderId="0" xfId="0" applyFont="1" applyAlignment="1"/>
    <xf numFmtId="0" fontId="15" fillId="0" borderId="1" xfId="3" applyFont="1" applyBorder="1" applyAlignment="1">
      <alignment horizontal="left"/>
    </xf>
    <xf numFmtId="0" fontId="15" fillId="0" borderId="1" xfId="3" applyFont="1" applyBorder="1" applyAlignment="1">
      <alignment horizontal="left" wrapText="1"/>
    </xf>
    <xf numFmtId="0" fontId="15" fillId="0" borderId="1" xfId="3" applyFont="1" applyFill="1" applyBorder="1" applyAlignment="1">
      <alignment horizontal="left" wrapText="1"/>
    </xf>
    <xf numFmtId="173" fontId="15" fillId="0" borderId="1" xfId="3" applyNumberFormat="1" applyFont="1" applyBorder="1" applyAlignment="1">
      <alignment horizontal="left" wrapText="1"/>
    </xf>
    <xf numFmtId="173" fontId="15" fillId="0" borderId="1" xfId="3" applyNumberFormat="1" applyFont="1" applyFill="1" applyBorder="1" applyAlignment="1">
      <alignment horizontal="left" wrapText="1"/>
    </xf>
    <xf numFmtId="173" fontId="15" fillId="0" borderId="1" xfId="7" applyNumberFormat="1" applyFont="1" applyFill="1" applyBorder="1" applyAlignment="1">
      <alignment wrapText="1"/>
    </xf>
    <xf numFmtId="0" fontId="15" fillId="0" borderId="1" xfId="3" applyFont="1" applyBorder="1" applyAlignment="1">
      <alignment horizontal="center" wrapText="1"/>
    </xf>
    <xf numFmtId="0" fontId="15" fillId="0" borderId="3" xfId="3" applyFont="1" applyFill="1" applyBorder="1" applyAlignment="1">
      <alignment wrapText="1"/>
    </xf>
    <xf numFmtId="0" fontId="15" fillId="0" borderId="4" xfId="3" applyFont="1" applyFill="1" applyBorder="1" applyAlignment="1">
      <alignment wrapText="1"/>
    </xf>
    <xf numFmtId="0" fontId="15" fillId="0" borderId="0" xfId="3" applyFont="1" applyBorder="1"/>
    <xf numFmtId="0" fontId="15" fillId="0" borderId="0" xfId="3" applyFont="1"/>
    <xf numFmtId="168" fontId="15" fillId="0" borderId="1" xfId="3" quotePrefix="1" applyNumberFormat="1" applyFont="1" applyFill="1" applyBorder="1" applyAlignment="1">
      <alignment horizontal="right"/>
    </xf>
    <xf numFmtId="168" fontId="15" fillId="0" borderId="1" xfId="3" applyNumberFormat="1" applyFont="1" applyFill="1" applyBorder="1" applyAlignment="1">
      <alignment horizontal="right"/>
    </xf>
    <xf numFmtId="168" fontId="15" fillId="0" borderId="1" xfId="3" applyNumberFormat="1" applyFont="1" applyFill="1" applyBorder="1" applyAlignment="1">
      <alignment horizontal="right" wrapText="1"/>
    </xf>
    <xf numFmtId="0" fontId="35" fillId="0" borderId="0" xfId="0" applyFont="1"/>
    <xf numFmtId="0" fontId="36" fillId="0" borderId="0" xfId="0" applyFont="1"/>
    <xf numFmtId="0" fontId="35" fillId="0" borderId="0" xfId="0" applyFont="1" applyBorder="1"/>
    <xf numFmtId="0" fontId="36" fillId="0" borderId="0" xfId="0" applyFont="1" applyBorder="1"/>
    <xf numFmtId="3" fontId="35" fillId="0" borderId="0" xfId="0" applyNumberFormat="1" applyFont="1"/>
    <xf numFmtId="168" fontId="35" fillId="0" borderId="0" xfId="0" applyNumberFormat="1" applyFont="1"/>
    <xf numFmtId="0" fontId="38" fillId="0" borderId="0" xfId="0" applyFont="1"/>
    <xf numFmtId="0" fontId="37" fillId="0" borderId="0" xfId="0" applyFont="1" applyBorder="1"/>
    <xf numFmtId="6" fontId="36" fillId="0" borderId="0" xfId="0" applyNumberFormat="1" applyFont="1" applyBorder="1" applyAlignment="1">
      <alignment horizontal="right"/>
    </xf>
    <xf numFmtId="0" fontId="36" fillId="0" borderId="0" xfId="0" applyFont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38" fillId="0" borderId="0" xfId="0" applyFont="1" applyFill="1" applyBorder="1" applyProtection="1"/>
    <xf numFmtId="3" fontId="35" fillId="0" borderId="0" xfId="0" applyNumberFormat="1" applyFont="1" applyBorder="1"/>
    <xf numFmtId="168" fontId="35" fillId="0" borderId="0" xfId="0" applyNumberFormat="1" applyFont="1" applyBorder="1"/>
    <xf numFmtId="0" fontId="38" fillId="0" borderId="0" xfId="0" applyFont="1" applyBorder="1"/>
    <xf numFmtId="167" fontId="9" fillId="0" borderId="0" xfId="3" applyNumberFormat="1" applyFont="1" applyBorder="1"/>
    <xf numFmtId="3" fontId="36" fillId="0" borderId="0" xfId="0" applyNumberFormat="1" applyFont="1" applyBorder="1"/>
    <xf numFmtId="1" fontId="36" fillId="0" borderId="0" xfId="0" applyNumberFormat="1" applyFont="1" applyBorder="1"/>
    <xf numFmtId="186" fontId="37" fillId="0" borderId="0" xfId="0" applyNumberFormat="1" applyFont="1" applyFill="1" applyBorder="1" applyProtection="1"/>
    <xf numFmtId="187" fontId="9" fillId="0" borderId="0" xfId="3" applyNumberFormat="1" applyFont="1"/>
    <xf numFmtId="188" fontId="9" fillId="0" borderId="0" xfId="3" applyNumberFormat="1" applyFont="1" applyFill="1" applyBorder="1"/>
    <xf numFmtId="0" fontId="15" fillId="4" borderId="17" xfId="3" applyNumberFormat="1" applyFont="1" applyFill="1" applyBorder="1" applyAlignment="1"/>
    <xf numFmtId="0" fontId="15" fillId="4" borderId="18" xfId="3" applyNumberFormat="1" applyFont="1" applyFill="1" applyBorder="1" applyAlignment="1"/>
    <xf numFmtId="0" fontId="12" fillId="0" borderId="17" xfId="3" applyNumberFormat="1" applyFont="1" applyBorder="1" applyAlignment="1"/>
    <xf numFmtId="0" fontId="12" fillId="0" borderId="17" xfId="3" applyNumberFormat="1" applyFont="1" applyBorder="1" applyAlignment="1">
      <alignment wrapText="1"/>
    </xf>
    <xf numFmtId="0" fontId="12" fillId="0" borderId="18" xfId="3" applyNumberFormat="1" applyFont="1" applyBorder="1" applyAlignment="1"/>
    <xf numFmtId="0" fontId="9" fillId="0" borderId="17" xfId="3" applyNumberFormat="1" applyFont="1" applyBorder="1" applyAlignment="1"/>
    <xf numFmtId="1" fontId="11" fillId="0" borderId="17" xfId="3" applyNumberFormat="1" applyFont="1" applyBorder="1" applyAlignment="1"/>
    <xf numFmtId="1" fontId="11" fillId="0" borderId="18" xfId="3" applyNumberFormat="1" applyFont="1" applyBorder="1" applyAlignment="1"/>
    <xf numFmtId="177" fontId="10" fillId="0" borderId="5" xfId="3" applyNumberFormat="1" applyFont="1" applyBorder="1" applyAlignment="1"/>
    <xf numFmtId="177" fontId="10" fillId="0" borderId="25" xfId="3" applyNumberFormat="1" applyFont="1" applyBorder="1" applyAlignment="1"/>
    <xf numFmtId="3" fontId="9" fillId="0" borderId="17" xfId="3" applyNumberFormat="1" applyFont="1" applyBorder="1" applyAlignment="1"/>
    <xf numFmtId="177" fontId="10" fillId="0" borderId="17" xfId="3" applyNumberFormat="1" applyFont="1" applyBorder="1" applyAlignment="1"/>
    <xf numFmtId="177" fontId="10" fillId="0" borderId="18" xfId="3" applyNumberFormat="1" applyFont="1" applyBorder="1" applyAlignment="1"/>
    <xf numFmtId="0" fontId="11" fillId="0" borderId="17" xfId="3" applyNumberFormat="1" applyFont="1" applyBorder="1" applyAlignment="1"/>
    <xf numFmtId="0" fontId="12" fillId="0" borderId="20" xfId="3" applyNumberFormat="1" applyFont="1" applyBorder="1" applyAlignment="1"/>
    <xf numFmtId="3" fontId="9" fillId="0" borderId="20" xfId="3" applyNumberFormat="1" applyFont="1" applyBorder="1" applyAlignment="1"/>
    <xf numFmtId="177" fontId="10" fillId="0" borderId="20" xfId="3" applyNumberFormat="1" applyFont="1" applyBorder="1" applyAlignment="1"/>
    <xf numFmtId="177" fontId="10" fillId="0" borderId="21" xfId="3" applyNumberFormat="1" applyFont="1" applyBorder="1" applyAlignment="1"/>
    <xf numFmtId="0" fontId="11" fillId="0" borderId="5" xfId="10" applyNumberFormat="1" applyFont="1" applyBorder="1" applyAlignment="1"/>
    <xf numFmtId="0" fontId="11" fillId="0" borderId="17" xfId="10" applyNumberFormat="1" applyFont="1" applyBorder="1" applyAlignment="1"/>
    <xf numFmtId="0" fontId="9" fillId="0" borderId="20" xfId="3" applyNumberFormat="1" applyFont="1" applyBorder="1" applyAlignment="1"/>
    <xf numFmtId="3" fontId="15" fillId="0" borderId="0" xfId="3" applyNumberFormat="1" applyFont="1"/>
    <xf numFmtId="174" fontId="26" fillId="0" borderId="0" xfId="2" applyNumberFormat="1" applyFont="1" applyFill="1" applyProtection="1"/>
    <xf numFmtId="171" fontId="26" fillId="0" borderId="0" xfId="3" applyNumberFormat="1" applyFont="1"/>
    <xf numFmtId="1" fontId="26" fillId="0" borderId="0" xfId="3" applyNumberFormat="1" applyFont="1"/>
    <xf numFmtId="3" fontId="34" fillId="0" borderId="0" xfId="3" applyNumberFormat="1" applyFont="1" applyFill="1" applyProtection="1"/>
    <xf numFmtId="0" fontId="40" fillId="0" borderId="0" xfId="3" applyFont="1" applyFill="1" applyProtection="1"/>
    <xf numFmtId="0" fontId="12" fillId="0" borderId="0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5" fillId="5" borderId="0" xfId="3" applyFont="1" applyFill="1"/>
    <xf numFmtId="0" fontId="15" fillId="5" borderId="0" xfId="8" applyFont="1" applyFill="1"/>
    <xf numFmtId="0" fontId="15" fillId="5" borderId="0" xfId="3" applyFont="1" applyFill="1" applyAlignment="1">
      <alignment wrapText="1"/>
    </xf>
    <xf numFmtId="0" fontId="15" fillId="5" borderId="0" xfId="0" applyFont="1" applyFill="1" applyAlignment="1">
      <alignment wrapText="1"/>
    </xf>
    <xf numFmtId="3" fontId="9" fillId="0" borderId="8" xfId="3" applyNumberFormat="1" applyFont="1" applyBorder="1" applyAlignment="1"/>
    <xf numFmtId="0" fontId="9" fillId="0" borderId="11" xfId="3" applyNumberFormat="1" applyFont="1" applyBorder="1" applyAlignment="1"/>
    <xf numFmtId="3" fontId="9" fillId="0" borderId="6" xfId="3" applyNumberFormat="1" applyFont="1" applyBorder="1" applyAlignment="1"/>
    <xf numFmtId="0" fontId="10" fillId="0" borderId="6" xfId="3" applyNumberFormat="1" applyFont="1" applyBorder="1" applyAlignment="1"/>
    <xf numFmtId="0" fontId="10" fillId="0" borderId="9" xfId="3" applyNumberFormat="1" applyFont="1" applyBorder="1" applyAlignment="1"/>
    <xf numFmtId="0" fontId="10" fillId="0" borderId="10" xfId="3" applyNumberFormat="1" applyFont="1" applyBorder="1" applyAlignment="1"/>
    <xf numFmtId="168" fontId="4" fillId="0" borderId="0" xfId="0" applyNumberFormat="1" applyFont="1" applyAlignment="1">
      <alignment horizontal="right"/>
    </xf>
    <xf numFmtId="185" fontId="9" fillId="0" borderId="0" xfId="3" applyNumberFormat="1" applyFont="1"/>
    <xf numFmtId="0" fontId="41" fillId="7" borderId="0" xfId="3" applyFont="1" applyFill="1"/>
    <xf numFmtId="0" fontId="42" fillId="7" borderId="0" xfId="3" applyFont="1" applyFill="1"/>
    <xf numFmtId="0" fontId="41" fillId="7" borderId="1" xfId="3" applyFont="1" applyFill="1" applyBorder="1"/>
    <xf numFmtId="0" fontId="43" fillId="0" borderId="0" xfId="0" applyFont="1"/>
    <xf numFmtId="49" fontId="43" fillId="7" borderId="0" xfId="0" applyNumberFormat="1" applyFont="1" applyFill="1"/>
    <xf numFmtId="3" fontId="43" fillId="7" borderId="0" xfId="0" applyNumberFormat="1" applyFont="1" applyFill="1" applyAlignment="1">
      <alignment horizontal="right"/>
    </xf>
    <xf numFmtId="0" fontId="43" fillId="7" borderId="0" xfId="0" applyFont="1" applyFill="1"/>
    <xf numFmtId="0" fontId="42" fillId="0" borderId="11" xfId="3" applyNumberFormat="1" applyFont="1" applyBorder="1" applyAlignment="1"/>
    <xf numFmtId="0" fontId="44" fillId="0" borderId="5" xfId="3" applyNumberFormat="1" applyFont="1" applyBorder="1" applyAlignment="1"/>
    <xf numFmtId="3" fontId="42" fillId="0" borderId="6" xfId="3" applyNumberFormat="1" applyFont="1" applyBorder="1" applyAlignment="1"/>
    <xf numFmtId="0" fontId="42" fillId="0" borderId="7" xfId="3" applyNumberFormat="1" applyFont="1" applyBorder="1" applyAlignment="1"/>
    <xf numFmtId="0" fontId="43" fillId="0" borderId="6" xfId="3" applyNumberFormat="1" applyFont="1" applyBorder="1" applyAlignment="1"/>
    <xf numFmtId="0" fontId="43" fillId="0" borderId="7" xfId="3" applyNumberFormat="1" applyFont="1" applyBorder="1" applyAlignment="1"/>
    <xf numFmtId="0" fontId="43" fillId="0" borderId="9" xfId="3" applyNumberFormat="1" applyFont="1" applyBorder="1" applyAlignment="1"/>
    <xf numFmtId="0" fontId="43" fillId="0" borderId="10" xfId="3" applyNumberFormat="1" applyFont="1" applyBorder="1" applyAlignment="1"/>
    <xf numFmtId="0" fontId="44" fillId="0" borderId="0" xfId="0" applyFont="1"/>
    <xf numFmtId="186" fontId="43" fillId="0" borderId="0" xfId="0" applyNumberFormat="1" applyFont="1"/>
    <xf numFmtId="166" fontId="43" fillId="0" borderId="0" xfId="0" applyNumberFormat="1" applyFont="1"/>
    <xf numFmtId="1" fontId="43" fillId="0" borderId="0" xfId="0" applyNumberFormat="1" applyFont="1"/>
    <xf numFmtId="49" fontId="41" fillId="7" borderId="0" xfId="0" applyNumberFormat="1" applyFont="1" applyFill="1"/>
    <xf numFmtId="3" fontId="43" fillId="0" borderId="0" xfId="0" applyNumberFormat="1" applyFont="1"/>
    <xf numFmtId="189" fontId="26" fillId="0" borderId="0" xfId="3" applyNumberFormat="1" applyFont="1" applyBorder="1"/>
    <xf numFmtId="3" fontId="12" fillId="0" borderId="7" xfId="3" applyNumberFormat="1" applyFont="1" applyFill="1" applyBorder="1" applyAlignment="1"/>
    <xf numFmtId="185" fontId="26" fillId="0" borderId="0" xfId="3" applyNumberFormat="1" applyFont="1"/>
    <xf numFmtId="3" fontId="25" fillId="0" borderId="0" xfId="3" applyNumberFormat="1" applyFont="1"/>
    <xf numFmtId="186" fontId="18" fillId="0" borderId="0" xfId="3" applyNumberFormat="1" applyFont="1" applyFill="1"/>
    <xf numFmtId="169" fontId="12" fillId="0" borderId="0" xfId="3" applyNumberFormat="1" applyFont="1"/>
    <xf numFmtId="165" fontId="12" fillId="0" borderId="0" xfId="3" applyNumberFormat="1" applyFont="1" applyFill="1"/>
    <xf numFmtId="165" fontId="12" fillId="0" borderId="0" xfId="3" applyNumberFormat="1" applyFont="1"/>
    <xf numFmtId="0" fontId="45" fillId="0" borderId="0" xfId="3" applyFont="1"/>
    <xf numFmtId="166" fontId="26" fillId="0" borderId="0" xfId="3" applyNumberFormat="1" applyFont="1" applyFill="1" applyBorder="1"/>
    <xf numFmtId="165" fontId="12" fillId="0" borderId="0" xfId="3" applyNumberFormat="1" applyFont="1" applyFill="1" applyBorder="1"/>
    <xf numFmtId="0" fontId="9" fillId="0" borderId="0" xfId="8" applyFont="1"/>
    <xf numFmtId="2" fontId="26" fillId="0" borderId="0" xfId="12" applyNumberFormat="1" applyFont="1" applyFill="1" applyBorder="1"/>
    <xf numFmtId="0" fontId="23" fillId="6" borderId="0" xfId="3" applyFont="1" applyFill="1" applyProtection="1"/>
    <xf numFmtId="0" fontId="23" fillId="0" borderId="0" xfId="3" applyFont="1" applyFill="1" applyProtection="1"/>
    <xf numFmtId="0" fontId="23" fillId="0" borderId="0" xfId="6" applyFont="1" applyFill="1" applyProtection="1"/>
    <xf numFmtId="173" fontId="46" fillId="0" borderId="0" xfId="3" applyNumberFormat="1" applyFont="1" applyFill="1"/>
    <xf numFmtId="174" fontId="46" fillId="0" borderId="0" xfId="2" applyNumberFormat="1" applyFont="1" applyFill="1"/>
    <xf numFmtId="0" fontId="47" fillId="0" borderId="0" xfId="18"/>
    <xf numFmtId="0" fontId="47" fillId="0" borderId="0" xfId="18" applyAlignment="1">
      <alignment vertical="center"/>
    </xf>
    <xf numFmtId="0" fontId="42" fillId="0" borderId="0" xfId="3" applyFont="1" applyFill="1"/>
    <xf numFmtId="2" fontId="23" fillId="0" borderId="0" xfId="0" applyNumberFormat="1" applyFont="1" applyFill="1"/>
    <xf numFmtId="49" fontId="0" fillId="0" borderId="0" xfId="0" applyNumberFormat="1" applyFont="1"/>
    <xf numFmtId="0" fontId="44" fillId="8" borderId="0" xfId="0" applyFont="1" applyFill="1" applyBorder="1"/>
    <xf numFmtId="49" fontId="44" fillId="8" borderId="0" xfId="0" applyNumberFormat="1" applyFont="1" applyFill="1" applyBorder="1" applyAlignment="1">
      <alignment horizontal="left" wrapText="1"/>
    </xf>
    <xf numFmtId="3" fontId="44" fillId="8" borderId="0" xfId="0" applyNumberFormat="1" applyFont="1" applyFill="1" applyBorder="1" applyAlignment="1">
      <alignment horizontal="left" wrapText="1"/>
    </xf>
    <xf numFmtId="3" fontId="44" fillId="8" borderId="0" xfId="0" applyNumberFormat="1" applyFont="1" applyFill="1" applyBorder="1" applyAlignment="1">
      <alignment horizontal="right"/>
    </xf>
    <xf numFmtId="49" fontId="44" fillId="0" borderId="0" xfId="0" applyNumberFormat="1" applyFont="1" applyFill="1"/>
    <xf numFmtId="0" fontId="43" fillId="0" borderId="0" xfId="0" applyFont="1" applyFill="1"/>
    <xf numFmtId="3" fontId="43" fillId="0" borderId="0" xfId="0" applyNumberFormat="1" applyFont="1" applyFill="1" applyAlignment="1">
      <alignment horizontal="right"/>
    </xf>
    <xf numFmtId="49" fontId="43" fillId="0" borderId="0" xfId="0" applyNumberFormat="1" applyFont="1" applyFill="1"/>
    <xf numFmtId="0" fontId="23" fillId="0" borderId="0" xfId="3" applyFont="1" applyFill="1" applyAlignment="1" applyProtection="1">
      <alignment horizontal="center"/>
    </xf>
    <xf numFmtId="190" fontId="26" fillId="0" borderId="0" xfId="19" applyNumberFormat="1" applyFont="1"/>
    <xf numFmtId="3" fontId="48" fillId="0" borderId="0" xfId="0" applyNumberFormat="1" applyFont="1"/>
    <xf numFmtId="3" fontId="49" fillId="0" borderId="0" xfId="3" applyNumberFormat="1" applyFont="1" applyFill="1" applyProtection="1"/>
    <xf numFmtId="172" fontId="9" fillId="0" borderId="0" xfId="0" applyNumberFormat="1" applyFont="1" applyFill="1"/>
    <xf numFmtId="172" fontId="0" fillId="0" borderId="0" xfId="0" applyNumberFormat="1"/>
    <xf numFmtId="172" fontId="0" fillId="0" borderId="1" xfId="0" applyNumberFormat="1" applyBorder="1"/>
    <xf numFmtId="173" fontId="11" fillId="0" borderId="0" xfId="2" applyNumberFormat="1" applyFont="1" applyFill="1" applyBorder="1"/>
    <xf numFmtId="3" fontId="11" fillId="0" borderId="0" xfId="3" applyNumberFormat="1" applyFont="1" applyFill="1"/>
    <xf numFmtId="191" fontId="10" fillId="0" borderId="0" xfId="3" applyNumberFormat="1" applyFont="1" applyFill="1"/>
    <xf numFmtId="0" fontId="39" fillId="0" borderId="0" xfId="0" applyFont="1" applyFill="1"/>
    <xf numFmtId="0" fontId="15" fillId="0" borderId="1" xfId="3" applyFont="1" applyFill="1" applyBorder="1"/>
    <xf numFmtId="3" fontId="9" fillId="0" borderId="0" xfId="3" applyNumberFormat="1" applyFont="1" applyFill="1" applyBorder="1" applyAlignment="1"/>
    <xf numFmtId="0" fontId="15" fillId="5" borderId="0" xfId="3" applyNumberFormat="1" applyFont="1" applyFill="1" applyAlignment="1">
      <alignment horizontal="left" wrapText="1"/>
    </xf>
    <xf numFmtId="166" fontId="12" fillId="0" borderId="0" xfId="3" applyNumberFormat="1" applyFont="1"/>
    <xf numFmtId="0" fontId="51" fillId="0" borderId="1" xfId="3" applyFont="1" applyFill="1" applyBorder="1"/>
    <xf numFmtId="174" fontId="52" fillId="0" borderId="0" xfId="3" applyNumberFormat="1" applyFont="1"/>
    <xf numFmtId="173" fontId="52" fillId="0" borderId="0" xfId="3" applyNumberFormat="1" applyFont="1"/>
    <xf numFmtId="3" fontId="52" fillId="0" borderId="0" xfId="3" applyNumberFormat="1" applyFont="1"/>
    <xf numFmtId="3" fontId="50" fillId="0" borderId="0" xfId="3" applyNumberFormat="1" applyFont="1"/>
    <xf numFmtId="0" fontId="15" fillId="5" borderId="0" xfId="3" applyNumberFormat="1" applyFont="1" applyFill="1" applyBorder="1" applyAlignment="1"/>
    <xf numFmtId="0" fontId="54" fillId="0" borderId="0" xfId="0" applyFont="1"/>
    <xf numFmtId="0" fontId="53" fillId="9" borderId="0" xfId="0" applyFont="1" applyFill="1"/>
    <xf numFmtId="3" fontId="55" fillId="0" borderId="0" xfId="3" applyNumberFormat="1" applyFont="1" applyBorder="1" applyAlignment="1"/>
    <xf numFmtId="168" fontId="55" fillId="0" borderId="0" xfId="3" applyNumberFormat="1" applyFont="1" applyBorder="1" applyAlignment="1"/>
    <xf numFmtId="168" fontId="54" fillId="0" borderId="0" xfId="0" applyNumberFormat="1" applyFont="1" applyBorder="1"/>
    <xf numFmtId="0" fontId="58" fillId="0" borderId="0" xfId="0" applyFont="1"/>
    <xf numFmtId="10" fontId="9" fillId="0" borderId="0" xfId="3" applyNumberFormat="1" applyFont="1" applyFill="1"/>
    <xf numFmtId="0" fontId="56" fillId="2" borderId="0" xfId="3" applyFont="1" applyFill="1"/>
    <xf numFmtId="0" fontId="59" fillId="2" borderId="0" xfId="3" applyFont="1" applyFill="1"/>
    <xf numFmtId="0" fontId="53" fillId="0" borderId="1" xfId="3" applyFont="1" applyBorder="1"/>
    <xf numFmtId="0" fontId="53" fillId="0" borderId="1" xfId="3" applyFont="1" applyBorder="1" applyAlignment="1">
      <alignment horizontal="center"/>
    </xf>
    <xf numFmtId="0" fontId="53" fillId="0" borderId="1" xfId="3" applyFont="1" applyBorder="1" applyAlignment="1">
      <alignment wrapText="1"/>
    </xf>
    <xf numFmtId="3" fontId="53" fillId="0" borderId="1" xfId="3" applyNumberFormat="1" applyFont="1" applyBorder="1"/>
    <xf numFmtId="0" fontId="53" fillId="5" borderId="1" xfId="3" applyFont="1" applyFill="1" applyBorder="1"/>
    <xf numFmtId="0" fontId="53" fillId="0" borderId="3" xfId="3" applyFont="1" applyFill="1" applyBorder="1" applyAlignment="1">
      <alignment horizontal="center"/>
    </xf>
    <xf numFmtId="173" fontId="53" fillId="0" borderId="1" xfId="3" applyNumberFormat="1" applyFont="1" applyFill="1" applyBorder="1" applyAlignment="1">
      <alignment horizontal="center"/>
    </xf>
    <xf numFmtId="3" fontId="54" fillId="0" borderId="0" xfId="0" applyNumberFormat="1" applyFont="1"/>
    <xf numFmtId="0" fontId="55" fillId="0" borderId="0" xfId="10" applyFont="1"/>
    <xf numFmtId="0" fontId="56" fillId="0" borderId="0" xfId="3" applyFont="1" applyFill="1" applyProtection="1"/>
    <xf numFmtId="3" fontId="55" fillId="0" borderId="0" xfId="3" applyNumberFormat="1" applyFont="1" applyFill="1"/>
    <xf numFmtId="3" fontId="56" fillId="0" borderId="2" xfId="3" applyNumberFormat="1" applyFont="1" applyBorder="1"/>
    <xf numFmtId="3" fontId="56" fillId="0" borderId="0" xfId="3" applyNumberFormat="1" applyFont="1" applyFill="1"/>
    <xf numFmtId="0" fontId="55" fillId="0" borderId="0" xfId="10" applyFont="1" applyBorder="1"/>
    <xf numFmtId="0" fontId="56" fillId="0" borderId="0" xfId="3" applyFont="1" applyFill="1" applyBorder="1" applyProtection="1"/>
    <xf numFmtId="3" fontId="55" fillId="0" borderId="0" xfId="3" applyNumberFormat="1" applyFont="1" applyFill="1" applyBorder="1"/>
    <xf numFmtId="0" fontId="55" fillId="0" borderId="0" xfId="3" applyFont="1"/>
    <xf numFmtId="0" fontId="56" fillId="0" borderId="0" xfId="3" applyFont="1"/>
    <xf numFmtId="3" fontId="56" fillId="0" borderId="0" xfId="3" applyNumberFormat="1" applyFont="1"/>
    <xf numFmtId="0" fontId="55" fillId="0" borderId="1" xfId="3" applyFont="1" applyBorder="1"/>
    <xf numFmtId="0" fontId="56" fillId="0" borderId="1" xfId="3" applyFont="1" applyBorder="1"/>
    <xf numFmtId="3" fontId="55" fillId="0" borderId="1" xfId="3" applyNumberFormat="1" applyFont="1" applyFill="1" applyBorder="1"/>
    <xf numFmtId="173" fontId="56" fillId="0" borderId="0" xfId="7" applyNumberFormat="1" applyFont="1"/>
    <xf numFmtId="9" fontId="56" fillId="0" borderId="2" xfId="2" applyNumberFormat="1" applyFont="1" applyBorder="1"/>
    <xf numFmtId="0" fontId="59" fillId="0" borderId="0" xfId="3" applyFont="1"/>
    <xf numFmtId="0" fontId="53" fillId="3" borderId="0" xfId="3" applyNumberFormat="1" applyFont="1" applyFill="1" applyBorder="1" applyAlignment="1"/>
    <xf numFmtId="0" fontId="53" fillId="3" borderId="0" xfId="3" applyNumberFormat="1" applyFont="1" applyFill="1" applyBorder="1" applyAlignment="1">
      <alignment horizontal="center"/>
    </xf>
    <xf numFmtId="0" fontId="53" fillId="3" borderId="1" xfId="3" applyNumberFormat="1" applyFont="1" applyFill="1" applyBorder="1" applyAlignment="1">
      <alignment wrapText="1"/>
    </xf>
    <xf numFmtId="3" fontId="53" fillId="3" borderId="1" xfId="3" applyNumberFormat="1" applyFont="1" applyFill="1" applyBorder="1" applyAlignment="1"/>
    <xf numFmtId="0" fontId="53" fillId="3" borderId="1" xfId="3" applyNumberFormat="1" applyFont="1" applyFill="1" applyBorder="1" applyAlignment="1"/>
    <xf numFmtId="0" fontId="53" fillId="5" borderId="1" xfId="3" applyNumberFormat="1" applyFont="1" applyFill="1" applyBorder="1" applyAlignment="1"/>
    <xf numFmtId="0" fontId="53" fillId="5" borderId="0" xfId="3" applyNumberFormat="1" applyFont="1" applyFill="1" applyBorder="1" applyAlignment="1"/>
    <xf numFmtId="0" fontId="53" fillId="3" borderId="24" xfId="3" applyNumberFormat="1" applyFont="1" applyFill="1" applyBorder="1" applyAlignment="1">
      <alignment horizontal="center"/>
    </xf>
    <xf numFmtId="0" fontId="53" fillId="3" borderId="2" xfId="3" applyNumberFormat="1" applyFont="1" applyFill="1" applyBorder="1" applyAlignment="1">
      <alignment horizontal="center"/>
    </xf>
    <xf numFmtId="0" fontId="55" fillId="0" borderId="5" xfId="10" applyNumberFormat="1" applyFont="1" applyBorder="1" applyAlignment="1"/>
    <xf numFmtId="0" fontId="56" fillId="0" borderId="5" xfId="3" applyNumberFormat="1" applyFont="1" applyBorder="1" applyAlignment="1"/>
    <xf numFmtId="3" fontId="55" fillId="0" borderId="5" xfId="3" applyNumberFormat="1" applyFont="1" applyBorder="1" applyAlignment="1"/>
    <xf numFmtId="3" fontId="56" fillId="0" borderId="5" xfId="3" applyNumberFormat="1" applyFont="1" applyBorder="1" applyAlignment="1"/>
    <xf numFmtId="3" fontId="56" fillId="0" borderId="12" xfId="3" applyNumberFormat="1" applyFont="1" applyBorder="1" applyAlignment="1"/>
    <xf numFmtId="0" fontId="55" fillId="0" borderId="7" xfId="10" applyNumberFormat="1" applyFont="1" applyBorder="1" applyAlignment="1"/>
    <xf numFmtId="0" fontId="56" fillId="0" borderId="7" xfId="3" applyNumberFormat="1" applyFont="1" applyBorder="1" applyAlignment="1"/>
    <xf numFmtId="3" fontId="55" fillId="0" borderId="7" xfId="3" applyNumberFormat="1" applyFont="1" applyBorder="1" applyAlignment="1"/>
    <xf numFmtId="3" fontId="56" fillId="0" borderId="7" xfId="3" applyNumberFormat="1" applyFont="1" applyBorder="1" applyAlignment="1"/>
    <xf numFmtId="0" fontId="55" fillId="0" borderId="7" xfId="3" applyNumberFormat="1" applyFont="1" applyBorder="1" applyAlignment="1"/>
    <xf numFmtId="0" fontId="55" fillId="0" borderId="5" xfId="3" applyNumberFormat="1" applyFont="1" applyBorder="1" applyAlignment="1"/>
    <xf numFmtId="3" fontId="56" fillId="0" borderId="8" xfId="3" applyNumberFormat="1" applyFont="1" applyBorder="1" applyAlignment="1"/>
    <xf numFmtId="173" fontId="56" fillId="0" borderId="7" xfId="2" applyNumberFormat="1" applyFont="1" applyBorder="1" applyAlignment="1"/>
    <xf numFmtId="3" fontId="56" fillId="0" borderId="14" xfId="3" applyNumberFormat="1" applyFont="1" applyBorder="1" applyAlignment="1"/>
    <xf numFmtId="3" fontId="55" fillId="0" borderId="2" xfId="3" applyNumberFormat="1" applyFont="1" applyBorder="1"/>
    <xf numFmtId="3" fontId="55" fillId="0" borderId="0" xfId="3" applyNumberFormat="1" applyFont="1"/>
    <xf numFmtId="3" fontId="55" fillId="0" borderId="1" xfId="3" applyNumberFormat="1" applyFont="1" applyBorder="1"/>
    <xf numFmtId="0" fontId="55" fillId="0" borderId="0" xfId="3" applyFont="1" applyFill="1"/>
    <xf numFmtId="0" fontId="55" fillId="0" borderId="0" xfId="0" applyFont="1" applyAlignment="1">
      <alignment horizontal="left"/>
    </xf>
    <xf numFmtId="0" fontId="15" fillId="3" borderId="0" xfId="3" applyNumberFormat="1" applyFont="1" applyFill="1" applyBorder="1" applyAlignment="1">
      <alignment horizontal="right" wrapText="1"/>
    </xf>
    <xf numFmtId="0" fontId="15" fillId="3" borderId="0" xfId="3" applyNumberFormat="1" applyFont="1" applyFill="1" applyBorder="1" applyAlignment="1">
      <alignment horizontal="right"/>
    </xf>
    <xf numFmtId="0" fontId="53" fillId="10" borderId="17" xfId="3" applyNumberFormat="1" applyFont="1" applyFill="1" applyBorder="1" applyAlignment="1">
      <alignment horizontal="right" wrapText="1"/>
    </xf>
    <xf numFmtId="173" fontId="53" fillId="10" borderId="17" xfId="3" applyNumberFormat="1" applyFont="1" applyFill="1" applyBorder="1" applyAlignment="1">
      <alignment horizontal="right" wrapText="1"/>
    </xf>
    <xf numFmtId="0" fontId="53" fillId="9" borderId="0" xfId="0" applyFont="1" applyFill="1" applyAlignment="1">
      <alignment horizontal="right" wrapText="1"/>
    </xf>
    <xf numFmtId="0" fontId="57" fillId="0" borderId="26" xfId="0" applyFont="1" applyBorder="1"/>
    <xf numFmtId="3" fontId="56" fillId="0" borderId="26" xfId="3" applyNumberFormat="1" applyFont="1" applyBorder="1" applyAlignment="1"/>
    <xf numFmtId="168" fontId="56" fillId="0" borderId="26" xfId="3" applyNumberFormat="1" applyFont="1" applyBorder="1" applyAlignment="1"/>
    <xf numFmtId="168" fontId="55" fillId="0" borderId="26" xfId="3" applyNumberFormat="1" applyFont="1" applyBorder="1" applyAlignment="1"/>
    <xf numFmtId="168" fontId="57" fillId="0" borderId="26" xfId="0" applyNumberFormat="1" applyFont="1" applyBorder="1"/>
    <xf numFmtId="0" fontId="54" fillId="2" borderId="0" xfId="0" applyFont="1" applyFill="1"/>
    <xf numFmtId="49" fontId="29" fillId="0" borderId="1" xfId="3" applyNumberFormat="1" applyFont="1" applyFill="1" applyBorder="1" applyAlignment="1">
      <alignment horizontal="right" wrapText="1"/>
    </xf>
    <xf numFmtId="0" fontId="29" fillId="0" borderId="1" xfId="3" applyFont="1" applyBorder="1" applyAlignment="1">
      <alignment horizontal="right"/>
    </xf>
    <xf numFmtId="0" fontId="29" fillId="0" borderId="1" xfId="3" applyFont="1" applyBorder="1" applyAlignment="1">
      <alignment horizontal="right" wrapText="1"/>
    </xf>
    <xf numFmtId="0" fontId="29" fillId="0" borderId="1" xfId="3" applyFont="1" applyFill="1" applyBorder="1" applyAlignment="1">
      <alignment horizontal="right" wrapText="1"/>
    </xf>
    <xf numFmtId="0" fontId="47" fillId="0" borderId="0" xfId="18" applyFill="1"/>
    <xf numFmtId="0" fontId="0" fillId="0" borderId="0" xfId="0" applyFill="1"/>
    <xf numFmtId="0" fontId="26" fillId="0" borderId="0" xfId="18" applyFont="1" applyFill="1"/>
    <xf numFmtId="0" fontId="25" fillId="0" borderId="0" xfId="18" applyFont="1" applyFill="1"/>
    <xf numFmtId="0" fontId="26" fillId="0" borderId="0" xfId="18" applyFont="1"/>
    <xf numFmtId="0" fontId="12" fillId="0" borderId="0" xfId="3" applyFont="1" applyFill="1" applyBorder="1" applyAlignment="1">
      <alignment horizontal="center"/>
    </xf>
  </cellXfs>
  <cellStyles count="20">
    <cellStyle name="Erotin 2" xfId="1"/>
    <cellStyle name="Normaali" xfId="0" builtinId="0"/>
    <cellStyle name="Normaali 11" xfId="12"/>
    <cellStyle name="Normaali 13" xfId="15"/>
    <cellStyle name="Normaali 2" xfId="3"/>
    <cellStyle name="Normaali 2 2" xfId="4"/>
    <cellStyle name="Normaali 2 2 2" xfId="6"/>
    <cellStyle name="Normaali 2 3" xfId="14"/>
    <cellStyle name="Normaali 3" xfId="16"/>
    <cellStyle name="Normaali 4" xfId="5"/>
    <cellStyle name="Normaali 5" xfId="11"/>
    <cellStyle name="Normaali 6" xfId="13"/>
    <cellStyle name="Normaali 7" xfId="17"/>
    <cellStyle name="Normaali 8" xfId="8"/>
    <cellStyle name="Normaali 9" xfId="10"/>
    <cellStyle name="Normaali 9 2" xfId="9"/>
    <cellStyle name="Otsikko" xfId="18" builtinId="15"/>
    <cellStyle name="Pilkku" xfId="19" builtinId="3"/>
    <cellStyle name="Prosenttia" xfId="2" builtinId="5"/>
    <cellStyle name="Prosenttia 2" xfId="7"/>
  </cellStyles>
  <dxfs count="57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border outline="0">
        <bottom style="thin">
          <color rgb="FF5B9BD5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border outline="0">
        <top style="thin">
          <color rgb="FF5B9BD5"/>
        </top>
      </border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rgb="FFFFFFFF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vertAlign val="baseline"/>
        <sz val="12"/>
        <name val="Calibri Light"/>
        <scheme val="none"/>
      </font>
      <fill>
        <patternFill patternType="none">
          <fgColor rgb="FF000000"/>
          <bgColor rgb="FFFFFFFF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  <numFmt numFmtId="178" formatCode="#,##0.000_ ;[Red]\-#,##0.0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86" formatCode="0.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major"/>
      </font>
      <fill>
        <patternFill patternType="solid">
          <fgColor indexed="64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major"/>
      </font>
      <fill>
        <patternFill patternType="solid">
          <fgColor indexed="64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6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72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16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maj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theme="8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8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theme="8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8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_ ;[Red]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theme="8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8"/>
        </right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73" formatCode="0.000\ %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73" formatCode="0.000\ 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7" formatCode="0_ ;[Red]\-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7" formatCode="0_ ;[Red]\-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7" formatCode="0_ ;[Red]\-0\ "/>
      <alignment horizontal="general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7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7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7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7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7" formatCode="0_ ;[Red]\-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73" formatCode="0.000\ %"/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2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3" formatCode="0.000\ %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3" formatCode="0.000\ %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2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2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right style="thin">
          <color theme="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73" formatCode="0.000\ 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73" formatCode="0.000\ 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8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73" formatCode="0.000\ %"/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34" name="Taulukko34" displayName="Taulukko34" ref="A9:I32" totalsRowShown="0" headerRowDxfId="570" dataDxfId="568" headerRowBorderDxfId="569" headerRowCellStyle="Normaali 2" dataCellStyle="Normaali 2">
  <tableColumns count="9">
    <tableColumn id="1" name="Hyvinvointialuekoodi" dataDxfId="3" dataCellStyle="Normaali 2"/>
    <tableColumn id="2" name="Hyvinvointialue" dataDxfId="2" dataCellStyle="Normaali 2"/>
    <tableColumn id="3" name="Asukasluku 2020" dataDxfId="567" dataCellStyle="Normaali 2"/>
    <tableColumn id="4" name="Siirtyvät kustannukset yhteensä, €" dataDxfId="566" dataCellStyle="Normaali 2"/>
    <tableColumn id="5" name="Siirtyvät kustannukset, €/as." dataDxfId="565" dataCellStyle="Normaali 2">
      <calculatedColumnFormula>D10/C10</calculatedColumnFormula>
    </tableColumn>
    <tableColumn id="10" name="Laskennallinen rahoitus yhteensä  €" dataDxfId="564" dataCellStyle="Normaali 2"/>
    <tableColumn id="11" name="Muutos laskennallisen rahoituksen ja siirtyvien kustannusten välillä , €" dataDxfId="563" dataCellStyle="Normaali 2">
      <calculatedColumnFormula>F10-D10</calculatedColumnFormula>
    </tableColumn>
    <tableColumn id="12" name="Laskennallinen rahoitus yhteensä € /as." dataDxfId="562" dataCellStyle="Normaali 2">
      <calculatedColumnFormula>F10/C10</calculatedColumnFormula>
    </tableColumn>
    <tableColumn id="13" name="Muutos laskennallisen rahoituksen ja siirtyvien kustannusten välillä , €/as." dataDxfId="561" dataCellStyle="Normaali 2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24" name="Taulukko24" displayName="Taulukko24" ref="A75:O99" totalsRowShown="0" dataDxfId="445" tableBorderDxfId="444" dataCellStyle="Normaali 2">
  <tableColumns count="15">
    <tableColumn id="1" name="Hyvinvointialuekoodi" dataDxfId="443" dataCellStyle="Normaali 2"/>
    <tableColumn id="2" name="Hyvinvointialue" dataDxfId="442" dataCellStyle="Normaali 2"/>
    <tableColumn id="3" name="Asukasperusteisuus" dataDxfId="441" dataCellStyle="Normaali 2"/>
    <tableColumn id="4" name="Terveydenhuollon palvelutarve" dataDxfId="440" dataCellStyle="Normaali 2"/>
    <tableColumn id="5" name="Vanhustenhuollon palvelutarve" dataDxfId="439" dataCellStyle="Normaali 2"/>
    <tableColumn id="6" name="Sosiaalihuollon palvelutarve" dataDxfId="438" dataCellStyle="Normaali 2"/>
    <tableColumn id="7" name="Vieraskielisyys" dataDxfId="437" dataCellStyle="Normaali 2"/>
    <tableColumn id="8" name="Kaksikielisyys" dataDxfId="436" dataCellStyle="Normaali 2"/>
    <tableColumn id="9" name="Asukastiheys" dataDxfId="435" dataCellStyle="Normaali 2"/>
    <tableColumn id="10" name="Saaristoisuus" dataDxfId="434" dataCellStyle="Normaali 2"/>
    <tableColumn id="11" name="Hyte-kriteeri" dataDxfId="433" dataCellStyle="Normaali 2"/>
    <tableColumn id="12" name="Saamenkielisyys" dataDxfId="432" dataCellStyle="Normaali 2"/>
    <tableColumn id="15" name="YO-lisä" dataDxfId="431" dataCellStyle="Normaali 2">
      <calculatedColumnFormula>M49/$C22</calculatedColumnFormula>
    </tableColumn>
    <tableColumn id="13" name="Yhteensä, €/as." dataDxfId="430" dataCellStyle="Normaali 2"/>
    <tableColumn id="14" name="Yhteensä, €/as.2" dataDxfId="429" dataCellStyle="Normaali 2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25" name="Taulukko25" displayName="Taulukko25" ref="A7:C8" totalsRowShown="0" headerRowDxfId="428" dataDxfId="427" tableBorderDxfId="426" dataCellStyle="Normaali 2">
  <tableColumns count="3">
    <tableColumn id="1" name="Kunnilta siirtyvät pelastustoimen kustannukset yhteensä:" dataDxfId="425" dataCellStyle="Normaali 2">
      <calculatedColumnFormula>'Siirtyvät pela-kustannukset'!L12</calculatedColumnFormula>
    </tableColumn>
    <tableColumn id="2" name="Väestö 2020" dataDxfId="424" dataCellStyle="Normaali 2">
      <calculatedColumnFormula>C40</calculatedColumnFormula>
    </tableColumn>
    <tableColumn id="3" name="Kustannukset per asukas" dataDxfId="423" dataCellStyle="Normaali 2">
      <calculatedColumnFormula>A8/B8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26" name="Taulukko26" displayName="Taulukko26" ref="A11:E14" totalsRowShown="0" headerRowDxfId="422" headerRowCellStyle="Normaali 2">
  <tableColumns count="5">
    <tableColumn id="1" name="Kriteeri"/>
    <tableColumn id="2" name="Asukasperusteisuus"/>
    <tableColumn id="3" name="Asukastiheys"/>
    <tableColumn id="4" name="Riskitekijät"/>
    <tableColumn id="5" name="Yhteensä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27" name="Taulukko27" displayName="Taulukko27" ref="A17:E40" totalsRowShown="0" headerRowDxfId="421" headerRowBorderDxfId="420" headerRowCellStyle="Normaali 2">
  <tableColumns count="5">
    <tableColumn id="1" name="Hyvinvointialuekoodi" dataDxfId="419" dataCellStyle="Normaali 2"/>
    <tableColumn id="2" name="Hyvinvointialue" dataDxfId="418" dataCellStyle="Normaali 2"/>
    <tableColumn id="3" name="Asukasluku 2020" dataDxfId="417" dataCellStyle="Normaali 2"/>
    <tableColumn id="4" name="Asukastiheyskerroin" dataDxfId="416" dataCellStyle="Normaali 2">
      <calculatedColumnFormula>Määräytymistekijät!F30</calculatedColumnFormula>
    </tableColumn>
    <tableColumn id="5" name="Riskikerroin" dataDxfId="415" dataCellStyle="Normaali 2">
      <calculatedColumnFormula>Määräytymistekijät!M30</calculatedColumnFormula>
    </tableColumn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28" name="Taulukko28" displayName="Taulukko28" ref="A43:G68" totalsRowShown="0" headerRowDxfId="414" dataDxfId="413" headerRowCellStyle="Normaali 2" dataCellStyle="Normaali 2">
  <tableColumns count="7">
    <tableColumn id="1" name="Hyvinvointialuekoodi" dataDxfId="412" dataCellStyle="Normaali 2"/>
    <tableColumn id="2" name="Hyvinvointialue" dataDxfId="411" dataCellStyle="Normaali 2"/>
    <tableColumn id="3" name="Asukasperusteisuus" dataDxfId="410" dataCellStyle="Normaali 2"/>
    <tableColumn id="4" name="Asukastiheys" dataDxfId="409" dataCellStyle="Normaali 2"/>
    <tableColumn id="5" name="Riskitekijät" dataDxfId="408" dataCellStyle="Normaali 2"/>
    <tableColumn id="6" name="Yhteensä, €" dataDxfId="407" dataCellStyle="Normaali 2"/>
    <tableColumn id="7" name="Yhteensä, €/as." dataDxfId="406" dataCellStyle="Normaali 2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29" name="Taulukko29" displayName="Taulukko29" ref="A70:F94" totalsRowShown="0" headerRowDxfId="405" dataDxfId="404" headerRowCellStyle="Normaali 2" dataCellStyle="Normaali 2">
  <tableColumns count="6">
    <tableColumn id="1" name="Hyvinvointialuekoodi" dataDxfId="403" dataCellStyle="Normaali 2"/>
    <tableColumn id="2" name="Hyvinvointialue" dataDxfId="402" dataCellStyle="Normaali 2"/>
    <tableColumn id="3" name="Asukasperusteisuus" dataDxfId="401" dataCellStyle="Normaali 2"/>
    <tableColumn id="4" name="Asukastiheys" dataDxfId="400" dataCellStyle="Normaali 2"/>
    <tableColumn id="5" name="Riskitekijät" dataDxfId="399" dataCellStyle="Normaali 2"/>
    <tableColumn id="6" name="Yhteensä, €/as." dataDxfId="398" dataCellStyle="Normaali 2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41" name="Taulukko41" displayName="Taulukko41" ref="A11:J34" totalsRowShown="0" headerRowDxfId="397" dataDxfId="396" headerRowCellStyle="Normaali 2" dataCellStyle="Normaali 2">
  <tableColumns count="10">
    <tableColumn id="1" name="Hyvinvointialuekoodi" dataDxfId="395" dataCellStyle="Normaali 2"/>
    <tableColumn id="2" name="Hyvinvointialue" dataDxfId="394" dataCellStyle="Normaali 2"/>
    <tableColumn id="3" name="Asukasluku" dataDxfId="393" dataCellStyle="Normaali 2"/>
    <tableColumn id="4" name="Siirtyvät kustannukset yhteensä €" dataDxfId="392" dataCellStyle="Normaali 2"/>
    <tableColumn id="5" name="Laskennallinen rahoitus yhteensä (hyte-kriteeri €/as." dataDxfId="391" dataCellStyle="Normaali 2"/>
    <tableColumn id="6" name="Muutos laskennallisen rahoituksen ja siirtyvien kustannusten välillä (hyte-kriteeri €/as.), €" dataDxfId="390" dataCellStyle="Normaali 2">
      <calculatedColumnFormula>E12-D12</calculatedColumnFormula>
    </tableColumn>
    <tableColumn id="7" name="Muutos laskennallisen rahoituksen ja siirtyvien kustannusten välillä (hyte-kriteeri €/as.), €/as." dataDxfId="389" dataCellStyle="Normaali 2"/>
    <tableColumn id="8" name="Laskennallinen rahoitus yhteensä (hyte-kriteeri kertoimella) €" dataDxfId="388" dataCellStyle="Normaali 2"/>
    <tableColumn id="9" name="Muutos laskennallisen rahoituksen ja siirtyvien kustannusten välillä (hyte-kriteeri kertoimella), €" dataDxfId="387" dataCellStyle="Normaali 2"/>
    <tableColumn id="10" name="Muutos laskennallisen rahoituksen ja siirtyvien kustannusten välillä (hyte-kriteeri kertoimella), €/as." dataDxfId="386" dataCellStyle="Normaali 2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id="45" name="Taulukko45" displayName="Taulukko45" ref="A67:J90" totalsRowShown="0" headerRowDxfId="385" dataDxfId="384" headerRowCellStyle="Normaali 2" dataCellStyle="Normaali 2">
  <tableColumns count="10">
    <tableColumn id="1" name="Hyvinvointialuekoodi" dataDxfId="383" dataCellStyle="Normaali 2"/>
    <tableColumn id="2" name="Hyvinvointialue" dataDxfId="382" dataCellStyle="Normaali 2"/>
    <tableColumn id="3" name="Siirtymätasaus min/max euroa/asukas " dataDxfId="381" dataCellStyle="Normaali 2"/>
    <tableColumn id="4" name=" +/- 0 €/as" dataDxfId="380" dataCellStyle="Normaali 2"/>
    <tableColumn id="5" name=" +/- 10 €/as" dataDxfId="379" dataCellStyle="Normaali 2"/>
    <tableColumn id="6" name=" +/-30 €/as" dataDxfId="378" dataCellStyle="Normaali 2"/>
    <tableColumn id="7" name=" +60 €/as / _x000a_-60 €/as" dataDxfId="377" dataCellStyle="Normaali 2"/>
    <tableColumn id="8" name=" +90 €/as / _x000a_-75 €/as" dataDxfId="376" dataCellStyle="Normaali 2"/>
    <tableColumn id="9" name=" +150 €/as / _x000a_-90 €/as" dataDxfId="375" dataCellStyle="Normaali 2"/>
    <tableColumn id="10" name=" +200 €/as / _x000a_-100 €/as" dataDxfId="374" dataCellStyle="Normaali 2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id="44" name="Taulukko44" displayName="Taulukko44" ref="A38:J63" totalsRowShown="0" headerRowDxfId="373" tableBorderDxfId="372" headerRowCellStyle="Normaali 2">
  <tableColumns count="10">
    <tableColumn id="1" name="Hyvinvointialuekoodi" dataDxfId="371" dataCellStyle="Normaali 2"/>
    <tableColumn id="2" name="Hyvinvointialue" dataDxfId="370" dataCellStyle="Normaali 2"/>
    <tableColumn id="3" name="Vuosi" dataDxfId="369" dataCellStyle="Normaali 2"/>
    <tableColumn id="4" name="2023" dataDxfId="368" dataCellStyle="Normaali 2"/>
    <tableColumn id="5" name="2024" dataDxfId="367" dataCellStyle="Normaali 2"/>
    <tableColumn id="6" name="2025" dataDxfId="366" dataCellStyle="Normaali 2"/>
    <tableColumn id="7" name="2026" dataDxfId="365" dataCellStyle="Normaali 2"/>
    <tableColumn id="8" name="2027" dataDxfId="364" dataCellStyle="Normaali 2"/>
    <tableColumn id="9" name="2 028" dataDxfId="363" dataCellStyle="Normaali 2"/>
    <tableColumn id="10" name="2029" dataDxfId="362" dataCellStyle="Normaali 2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7" name="Taulukko7" displayName="Taulukko7" ref="A7:O31" totalsRowShown="0" headerRowDxfId="361" dataDxfId="359" headerRowBorderDxfId="360" headerRowCellStyle="Normaali 2" dataCellStyle="Normaali 2">
  <tableColumns count="15">
    <tableColumn id="1" name="Hyvinvointialuekoodi" dataDxfId="358" dataCellStyle="Normaali 2"/>
    <tableColumn id="2" name="Hyvinvointialue" dataDxfId="357" dataCellStyle="Normaali 2"/>
    <tableColumn id="3" name="Asukasperusteisuus" dataDxfId="356" dataCellStyle="Normaali 2"/>
    <tableColumn id="4" name="Terveydenhuollon palvelutarve" dataDxfId="355" dataCellStyle="Normaali 2"/>
    <tableColumn id="5" name="Vanhustenhuollon palvelutarve" dataDxfId="354" dataCellStyle="Normaali 2"/>
    <tableColumn id="6" name="Sosiaalihuollon palvelutarve" dataDxfId="353" dataCellStyle="Normaali 2"/>
    <tableColumn id="7" name="Vieraskielisyys" dataDxfId="352" dataCellStyle="Normaali 2"/>
    <tableColumn id="8" name="Kaksikielisyys" dataDxfId="351" dataCellStyle="Normaali 2"/>
    <tableColumn id="9" name="Asukastiheys" dataDxfId="350" dataCellStyle="Normaali 2"/>
    <tableColumn id="10" name="Saaristoisuus" dataDxfId="349" dataCellStyle="Normaali 2">
      <calculatedColumnFormula>J26*$J$21</calculatedColumnFormula>
    </tableColumn>
    <tableColumn id="11" name="Hyte-kriteeri" dataDxfId="348" dataCellStyle="Normaali 2"/>
    <tableColumn id="12" name="Saamenkielisyys" dataDxfId="347" dataCellStyle="Normaali 2"/>
    <tableColumn id="15" name="YO-lisä" dataDxfId="346" dataCellStyle="Normaali 2">
      <calculatedColumnFormula>$M$21*M26</calculatedColumnFormula>
    </tableColumn>
    <tableColumn id="13" name="Yhteensä, €" dataDxfId="345" dataCellStyle="Normaali 2">
      <calculatedColumnFormula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</calculatedColumnFormula>
    </tableColumn>
    <tableColumn id="14" name="Yhteensä, €/as." dataDxfId="344" dataCellStyle="Normaali 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35" name="Taulukko35" displayName="Taulukko35" ref="A36:H59" totalsRowShown="0" headerRowDxfId="560" dataDxfId="558" headerRowBorderDxfId="559" headerRowCellStyle="Normaali 2" dataCellStyle="Normaali 2">
  <tableColumns count="8">
    <tableColumn id="1" name="Hyvinvointialuekoodi" dataDxfId="557" dataCellStyle="Normaali 2"/>
    <tableColumn id="2" name="Hyvinvointialue" dataDxfId="556" dataCellStyle="Normaali 2"/>
    <tableColumn id="3" name="Asukasluku" dataDxfId="555" dataCellStyle="Normaali 2"/>
    <tableColumn id="4" name="Siirtyvät sote-kustannukset, €" dataDxfId="554" dataCellStyle="Normaali 2"/>
    <tableColumn id="5" name="Siirtyvät sote-kustannukset, €/as." dataDxfId="553" dataCellStyle="Normaali 2">
      <calculatedColumnFormula>D37/C10</calculatedColumnFormula>
    </tableColumn>
    <tableColumn id="9" name="Laskennallinen sote- rahoitus €" dataDxfId="552" dataCellStyle="Normaali 2"/>
    <tableColumn id="10" name="Muutos laskennallisen rahoituksen ja siirtyvien kustannusten välillä , €" dataDxfId="551" dataCellStyle="Normaali 2">
      <calculatedColumnFormula>F37-D37</calculatedColumnFormula>
    </tableColumn>
    <tableColumn id="11" name="Muutos laskennallisen rahoituksen ja siirtyvien kustannusten välillä , €/as." dataDxfId="550" dataCellStyle="Normaali 2">
      <calculatedColumnFormula>G37/C37</calculatedColumnFormula>
    </tableColumn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id="22" name="Taulukko22" displayName="Taulukko22" ref="A34:O58" totalsRowShown="0" headerRowDxfId="343" dataDxfId="342" tableBorderDxfId="341" dataCellStyle="Normaali 2">
  <tableColumns count="15">
    <tableColumn id="1" name="Hyvinvointialuekoodi" dataDxfId="340" dataCellStyle="Normaali 2"/>
    <tableColumn id="2" name="Hyvinvointialue" dataDxfId="339" dataCellStyle="Normaali 2"/>
    <tableColumn id="3" name="Asukasperusteisuus" dataDxfId="338" dataCellStyle="Normaali 2"/>
    <tableColumn id="4" name="Terveydenhuollon palvelutarve" dataDxfId="337" dataCellStyle="Normaali 2"/>
    <tableColumn id="5" name="Vanhustenhuollon palvelutarve" dataDxfId="336" dataCellStyle="Normaali 2"/>
    <tableColumn id="6" name="Sosiaalihuollon palvelutarve" dataDxfId="335" dataCellStyle="Normaali 2"/>
    <tableColumn id="7" name="Vieraskielisyys" dataDxfId="334" dataCellStyle="Normaali 2"/>
    <tableColumn id="8" name="Kaksikielisyys" dataDxfId="333" dataCellStyle="Normaali 2"/>
    <tableColumn id="9" name="Asukastiheys" dataDxfId="332" dataCellStyle="Normaali 2"/>
    <tableColumn id="10" name="Saaristoisuus" dataDxfId="331" dataCellStyle="Normaali 2"/>
    <tableColumn id="11" name="Hyte-kriteeri" dataDxfId="330" dataCellStyle="Normaali 2"/>
    <tableColumn id="12" name="Saamenkielisyys" dataDxfId="329" dataCellStyle="Normaali 2"/>
    <tableColumn id="15" name="YO-lisä" dataDxfId="328" dataCellStyle="Normaali 2">
      <calculatedColumnFormula>M8/$C26</calculatedColumnFormula>
    </tableColumn>
    <tableColumn id="13" name="Yhteensä, €/as." dataDxfId="327" dataCellStyle="Normaali 2"/>
    <tableColumn id="14" name="Yhteensä, €/as.2" dataDxfId="326" dataCellStyle="Normaali 2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14" name="Taulukko14" displayName="Taulukko14" ref="A11:H305" totalsRowShown="0" headerRowDxfId="325" dataDxfId="324" headerRowCellStyle="Normaali 2" dataCellStyle="Normaali 2">
  <autoFilter ref="A11:H30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Kuntanumero" dataDxfId="323"/>
    <tableColumn id="2" name="Kunta" dataDxfId="322"/>
    <tableColumn id="3" name="Hyvinvointialuekoodi" dataDxfId="321"/>
    <tableColumn id="4" name="Sote-nettokustannukset, TAE2021" dataDxfId="320" dataCellStyle="Normaali 2"/>
    <tableColumn id="5" name="Sote-nettokustannukset, TA2022" dataDxfId="319" dataCellStyle="Normaali 2"/>
    <tableColumn id="6" name="Sote-kustannukset keskiarvo 2021-2022" dataDxfId="318" dataCellStyle="Normaali 2">
      <calculatedColumnFormula>(D12+E12)/2</calculatedColumnFormula>
    </tableColumn>
    <tableColumn id="7" name="Kunnan osuus koko maan sote-kustannusten keskiarvosta" dataDxfId="317" dataCellStyle="Normaali 2">
      <calculatedColumnFormula>F12/F$12</calculatedColumnFormula>
    </tableColumn>
    <tableColumn id="8" name="Siirtyvät sote-nettokustannukset 2022 tasossa" dataDxfId="316" dataCellStyle="Normaali 2">
      <calculatedColumnFormula>G12*E$12</calculatedColumnFormula>
    </tableColumn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15" name="Taulukko15" displayName="Taulukko15" ref="J12:L35" totalsRowShown="0" headerRowDxfId="315" headerRowCellStyle="Normaali 2">
  <autoFilter ref="J12:L35">
    <filterColumn colId="0" hiddenButton="1"/>
    <filterColumn colId="1" hiddenButton="1"/>
    <filterColumn colId="2" hiddenButton="1"/>
  </autoFilter>
  <tableColumns count="3">
    <tableColumn id="1" name="Hyvinvointialuekoodi" dataDxfId="314" dataCellStyle="Normaali 2"/>
    <tableColumn id="2" name="Hyvinvointialue" dataDxfId="313" dataCellStyle="Normaali 2"/>
    <tableColumn id="3" name="Siirtyvät sote-kustannukset v. 2022 tasossa" dataDxfId="312" dataCellStyle="Normaali 2">
      <calculatedColumnFormula>SUMIF($C$13:$C$305,J13,#REF!)*1000</calculatedColumnFormula>
    </tableColumn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id="30" name="Taulukko30" displayName="Taulukko30" ref="A11:H305" totalsRowShown="0" headerRowDxfId="311" dataDxfId="310" headerRowCellStyle="Normaali 2" dataCellStyle="Normaali 2">
  <autoFilter ref="A11:H30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Kuntanumero" dataDxfId="309"/>
    <tableColumn id="2" name="Kunta" dataDxfId="308"/>
    <tableColumn id="3" name="Hyvinvointialuekoodi" dataDxfId="307"/>
    <tableColumn id="4" name="Pela-nettokustannukset, TAE2021" dataDxfId="306" dataCellStyle="Normaali 2"/>
    <tableColumn id="5" name="Pela-nettokustannukset, TA2022" dataDxfId="305" dataCellStyle="Normaali 2"/>
    <tableColumn id="6" name="Pela-kustannukset keskiarvo 2021-2022" dataDxfId="304" dataCellStyle="Normaali 2">
      <calculatedColumnFormula>(D12+E12)/2</calculatedColumnFormula>
    </tableColumn>
    <tableColumn id="7" name="Kunnan osuus koko maan pela-kustannusten keskiarvosta" dataDxfId="303" dataCellStyle="Normaali 2">
      <calculatedColumnFormula>F12/F$12</calculatedColumnFormula>
    </tableColumn>
    <tableColumn id="8" name="Siirtyvät pela-nettokustannukset laskelmaan kunnittain" dataDxfId="302" dataCellStyle="Normaali 2">
      <calculatedColumnFormula>(G12*E$12)*(-1)</calculatedColumnFormula>
    </tableColumn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id="31" name="Taulukko31" displayName="Taulukko31" ref="J11:L34" totalsRowShown="0" headerRowDxfId="301" headerRowCellStyle="Normaali 2">
  <autoFilter ref="J11:L34">
    <filterColumn colId="0" hiddenButton="1"/>
    <filterColumn colId="1" hiddenButton="1"/>
    <filterColumn colId="2" hiddenButton="1"/>
  </autoFilter>
  <tableColumns count="3">
    <tableColumn id="1" name="Hyvinvointialuekoodi" dataDxfId="300" dataCellStyle="Normaali 2"/>
    <tableColumn id="2" name="Hyvinvointialue" dataDxfId="299" dataCellStyle="Normaali 2"/>
    <tableColumn id="3" name="Siirtyvät pela-kustannukset v. 2022 tasossa" dataDxfId="298" dataCellStyle="Normaali 2">
      <calculatedColumnFormula>SUMIF($C$13:$C$305,J12,$H$13:$H$305)*1000</calculatedColumnFormula>
    </tableColumn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id="5" name="Taulukko5" displayName="Taulukko5" ref="A3:K27" totalsRowShown="0" headerRowDxfId="297" headerRowBorderDxfId="296">
  <tableColumns count="11">
    <tableColumn id="1" name="Hyvinvointialuekoodi" dataDxfId="295" dataCellStyle="Normaali 2"/>
    <tableColumn id="2" name="Hyvinvointialue" dataDxfId="294" dataCellStyle="Normaali 2"/>
    <tableColumn id="3" name="Asukasluku" dataDxfId="293" dataCellStyle="Normaali 2"/>
    <tableColumn id="4" name="Ruotsinkielisten määrä kaksikielisillä hyvinvointialueilla" dataDxfId="292" dataCellStyle="Normaali 2"/>
    <tableColumn id="5" name="Saamenkielisten määrä hyvinvointialueella, jolla sijaitsee saamelaisten kotiseutualueen kunnat" dataDxfId="291" dataCellStyle="Normaali 2"/>
    <tableColumn id="6" name="Vieraskielisten määrä" dataDxfId="290" dataCellStyle="Normaali 2"/>
    <tableColumn id="7" name="Maapinta-ala, km2" dataDxfId="289" dataCellStyle="Normaali 2"/>
    <tableColumn id="8" name="Asukastiheys" dataDxfId="288" dataCellStyle="Normaali 5">
      <calculatedColumnFormula>C4/G4</calculatedColumnFormula>
    </tableColumn>
    <tableColumn id="9" name="Asukastiheys-kerroin" dataDxfId="287" dataCellStyle="Normaali 2">
      <calculatedColumnFormula>H$26/H4</calculatedColumnFormula>
    </tableColumn>
    <tableColumn id="10" name="Saaristokuntien saaristossa asuvien määrä" dataDxfId="286" dataCellStyle="Normaali 2"/>
    <tableColumn id="11" name="Yo-sairaala-alueiden asukasluku" dataDxfId="285" dataCellStyle="Normaali 2">
      <calculatedColumnFormula>Taulukko5[[#This Row],[Asukasluku]]</calculatedColumnFormula>
    </tableColumn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id="13" name="Taulukko13" displayName="Taulukko13" ref="A29:M52" totalsRowShown="0" headerRowDxfId="284" dataDxfId="282" headerRowBorderDxfId="283" headerRowCellStyle="Normaali 2" dataCellStyle="Normaali 2">
  <tableColumns count="13">
    <tableColumn id="1" name="Hyvinvointialuekoodi" dataDxfId="281" dataCellStyle="Normaali 2"/>
    <tableColumn id="2" name="Hyvinvointialue" dataDxfId="280" dataCellStyle="Normaali 2"/>
    <tableColumn id="3" name="Asukasluku" dataDxfId="279" dataCellStyle="Normaali 2"/>
    <tableColumn id="4" name="Kokonaispinta-ala" dataDxfId="278" dataCellStyle="Normaali 2"/>
    <tableColumn id="5" name="Asukastiheys" dataDxfId="277" dataCellStyle="Normaali 2">
      <calculatedColumnFormula>C30/D30</calculatedColumnFormula>
    </tableColumn>
    <tableColumn id="6" name="Asukastiheyskerroin" dataDxfId="276" dataCellStyle="Normaali 2">
      <calculatedColumnFormula>$E$52/E30</calculatedColumnFormula>
    </tableColumn>
    <tableColumn id="7" name="RL I" dataDxfId="275" dataCellStyle="Normaali 2"/>
    <tableColumn id="8" name="RL II" dataDxfId="274" dataCellStyle="Normaali 2"/>
    <tableColumn id="12" name="RL III" dataDxfId="273" dataCellStyle="Normaali 2"/>
    <tableColumn id="13" name="RLIV" dataDxfId="272" dataCellStyle="Normaali 2"/>
    <tableColumn id="9" name="Yhteensä RL I-IV " dataDxfId="271" dataCellStyle="Normaali 2"/>
    <tableColumn id="10" name="Painotettu summa" dataDxfId="270" dataCellStyle="Normaali 2">
      <calculatedColumnFormula>K30/C30</calculatedColumnFormula>
    </tableColumn>
    <tableColumn id="11" name="Riskikerroin" dataDxfId="269" dataCellStyle="Normaali 2">
      <calculatedColumnFormula>L30/$L$52</calculatedColumnFormula>
    </tableColumn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id="46" name="Taulukko46" displayName="Taulukko46" ref="A3:J297" totalsRowShown="0" headerRowDxfId="268" dataDxfId="267" headerRowCellStyle="Normaali 2">
  <autoFilter ref="A3:J29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Kuntakoodi" dataDxfId="266"/>
    <tableColumn id="2" name="Kunta" dataDxfId="265"/>
    <tableColumn id="3" name="Hyvinvointialuekoodi" dataDxfId="264"/>
    <tableColumn id="4" name="Asukasluku" dataDxfId="263"/>
    <tableColumn id="5" name="Ruotsinkieliset" dataDxfId="262"/>
    <tableColumn id="6" name="Saamenkieliset" dataDxfId="261"/>
    <tableColumn id="7" name="Vieraskieliset" dataDxfId="260"/>
    <tableColumn id="8" name="Maapinta-ala, km2" dataDxfId="259"/>
    <tableColumn id="9" name="Asukastiheys" dataDxfId="258"/>
    <tableColumn id="10" name="Kokonaispinta-ala, km2" dataDxfId="257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id="47" name="Taulukko47" displayName="Taulukko47" ref="L3:U26" totalsRowShown="0" headerRowDxfId="256" dataDxfId="255" headerRowCellStyle="Normaali 2">
  <autoFilter ref="L3:U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Hyvinvointialuekoodi" dataDxfId="254" dataCellStyle="Normaali 2"/>
    <tableColumn id="2" name="Hyvinvointialue" dataDxfId="253" dataCellStyle="Normaali 2"/>
    <tableColumn id="3" name="Asukasluku" dataDxfId="252">
      <calculatedColumnFormula>SUMIF($C$5:$C$298,$L4,D$5:D$298)</calculatedColumnFormula>
    </tableColumn>
    <tableColumn id="4" name="Ruotsinkieliset" dataDxfId="251">
      <calculatedColumnFormula>SUMIF($C$5:$C$298,$L4,E$5:E$298)</calculatedColumnFormula>
    </tableColumn>
    <tableColumn id="5" name="Saamenkieliset" dataDxfId="250">
      <calculatedColumnFormula>SUMIF($C$5:$C$298,$L4,F$5:F$298)</calculatedColumnFormula>
    </tableColumn>
    <tableColumn id="6" name="Vieraskieliset" dataDxfId="249">
      <calculatedColumnFormula>SUMIF($C$5:$C$298,$L4,G$5:G$298)</calculatedColumnFormula>
    </tableColumn>
    <tableColumn id="7" name="Maapinta-ala" dataDxfId="248">
      <calculatedColumnFormula>SUMIF($C$5:$C$298,$L4,H$5:H$298)</calculatedColumnFormula>
    </tableColumn>
    <tableColumn id="8" name="Asukastiheys" dataDxfId="247">
      <calculatedColumnFormula>N4/R4</calculatedColumnFormula>
    </tableColumn>
    <tableColumn id="9" name="Asukastiheyskerroin" dataDxfId="246">
      <calculatedColumnFormula>S$4/S4</calculatedColumnFormula>
    </tableColumn>
    <tableColumn id="10" name="Kokonais pinta-ala" dataDxfId="245">
      <calculatedColumnFormula>SUMIF($C$5:$C$298,$L4,J$5:J$298)</calculatedColumnFormula>
    </tableColumn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id="48" name="Taulukko48" displayName="Taulukko48" ref="W5:AE13" totalsRowShown="0" headerRowDxfId="244" dataDxfId="243">
  <autoFilter ref="W5:AE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Kuntakoodi" dataDxfId="242"/>
    <tableColumn id="2" name="Kunta" dataDxfId="241"/>
    <tableColumn id="3" name="Kunnan väestö" dataDxfId="240"/>
    <tableColumn id="4" name="Saaristoväestö" dataDxfId="239"/>
    <tableColumn id="5" name="Hv-aluekoodi" dataDxfId="238"/>
    <tableColumn id="6" name="Hv-alue" dataDxfId="237"/>
    <tableColumn id="7" name="Hv-aluekoodi " dataDxfId="236"/>
    <tableColumn id="8" name="Hv-alue " dataDxfId="235"/>
    <tableColumn id="9" name="Saaristoväestö " dataDxfId="23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6" name="Taulukko36" displayName="Taulukko36" ref="A62:I85" totalsRowShown="0" headerRowDxfId="549" dataDxfId="547" headerRowBorderDxfId="548" headerRowCellStyle="Prosenttia 2" dataCellStyle="Prosenttia 2">
  <tableColumns count="9">
    <tableColumn id="1" name="Hyvinvointialuekoodi" dataDxfId="546" dataCellStyle="Normaali 2"/>
    <tableColumn id="2" name="Hyvinvointialue" dataDxfId="545" dataCellStyle="Normaali 2"/>
    <tableColumn id="3" name="Asukasluku" dataDxfId="544" dataCellStyle="Normaali 2"/>
    <tableColumn id="4" name="Siirtyvät pelastustoimen kustannukset, €" dataDxfId="543" dataCellStyle="Normaali 2"/>
    <tableColumn id="5" name="Siirtyvät pelastustoimen kustannukset, €/as." dataDxfId="542" dataCellStyle="Normaali 2">
      <calculatedColumnFormula>D63/Määräytymistekijät!C4</calculatedColumnFormula>
    </tableColumn>
    <tableColumn id="6" name="Laskennallinen pelastustoimen  rahoitus, €" dataDxfId="541" dataCellStyle="Prosenttia 2"/>
    <tableColumn id="7" name="Laskennallinen pelastustoimen rahoitus, €/as" dataDxfId="540" dataCellStyle="Prosenttia 2">
      <calculatedColumnFormula>F63/C63</calculatedColumnFormula>
    </tableColumn>
    <tableColumn id="8" name="Muutos laskennallisen rahoituksen ja siirtyvien kustannusten välillä , €" dataDxfId="539" dataCellStyle="Prosenttia 2"/>
    <tableColumn id="9" name="Muutos laskennallisen rahoituksen ja siirtyvien kustannusten välillä , €/as." dataDxfId="538" dataCellStyle="Prosenttia 2">
      <calculatedColumnFormula>H63/C63</calculatedColumnFormula>
    </tableColumn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id="16" name="Taulukko16" displayName="Taulukko16" ref="A4:G28" totalsRowShown="0" headerRowDxfId="233" dataDxfId="231" headerRowBorderDxfId="232" headerRowCellStyle="Normaali 2" dataCellStyle="Normaali 2">
  <tableColumns count="7">
    <tableColumn id="1" name="Hyvinvointialuekoodi" dataDxfId="230" dataCellStyle="Normaali 13"/>
    <tableColumn id="2" name="Hyvinvointialue" dataDxfId="229" dataCellStyle="Normaali 2"/>
    <tableColumn id="3" name="Asukasluku 2020" dataDxfId="228" dataCellStyle="Normaali 2"/>
    <tableColumn id="4" name="Prosessi-indikaattorit" dataDxfId="227" dataCellStyle="Normaali 2"/>
    <tableColumn id="5" name="Tulos-indikaattorit" dataDxfId="226" dataCellStyle="Normaali 2"/>
    <tableColumn id="6" name="Keski-arvo" dataDxfId="225" dataCellStyle="Normaali 2"/>
    <tableColumn id="7" name="Painotettu hyte-kerroin rahoituslaskelmaan" dataDxfId="224" dataCellStyle="Normaali 2"/>
  </tableColumns>
  <tableStyleInfo name="TableStyleLight9" showFirstColumn="0" showLastColumn="0" showRowStripes="1" showColumnStripes="0"/>
</table>
</file>

<file path=xl/tables/table31.xml><?xml version="1.0" encoding="utf-8"?>
<table xmlns="http://schemas.openxmlformats.org/spreadsheetml/2006/main" id="17" name="Taulukko17" displayName="Taulukko17" ref="A30:O52" totalsRowShown="0" headerRowDxfId="223" dataDxfId="221" headerRowBorderDxfId="222" headerRowCellStyle="Normaali 13" dataCellStyle="Normaali 13">
  <tableColumns count="15">
    <tableColumn id="1" name="Hyvinvointialuekoodi" dataDxfId="220" dataCellStyle="Normaali 13"/>
    <tableColumn id="2" name="Hyvinvointialue" dataDxfId="219" dataCellStyle="Normaali 13"/>
    <tableColumn id="3" name="Miniinterventio" dataDxfId="218" dataCellStyle="Normaali 13"/>
    <tableColumn id="4" name="Rokotuskattavuus" dataDxfId="217" dataCellStyle="Normaali 13"/>
    <tableColumn id="5" name="Työttömientarkastukset" dataDxfId="216" dataCellStyle="Normaali 13"/>
    <tableColumn id="6" name="Koulupsykologi" dataDxfId="215" dataCellStyle="Normaali 13"/>
    <tableColumn id="7" name="Koulukuraattori" dataDxfId="214" dataCellStyle="Normaali 13"/>
    <tableColumn id="8" name="Vammatjamyrkytykset" dataDxfId="213" dataCellStyle="Normaali 13"/>
    <tableColumn id="9" name="Lonkkamurtumat" dataDxfId="212" dataCellStyle="Normaali 13"/>
    <tableColumn id="10" name="NEET" dataDxfId="211" dataCellStyle="Normaali 13"/>
    <tableColumn id="11" name="Toimeentulotuki" dataDxfId="210" dataCellStyle="Normaali 13"/>
    <tableColumn id="12" name="Työkyvyttömyys" dataDxfId="209" dataCellStyle="Normaali 13"/>
    <tableColumn id="13" name="PROSESSI.mean" dataDxfId="208" dataCellStyle="Normaali 13"/>
    <tableColumn id="14" name="TULOS.mean" dataDxfId="207" dataCellStyle="Normaali 13"/>
    <tableColumn id="15" name="SOTE.keskiarvo" dataDxfId="206" dataCellStyle="Normaali 13"/>
  </tableColumns>
  <tableStyleInfo name="TableStyleLight9" showFirstColumn="0" showLastColumn="0" showRowStripes="1" showColumnStripes="0"/>
</table>
</file>

<file path=xl/tables/table32.xml><?xml version="1.0" encoding="utf-8"?>
<table xmlns="http://schemas.openxmlformats.org/spreadsheetml/2006/main" id="18" name="Taulukko18" displayName="Taulukko18" ref="A4:R27" totalsRowShown="0" headerRowDxfId="205" dataDxfId="203" headerRowBorderDxfId="204" dataCellStyle="Normaali 11">
  <tableColumns count="18">
    <tableColumn id="1" name="Hyvinvointialuekoodi" dataDxfId="202" dataCellStyle="Normaali 2"/>
    <tableColumn id="2" name="Hyvinvointialue" dataDxfId="201" dataCellStyle="Normaali 2"/>
    <tableColumn id="3" name="Asukasluku" dataDxfId="200" dataCellStyle="Normaali 2"/>
    <tableColumn id="4" name="TH:n sektoripaino" dataDxfId="199"/>
    <tableColumn id="5" name="VH:n sektoripaino" dataDxfId="198"/>
    <tableColumn id="6" name="SH:n sektoripaino" dataDxfId="197"/>
    <tableColumn id="7" name="TH:n tarvekerroin" dataDxfId="196"/>
    <tableColumn id="8" name="VH:n tarvekerroin" dataDxfId="195"/>
    <tableColumn id="9" name="SH:n tarvekerroin" dataDxfId="194"/>
    <tableColumn id="10" name="Yhteensä" dataDxfId="193" dataCellStyle="Normaali 11"/>
    <tableColumn id="11" name="TH:n tarvekerroin painotettu 2020 asukasluvulla" dataDxfId="192" dataCellStyle="Normaali 11"/>
    <tableColumn id="12" name="VH:n tarvekerroin painotettu 2020 asukasluvulla" dataDxfId="191" dataCellStyle="Normaali 11"/>
    <tableColumn id="13" name="SH:n tarvekerroin painotettu 2020 asukasluvulla" dataDxfId="190" dataCellStyle="Normaali 11"/>
    <tableColumn id="14" name="Yhteensä2" dataDxfId="189" dataCellStyle="Normaali 11"/>
    <tableColumn id="15" name="Laskennassa käytettävä TH:n palvelutarvekerroin" dataDxfId="188" dataCellStyle="Normaali 11"/>
    <tableColumn id="16" name="Laskennassa käytettävä VH:n palvelutarvekerroin" dataDxfId="187" dataCellStyle="Normaali 11"/>
    <tableColumn id="17" name="Laskennassa käytettävä SH:n palvelutarvekerroin" dataDxfId="186" dataCellStyle="Normaali 11"/>
    <tableColumn id="18" name="Sote-palvelutarvekerroin yhteensä" dataDxfId="185" dataCellStyle="Normaali 11">
      <calculatedColumnFormula>J5/$N$27</calculatedColumnFormula>
    </tableColumn>
  </tableColumns>
  <tableStyleInfo name="TableStyleLight9" showFirstColumn="0" showLastColumn="0" showRowStripes="1" showColumnStripes="0"/>
</table>
</file>

<file path=xl/tables/table33.xml><?xml version="1.0" encoding="utf-8"?>
<table xmlns="http://schemas.openxmlformats.org/spreadsheetml/2006/main" id="50" name="Taulukko2851" displayName="Taulukko2851" ref="A4:BC48" totalsRowShown="0" headerRowDxfId="184" dataDxfId="183" headerRowCellStyle="Normaali 2" dataCellStyle="Normaali 2">
  <tableColumns count="55">
    <tableColumn id="1" name="Manner-Suomi kuntatalous yhteensä" dataDxfId="182" dataCellStyle="Normaali 2 2 2"/>
    <tableColumn id="2" name="Sosiaali- ja terveystoiminta yhteensä" dataDxfId="181" dataCellStyle="Normaali 2"/>
    <tableColumn id="3" name="Yleishallinto" dataDxfId="180" dataCellStyle="Normaali 2"/>
    <tableColumn id="4" name="Lastensuojelun laitos- ja perhehoito" dataDxfId="179" dataCellStyle="Normaali 2"/>
    <tableColumn id="5" name="Lastensuojelun avohuoltopalvelut" dataDxfId="178" dataCellStyle="Normaali 2"/>
    <tableColumn id="6" name="Muut lasten ja perheiden avopalvelut" dataDxfId="177" dataCellStyle="Normaali 2"/>
    <tableColumn id="7" name="Ikääntyneiden laitoshoito" dataDxfId="176" dataCellStyle="Normaali 2"/>
    <tableColumn id="8" name="Ikääntyneiden ympärivuorokautisen hoivan asumispalvelut" dataDxfId="175" dataCellStyle="Normaali 2"/>
    <tableColumn id="9" name="Muut ikääntyneiden palvelut" dataDxfId="174" dataCellStyle="Normaali 2"/>
    <tableColumn id="10" name="Vammaisten laitoshoito" dataDxfId="173" dataCellStyle="Normaali 2"/>
    <tableColumn id="11" name="Vammaisten ympärivuorokautisen hoivan asumispalvelut" dataDxfId="172" dataCellStyle="Normaali 2"/>
    <tableColumn id="12" name="Muut vammaisten palvelut" dataDxfId="171" dataCellStyle="Normaali 2"/>
    <tableColumn id="13" name="Kotihoito" dataDxfId="170" dataCellStyle="Normaali 2"/>
    <tableColumn id="14" name="Työllistymistä tukevat palvelut" dataDxfId="169" dataCellStyle="Normaali 2"/>
    <tableColumn id="15" name="Päihdehuollon erityispalvelut" dataDxfId="168" dataCellStyle="Normaali 2"/>
    <tableColumn id="16" name="Perusterveydenhuollon avohoito" dataDxfId="167" dataCellStyle="Normaali 2"/>
    <tableColumn id="17" name="Suun terveydenhuolto" dataDxfId="166" dataCellStyle="Normaali 2"/>
    <tableColumn id="18" name="Perusterveydenhuollon vuodeosastohoito" dataDxfId="165" dataCellStyle="Normaali 2"/>
    <tableColumn id="19" name="Erikoissairaanhoito" dataDxfId="164" dataCellStyle="Normaali 2"/>
    <tableColumn id="20" name="Ympäristöterveydenhuolto" dataDxfId="163" dataCellStyle="Normaali 2"/>
    <tableColumn id="21" name="Muu sosiaali- ja terveystoiminta" dataDxfId="162" dataCellStyle="Normaali 2"/>
    <tableColumn id="22" name="Varhaiskasvatus" dataDxfId="161" dataCellStyle="Normaali 2"/>
    <tableColumn id="23" name="Esiopetus" dataDxfId="160" dataCellStyle="Normaali 2"/>
    <tableColumn id="24" name="Perusopetus" dataDxfId="159" dataCellStyle="Normaali 2"/>
    <tableColumn id="25" name="Lukiokoulutus" dataDxfId="158" dataCellStyle="Normaali 2"/>
    <tableColumn id="26" name="Ammatillinen koulutus" dataDxfId="157" dataCellStyle="Normaali 2"/>
    <tableColumn id="27" name="Kansalaisopistojen vapaa sivistystyö" dataDxfId="156" dataCellStyle="Normaali 2"/>
    <tableColumn id="28" name="Taiteen perusopetus" dataDxfId="155" dataCellStyle="Normaali 2"/>
    <tableColumn id="29" name="Muu opetustoiminta" dataDxfId="154" dataCellStyle="Normaali 2"/>
    <tableColumn id="30" name="Kirjastotoiminta" dataDxfId="153" dataCellStyle="Normaali 2"/>
    <tableColumn id="31" name="Liikunta ja ulkoilu" dataDxfId="152" dataCellStyle="Normaali 2"/>
    <tableColumn id="32" name="Nuorisotoiminta" dataDxfId="151" dataCellStyle="Normaali 2"/>
    <tableColumn id="33" name="Museo- ja näyttelytoiminta" dataDxfId="150" dataCellStyle="Normaali 2"/>
    <tableColumn id="34" name="Teatteri-, tanssi- ja sirkustoiminta" dataDxfId="149" dataCellStyle="Normaali 2"/>
    <tableColumn id="35" name="Musiikkitoiminta" dataDxfId="148" dataCellStyle="Normaali 2"/>
    <tableColumn id="36" name="Muu kulttuuritoiminta" dataDxfId="147" dataCellStyle="Normaali 2"/>
    <tableColumn id="37" name="Opetus- ja kulttuuritoiminta yhteensä" dataDxfId="146" dataCellStyle="Normaali 2"/>
    <tableColumn id="38" name="Yhdyskuntasuunnittelu" dataDxfId="145" dataCellStyle="Normaali 2"/>
    <tableColumn id="39" name="Rakennusvalvonta" dataDxfId="144" dataCellStyle="Normaali 2"/>
    <tableColumn id="40" name="Ympäristön huolto" dataDxfId="143" dataCellStyle="Normaali 2"/>
    <tableColumn id="41" name="Liikenneväylät" dataDxfId="142" dataCellStyle="Normaali 2"/>
    <tableColumn id="42" name="Puistot ja yleiset alueet" dataDxfId="141" dataCellStyle="Normaali 2"/>
    <tableColumn id="43" name="Palo- ja pelastustoiminta" dataDxfId="140" dataCellStyle="Normaali 2"/>
    <tableColumn id="44" name="Lomituspalvelut" dataDxfId="139" dataCellStyle="Normaali 2"/>
    <tableColumn id="45" name="Tila- ja vuokrauspalvelut" dataDxfId="138" dataCellStyle="Normaali 2"/>
    <tableColumn id="46" name="Tukipalvelut" dataDxfId="137" dataCellStyle="Normaali 2"/>
    <tableColumn id="47" name="Elinkeinoelämän edistäminen" dataDxfId="136" dataCellStyle="Normaali 2"/>
    <tableColumn id="48" name="Vesihuolto" dataDxfId="135" dataCellStyle="Normaali 2"/>
    <tableColumn id="49" name="Energiahuolto" dataDxfId="134" dataCellStyle="Normaali 2"/>
    <tableColumn id="50" name="Jätehuolto" dataDxfId="133" dataCellStyle="Normaali 2"/>
    <tableColumn id="51" name="Joukkoliikenne" dataDxfId="132" dataCellStyle="Normaali 2"/>
    <tableColumn id="52" name="Satamatoiminta" dataDxfId="131" dataCellStyle="Normaali 2"/>
    <tableColumn id="53" name="Maa- ja metsätilat" dataDxfId="130" dataCellStyle="Normaali 2"/>
    <tableColumn id="54" name="Muu toiminta" dataDxfId="129" dataCellStyle="Normaali 2"/>
    <tableColumn id="55" name="Käyttötalous yhteensä" dataDxfId="128" dataCellStyle="Normaali 2"/>
  </tableColumns>
  <tableStyleInfo name="TableStyleLight9" showFirstColumn="0" showLastColumn="0" showRowStripes="1" showColumnStripes="0"/>
</table>
</file>

<file path=xl/tables/table34.xml><?xml version="1.0" encoding="utf-8"?>
<table xmlns="http://schemas.openxmlformats.org/spreadsheetml/2006/main" id="51" name="Taulukko3952" displayName="Taulukko3952" ref="BE4:DG48" totalsRowShown="0" headerRowDxfId="127" dataDxfId="126" headerRowCellStyle="Normaali 2" dataCellStyle="Normaali 2">
  <autoFilter ref="BE4:DG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</autoFilter>
  <tableColumns count="55">
    <tableColumn id="1" name="Manner-Suomen kunnat yhteensä" dataDxfId="125" dataCellStyle="Normaali 2 2 2"/>
    <tableColumn id="2" name="Sosiaali- ja terveystoiminta yhteensä" dataDxfId="124" dataCellStyle="Normaali 2"/>
    <tableColumn id="3" name="Yleishallinto" dataDxfId="123" dataCellStyle="Normaali 2"/>
    <tableColumn id="4" name="Lastensuojelun laitos- ja perhehoito" dataDxfId="122" dataCellStyle="Normaali 2"/>
    <tableColumn id="5" name="Lastensuojelun avohuoltopalvelut" dataDxfId="121" dataCellStyle="Normaali 2"/>
    <tableColumn id="6" name="Muut lasten ja perheiden avopalvelut" dataDxfId="120" dataCellStyle="Normaali 2"/>
    <tableColumn id="7" name="Ikääntyneiden laitoshoito" dataDxfId="119" dataCellStyle="Normaali 2"/>
    <tableColumn id="8" name="Ikääntyneiden ympärivuorokautisen hoivan asumispalvelut" dataDxfId="118" dataCellStyle="Normaali 2"/>
    <tableColumn id="9" name="Muut ikääntyneiden palvelut" dataDxfId="117" dataCellStyle="Normaali 2"/>
    <tableColumn id="10" name="Vammaisten laitoshoito" dataDxfId="116" dataCellStyle="Normaali 2"/>
    <tableColumn id="11" name="Vammaisten ympärivuorokautisen hoivan asumispalvelut" dataDxfId="115" dataCellStyle="Normaali 2"/>
    <tableColumn id="12" name="Muut vammaisten palvelut" dataDxfId="114" dataCellStyle="Normaali 2"/>
    <tableColumn id="13" name="Kotihoito" dataDxfId="113" dataCellStyle="Normaali 2"/>
    <tableColumn id="14" name="Työllistymistä tukevat palvelut" dataDxfId="112" dataCellStyle="Normaali 2"/>
    <tableColumn id="15" name="Päihdehuollon erityispalvelut" dataDxfId="111" dataCellStyle="Normaali 2"/>
    <tableColumn id="16" name="Perusterveydenhuollon avohoito" dataDxfId="110" dataCellStyle="Normaali 2"/>
    <tableColumn id="17" name="Suun terveydenhuolto" dataDxfId="109" dataCellStyle="Normaali 2"/>
    <tableColumn id="18" name="Perusterveydenhuollon vuodeosastohoito" dataDxfId="108" dataCellStyle="Normaali 2"/>
    <tableColumn id="19" name="Erikoissairaanhoito" dataDxfId="107" dataCellStyle="Normaali 2"/>
    <tableColumn id="20" name="Ympäristöterveydenhuolto" dataDxfId="106" dataCellStyle="Normaali 2"/>
    <tableColumn id="21" name="Muu sosiaali- ja terveystoiminta" dataDxfId="105" dataCellStyle="Normaali 2"/>
    <tableColumn id="22" name="Varhaiskasvatus" dataDxfId="104" dataCellStyle="Normaali 2"/>
    <tableColumn id="23" name="Esiopetus" dataDxfId="103" dataCellStyle="Normaali 2"/>
    <tableColumn id="24" name="Perusopetus" dataDxfId="102" dataCellStyle="Normaali 2"/>
    <tableColumn id="25" name="Lukiokoulutus" dataDxfId="101" dataCellStyle="Normaali 2"/>
    <tableColumn id="26" name="Ammatillinen koulutus" dataDxfId="100" dataCellStyle="Normaali 2"/>
    <tableColumn id="27" name="Kansalaisopistojen vapaa sivistystyö" dataDxfId="99" dataCellStyle="Normaali 2"/>
    <tableColumn id="28" name="Taiteen perusopetus" dataDxfId="98" dataCellStyle="Normaali 2"/>
    <tableColumn id="29" name="Muu opetustoiminta" dataDxfId="97" dataCellStyle="Normaali 2"/>
    <tableColumn id="30" name="Kirjastotoiminta" dataDxfId="96" dataCellStyle="Normaali 2"/>
    <tableColumn id="31" name="Liikunta ja ulkoilu" dataDxfId="95" dataCellStyle="Normaali 2"/>
    <tableColumn id="32" name="Nuorisotoiminta" dataDxfId="94" dataCellStyle="Normaali 2"/>
    <tableColumn id="33" name="Museo- ja näyttelytoiminta" dataDxfId="93" dataCellStyle="Normaali 2"/>
    <tableColumn id="34" name="Teatteri-, tanssi- ja sirkustoiminta" dataDxfId="92" dataCellStyle="Normaali 2"/>
    <tableColumn id="35" name="Musiikkitoiminta" dataDxfId="91" dataCellStyle="Normaali 2"/>
    <tableColumn id="36" name="Muu kulttuuritoiminta" dataDxfId="90" dataCellStyle="Normaali 2"/>
    <tableColumn id="37" name="Opetus- ja kulttuuritoiminta yhteensä" dataDxfId="89" dataCellStyle="Normaali 2"/>
    <tableColumn id="38" name="Yhdyskuntasuunnittelu" dataDxfId="88" dataCellStyle="Normaali 2"/>
    <tableColumn id="39" name="Rakennusvalvonta" dataDxfId="87" dataCellStyle="Normaali 2"/>
    <tableColumn id="40" name="Ympäristön huolto" dataDxfId="86" dataCellStyle="Normaali 2"/>
    <tableColumn id="41" name="Liikenneväylät" dataDxfId="85" dataCellStyle="Normaali 2"/>
    <tableColumn id="42" name="Puistot ja yleiset alueet" dataDxfId="84" dataCellStyle="Normaali 2"/>
    <tableColumn id="43" name="Palo- ja pelastustoiminta" dataDxfId="83" dataCellStyle="Normaali 2"/>
    <tableColumn id="44" name="Lomituspalvelut" dataDxfId="82" dataCellStyle="Normaali 2"/>
    <tableColumn id="45" name="Tila- ja vuokrauspalvelut" dataDxfId="81" dataCellStyle="Normaali 2"/>
    <tableColumn id="46" name="Tukipalvelut" dataDxfId="80" dataCellStyle="Normaali 2"/>
    <tableColumn id="47" name="Elinkeinoelämän edistäminen" dataDxfId="79" dataCellStyle="Normaali 2"/>
    <tableColumn id="48" name="Vesihuolto" dataDxfId="78" dataCellStyle="Normaali 2"/>
    <tableColumn id="49" name="Energiahuolto" dataDxfId="77" dataCellStyle="Normaali 2"/>
    <tableColumn id="50" name="Jätehuolto" dataDxfId="76" dataCellStyle="Normaali 2"/>
    <tableColumn id="51" name="Joukkoliikenne" dataDxfId="75" dataCellStyle="Normaali 2"/>
    <tableColumn id="52" name="Satamatoiminta" dataDxfId="74" dataCellStyle="Normaali 2"/>
    <tableColumn id="53" name="Maa- ja metsätilat" dataDxfId="73" dataCellStyle="Normaali 2"/>
    <tableColumn id="54" name="Muu toiminta" dataDxfId="72" dataCellStyle="Normaali 2"/>
    <tableColumn id="55" name="Käyttötalous yhteensä" dataDxfId="71" dataCellStyle="Normaali 2"/>
  </tableColumns>
  <tableStyleInfo name="TableStyleLight9" showFirstColumn="0" showLastColumn="0" showRowStripes="1" showColumnStripes="0"/>
</table>
</file>

<file path=xl/tables/table35.xml><?xml version="1.0" encoding="utf-8"?>
<table xmlns="http://schemas.openxmlformats.org/spreadsheetml/2006/main" id="52" name="Taulukko610" displayName="Taulukko610" ref="DI4:FK48" totalsRowShown="0" headerRowDxfId="70" dataDxfId="69" tableBorderDxfId="68" headerRowCellStyle="Normaali 2 2 2" dataCellStyle="Normaali 2">
  <autoFilter ref="DI4:FK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</autoFilter>
  <tableColumns count="55">
    <tableColumn id="1" name="Manner-Suomen kuntayhtymät yhteensä" dataDxfId="67" dataCellStyle="Normaali 2"/>
    <tableColumn id="2" name="Sosiaali- ja terveystoiminta yhteensä" dataDxfId="66" dataCellStyle="Normaali 2"/>
    <tableColumn id="3" name="Yleishallinto" dataDxfId="65" dataCellStyle="Normaali 2"/>
    <tableColumn id="4" name="Lastensuojelun laitos- ja perhehoito" dataDxfId="64" dataCellStyle="Normaali 2"/>
    <tableColumn id="5" name="Lastensuojelun avohuoltopalvelut" dataDxfId="63" dataCellStyle="Normaali 2"/>
    <tableColumn id="6" name="Muut lasten ja perheiden avopalvelut" dataDxfId="62" dataCellStyle="Normaali 2"/>
    <tableColumn id="7" name="Ikääntyneiden laitoshoito" dataDxfId="61" dataCellStyle="Normaali 2"/>
    <tableColumn id="8" name="Ikääntyneiden ympärivuorokautisen hoivan asumispalvelut" dataDxfId="60" dataCellStyle="Normaali 2"/>
    <tableColumn id="9" name="Muut ikääntyneiden palvelut" dataDxfId="59" dataCellStyle="Normaali 2"/>
    <tableColumn id="10" name="Vammaisten laitoshoito" dataDxfId="58" dataCellStyle="Normaali 2"/>
    <tableColumn id="11" name="Vammaisten ympärivuorokautisen hoivan asumispalvelut" dataDxfId="57" dataCellStyle="Normaali 2"/>
    <tableColumn id="12" name="Muut vammaisten palvelut" dataDxfId="56" dataCellStyle="Normaali 2"/>
    <tableColumn id="13" name="Kotihoito" dataDxfId="55" dataCellStyle="Normaali 2"/>
    <tableColumn id="14" name="Työllistymistä tukevat palvelut" dataDxfId="54" dataCellStyle="Normaali 2"/>
    <tableColumn id="15" name="Päihdehuollon erityispalvelut" dataDxfId="53" dataCellStyle="Normaali 2"/>
    <tableColumn id="16" name="Perusterveydenhuollon avohoito" dataDxfId="52" dataCellStyle="Normaali 2"/>
    <tableColumn id="17" name="Suun terveydenhuolto" dataDxfId="51" dataCellStyle="Normaali 2"/>
    <tableColumn id="18" name="Perusterveydenhuollon vuodeosastohoito" dataDxfId="50" dataCellStyle="Normaali 2"/>
    <tableColumn id="19" name="Erikoissairaanhoito" dataDxfId="49" dataCellStyle="Normaali 2"/>
    <tableColumn id="20" name="Ympäristöterveydenhuolto" dataDxfId="48" dataCellStyle="Normaali 2"/>
    <tableColumn id="21" name="Muu sosiaali- ja terveystoiminta" dataDxfId="47" dataCellStyle="Normaali 2"/>
    <tableColumn id="22" name="Varhaiskasvatus" dataDxfId="46" dataCellStyle="Normaali 2"/>
    <tableColumn id="23" name="Esiopetus" dataDxfId="45" dataCellStyle="Normaali 2"/>
    <tableColumn id="24" name="Perusopetus" dataDxfId="44" dataCellStyle="Normaali 2"/>
    <tableColumn id="25" name="Lukiokoulutus" dataDxfId="43" dataCellStyle="Normaali 2"/>
    <tableColumn id="26" name="Ammatillinen koulutus" dataDxfId="42" dataCellStyle="Normaali 2"/>
    <tableColumn id="27" name="Kansalaisopistojen vapaa sivistystyö" dataDxfId="41" dataCellStyle="Normaali 2"/>
    <tableColumn id="28" name="Taiteen perusopetus" dataDxfId="40" dataCellStyle="Normaali 2"/>
    <tableColumn id="29" name="Muu opetustoiminta" dataDxfId="39" dataCellStyle="Normaali 2"/>
    <tableColumn id="30" name="Kirjastotoiminta" dataDxfId="38" dataCellStyle="Normaali 2"/>
    <tableColumn id="31" name="Liikunta ja ulkoilu" dataDxfId="37" dataCellStyle="Normaali 2"/>
    <tableColumn id="32" name="Nuorisotoiminta" dataDxfId="36" dataCellStyle="Normaali 2"/>
    <tableColumn id="33" name="Museo- ja näyttelytoiminta" dataDxfId="35" dataCellStyle="Normaali 2"/>
    <tableColumn id="34" name="Teatteri-, tanssi- ja sirkustoiminta" dataDxfId="34" dataCellStyle="Normaali 2"/>
    <tableColumn id="35" name="Musiikkitoiminta" dataDxfId="33" dataCellStyle="Normaali 2"/>
    <tableColumn id="36" name="Muu kulttuuritoiminta" dataDxfId="32" dataCellStyle="Normaali 2"/>
    <tableColumn id="37" name="Opetus- ja kulttuuritoiminta yhteensä" dataDxfId="31" dataCellStyle="Normaali 2"/>
    <tableColumn id="38" name="Yhdyskuntasuunnittelu" dataDxfId="30" dataCellStyle="Normaali 2"/>
    <tableColumn id="39" name="Rakennusvalvonta" dataDxfId="29" dataCellStyle="Normaali 2"/>
    <tableColumn id="40" name="Ympäristön huolto" dataDxfId="28" dataCellStyle="Normaali 2"/>
    <tableColumn id="41" name="Liikenneväylät" dataDxfId="27" dataCellStyle="Normaali 2"/>
    <tableColumn id="42" name="Puistot ja yleiset alueet" dataDxfId="26" dataCellStyle="Normaali 2"/>
    <tableColumn id="43" name="Palo- ja pelastustoiminta" dataDxfId="25" dataCellStyle="Normaali 2"/>
    <tableColumn id="44" name="Lomituspalvelut" dataDxfId="24" dataCellStyle="Normaali 2"/>
    <tableColumn id="45" name="Tila- ja vuokrauspalvelut" dataDxfId="23" dataCellStyle="Normaali 2"/>
    <tableColumn id="46" name="Tukipalvelut" dataDxfId="22" dataCellStyle="Normaali 2"/>
    <tableColumn id="47" name="Elinkeinoelämän edistäminen" dataDxfId="21" dataCellStyle="Normaali 2"/>
    <tableColumn id="48" name="Vesihuolto" dataDxfId="20" dataCellStyle="Normaali 2"/>
    <tableColumn id="49" name="Energiahuolto" dataDxfId="19" dataCellStyle="Normaali 2"/>
    <tableColumn id="50" name="Jätehuolto" dataDxfId="18" dataCellStyle="Normaali 2"/>
    <tableColumn id="51" name="Joukkoliikenne" dataDxfId="17" dataCellStyle="Normaali 2"/>
    <tableColumn id="52" name="Satamatoiminta" dataDxfId="16" dataCellStyle="Normaali 2"/>
    <tableColumn id="53" name="Maa- ja metsätilat" dataDxfId="15" dataCellStyle="Normaali 2"/>
    <tableColumn id="54" name="Muu toiminta" dataDxfId="14" dataCellStyle="Normaali 2"/>
    <tableColumn id="55" name="Käyttötalous yhteensä" dataDxfId="13" dataCellStyle="Normaali 2"/>
  </tableColumns>
  <tableStyleInfo name="TableStyleLight9" showFirstColumn="0" showLastColumn="0" showRowStripes="1" showColumnStripes="0"/>
</table>
</file>

<file path=xl/tables/table36.xml><?xml version="1.0" encoding="utf-8"?>
<table xmlns="http://schemas.openxmlformats.org/spreadsheetml/2006/main" id="53" name="Taulukko1011" displayName="Taulukko1011" ref="A56:C60" totalsRowShown="0" headerRowDxfId="12" dataDxfId="11">
  <tableColumns count="3">
    <tableColumn id="1" name="Sektorikohtaiset nettokustannukset" dataDxfId="10" dataCellStyle="Normaali 2"/>
    <tableColumn id="2" name="Euroa yhteensä" dataDxfId="9" dataCellStyle="Normaali 2"/>
    <tableColumn id="3" name="Suhteelliset osuudet" dataDxfId="8" dataCellStyle="Prosenttia"/>
  </tableColumns>
  <tableStyleInfo name="TableStyleLight9" showFirstColumn="0" showLastColumn="0" showRowStripes="1" showColumnStripes="0"/>
</table>
</file>

<file path=xl/tables/table37.xml><?xml version="1.0" encoding="utf-8"?>
<table xmlns="http://schemas.openxmlformats.org/spreadsheetml/2006/main" id="54" name="Taulukko1212" displayName="Taulukko1212" ref="A62:B65" totalsRowShown="0" headerRowDxfId="7" tableBorderDxfId="6">
  <tableColumns count="2">
    <tableColumn id="1" name="Kotihoito jaetaan"/>
    <tableColumn id="2" name="Euroa yhteensä"/>
  </tableColumns>
  <tableStyleInfo name="TableStyleLight9" showFirstColumn="0" showLastColumn="0" showRowStripes="1" showColumnStripes="0"/>
</table>
</file>

<file path=xl/tables/table38.xml><?xml version="1.0" encoding="utf-8"?>
<table xmlns="http://schemas.openxmlformats.org/spreadsheetml/2006/main" id="55" name="Taulukko1913" displayName="Taulukko1913" ref="A67:C72" totalsRowShown="0" headerRowDxfId="5" headerRowCellStyle="Normaali 2">
  <tableColumns count="3">
    <tableColumn id="1" name="Lisäksi huomioidaan"/>
    <tableColumn id="2" name="Euroa yhteensä"/>
    <tableColumn id="3" name="Lähde" dataDxfId="4" dataCellStyle="Normaali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39" name="Taulukko39" displayName="Taulukko39" ref="A88:P112" totalsRowShown="0" headerRowDxfId="537" headerRowBorderDxfId="536" headerRowCellStyle="Normaali 2">
  <tableColumns count="16">
    <tableColumn id="1" name="Hyvinvointialuekoodi" dataDxfId="535" dataCellStyle="Normaali 2"/>
    <tableColumn id="2" name="Hyvinvointialue" dataDxfId="534" dataCellStyle="Normaali 2"/>
    <tableColumn id="3" name="Asukasperusteisuus" dataDxfId="533" dataCellStyle="Normaali 2"/>
    <tableColumn id="4" name="Terveydenhuollon palvelutarve" dataDxfId="532" dataCellStyle="Normaali 2"/>
    <tableColumn id="5" name="Vanhustenhuollon palvelutarve" dataDxfId="531" dataCellStyle="Normaali 2"/>
    <tableColumn id="6" name="Sosiaalihuollon palvelutarve" dataDxfId="530" dataCellStyle="Normaali 2"/>
    <tableColumn id="7" name="Vieraskielisyys" dataDxfId="529" dataCellStyle="Normaali 2"/>
    <tableColumn id="8" name="Kaksikielisyys" dataDxfId="528" dataCellStyle="Normaali 2"/>
    <tableColumn id="9" name="Asukastiheys" dataDxfId="527" dataCellStyle="Normaali 2"/>
    <tableColumn id="10" name="Saaristoisuus" dataDxfId="526" dataCellStyle="Normaali 2"/>
    <tableColumn id="11" name="Hyte-kriteeri" dataDxfId="525" dataCellStyle="Normaali 2"/>
    <tableColumn id="12" name="Saamenkielisyys" dataDxfId="524" dataCellStyle="Normaali 2"/>
    <tableColumn id="16" name="YO-lisä" dataDxfId="523" dataCellStyle="Normaali 2">
      <calculatedColumnFormula>'SOTE laskennallinen rahoitus'!M49</calculatedColumnFormula>
    </tableColumn>
    <tableColumn id="13" name="Pelastustoimen riskitekijät" dataDxfId="522" dataCellStyle="Normaali 2"/>
    <tableColumn id="14" name="Laskennallinen rahoitus, yhteensä €" dataDxfId="521" dataCellStyle="Normaali 2"/>
    <tableColumn id="15" name="Laskennallinen rahoitus, yhteensä €/as." dataDxfId="520" dataCellStyle="Normaali 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40" name="Taulukko40" displayName="Taulukko40" ref="A115:O139" totalsRowShown="0" headerRowDxfId="519" dataDxfId="517" headerRowBorderDxfId="518" headerRowCellStyle="Normaali 2" dataCellStyle="Normaali 2">
  <tableColumns count="15">
    <tableColumn id="1" name="Hyvinvointialuekoodi" dataDxfId="516" dataCellStyle="Normaali 2"/>
    <tableColumn id="2" name="Hyvinvointialue" dataDxfId="515" dataCellStyle="Normaali 2"/>
    <tableColumn id="3" name="Asukasperusteisuus" dataDxfId="514" dataCellStyle="Normaali 2"/>
    <tableColumn id="4" name="Terveydenhuollon palvelutarve" dataDxfId="513" dataCellStyle="Normaali 2"/>
    <tableColumn id="5" name="Vanhustenhuollon palvelutarve" dataDxfId="512" dataCellStyle="Normaali 2"/>
    <tableColumn id="6" name="Sosiaalihuollon palvelutarve" dataDxfId="511" dataCellStyle="Normaali 2"/>
    <tableColumn id="7" name="Vieraskielisyys" dataDxfId="510" dataCellStyle="Normaali 2"/>
    <tableColumn id="8" name="Kaksikielisyys" dataDxfId="509" dataCellStyle="Normaali 2"/>
    <tableColumn id="9" name="Asukastiheys" dataDxfId="508" dataCellStyle="Normaali 2"/>
    <tableColumn id="10" name="Saaristoisuus" dataDxfId="507" dataCellStyle="Normaali 2"/>
    <tableColumn id="11" name="Hyte-kriteeri" dataDxfId="506" dataCellStyle="Normaali 2"/>
    <tableColumn id="12" name="Saamenkielisyys" dataDxfId="505" dataCellStyle="Normaali 2"/>
    <tableColumn id="16" name="YO-lisä" dataDxfId="504" dataCellStyle="Normaali 2">
      <calculatedColumnFormula>M89/$C10</calculatedColumnFormula>
    </tableColumn>
    <tableColumn id="13" name="Pelastustoimen riskitekijät" dataDxfId="503" dataCellStyle="Normaali 2"/>
    <tableColumn id="14" name="Laskennallinen rahoitus, yhteensä €/as." dataDxfId="502" dataCellStyle="Normaali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4" name="Taulukko4" displayName="Taulukko4" ref="A13:N18" totalsRowShown="0" headerRowDxfId="501" dataDxfId="499" headerRowBorderDxfId="500" headerRowCellStyle="Normaali 2">
  <tableColumns count="14">
    <tableColumn id="1" name="Kriteeri:" dataDxfId="498"/>
    <tableColumn id="2" name="Asukasperusteisuus" dataDxfId="497"/>
    <tableColumn id="3" name="Sote-palvelutarve yhteensä" dataDxfId="496"/>
    <tableColumn id="4" name="Terveydenhuollon palvelutarve" dataDxfId="495"/>
    <tableColumn id="5" name="Vanhustenhuollon palvelutarve" dataDxfId="494"/>
    <tableColumn id="6" name="Sosiaalihuollon palvelutarve" dataDxfId="493"/>
    <tableColumn id="7" name="Vieraskielisyys" dataDxfId="492"/>
    <tableColumn id="8" name="Kaksikielisyys" dataDxfId="491"/>
    <tableColumn id="9" name="Asukastiheys" dataDxfId="490"/>
    <tableColumn id="10" name="Saaristoisuus" dataDxfId="489"/>
    <tableColumn id="11" name="Hyte-kriteeri" dataDxfId="488"/>
    <tableColumn id="12" name="Saamenkielisyys" dataDxfId="487"/>
    <tableColumn id="14" name="Yliopistosairaalalisä" dataDxfId="486"/>
    <tableColumn id="15" name="Yhteensä" dataDxfId="485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20" name="Taulukko20" displayName="Taulukko20" ref="A9:C11" totalsRowShown="0" headerRowDxfId="484" dataDxfId="483" tableBorderDxfId="482" dataCellStyle="Normaali 2">
  <tableColumns count="3">
    <tableColumn id="1" name="Kunnilta siirtyvät sote-kustannukset yhteensä:" dataDxfId="481" dataCellStyle="Normaali 2">
      <calculatedColumnFormula>'Siirtyvät sote-kustannukset'!L13</calculatedColumnFormula>
    </tableColumn>
    <tableColumn id="2" name="Väestö 2020" dataDxfId="480" dataCellStyle="Normaali 2">
      <calculatedColumnFormula>C44</calculatedColumnFormula>
    </tableColumn>
    <tableColumn id="3" name="Kustannukset per asukas" dataDxfId="479" dataCellStyle="Normaali 2">
      <calculatedColumnFormula>A10/B10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21" name="Taulukko21" displayName="Taulukko21" ref="A21:M44" totalsRowShown="0" headerRowDxfId="478" dataDxfId="477" tableBorderDxfId="476" headerRowCellStyle="Normaali 2" dataCellStyle="Normaali 2">
  <tableColumns count="13">
    <tableColumn id="1" name="Hyvinvointialuekoodi" dataDxfId="475" dataCellStyle="Normaali 2"/>
    <tableColumn id="2" name="Hyvinvointialue" dataDxfId="474" dataCellStyle="Normaali 2"/>
    <tableColumn id="3" name="Asukasluku 2020" dataDxfId="473" dataCellStyle="Normaali 2"/>
    <tableColumn id="4" name="Terveydenhuollon palvelutarvekerroin" dataDxfId="472" dataCellStyle="Normaali 2"/>
    <tableColumn id="5" name="Vanhustenhuollon palvelutarvekerroin" dataDxfId="471" dataCellStyle="Normaali 2"/>
    <tableColumn id="6" name="Sosiaalihuollon palvelutarvekerroin" dataDxfId="470" dataCellStyle="Normaali 2"/>
    <tableColumn id="7" name="Vieraskielisten määrä" dataDxfId="469" dataCellStyle="Normaali 2"/>
    <tableColumn id="8" name="Ruotsinkielisten määrä kaksikielisillä hyvinvointialueilla" dataDxfId="468" dataCellStyle="Normaali 2"/>
    <tableColumn id="9" name="Asukastiheyskerroin" dataDxfId="467" dataCellStyle="Normaali 2">
      <calculatedColumnFormula>Määräytymistekijät!I4</calculatedColumnFormula>
    </tableColumn>
    <tableColumn id="10" name="Saaristokuntien saaristossa asuvan väestön määrä" dataDxfId="466" dataCellStyle="Normaali 2"/>
    <tableColumn id="11" name="Hyte-kerroin" dataDxfId="465" dataCellStyle="Normaali 2">
      <calculatedColumnFormula>'Hyte-kerroin'!G5</calculatedColumnFormula>
    </tableColumn>
    <tableColumn id="12" name="Saamenkielisten määrä hyvinvointialueella, jolla sijaitsee saamelaisten kotiseutualueen kunnat " dataDxfId="464" dataCellStyle="Normaali 2"/>
    <tableColumn id="13" name="Asukasmäärä alueille joilla sijaitsee yliopistosairaala" dataDxfId="463" dataCellStyle="Normaali 2">
      <calculatedColumnFormula>Määräytymistekijät!K4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23" name="Taulukko23" displayName="Taulukko23" ref="A48:O72" totalsRowShown="0" dataDxfId="462" tableBorderDxfId="461" dataCellStyle="Normaali 2">
  <tableColumns count="15">
    <tableColumn id="1" name="Hyvinvointialuekoodi" dataDxfId="460" dataCellStyle="Normaali 2"/>
    <tableColumn id="2" name="Hyvinvointialue" dataDxfId="459" dataCellStyle="Normaali 2"/>
    <tableColumn id="3" name="Asukasperusteisuus" dataDxfId="458" dataCellStyle="Normaali 2"/>
    <tableColumn id="4" name="Terveydenhuollon palvelutarve" dataDxfId="457" dataCellStyle="Normaali 2"/>
    <tableColumn id="5" name="Vanhustenhuollon palvelutarve" dataDxfId="456" dataCellStyle="Normaali 2"/>
    <tableColumn id="6" name="Sosiaalihuollon palvelutarve" dataDxfId="455" dataCellStyle="Normaali 2"/>
    <tableColumn id="7" name="Vieraskielisyys" dataDxfId="454" dataCellStyle="Normaali 2"/>
    <tableColumn id="8" name="Kaksikielisyys" dataDxfId="453" dataCellStyle="Normaali 2"/>
    <tableColumn id="9" name="Asukastiheys" dataDxfId="452" dataCellStyle="Normaali 2"/>
    <tableColumn id="10" name="Saaristoisuus" dataDxfId="451" dataCellStyle="Normaali 2"/>
    <tableColumn id="11" name="Hyte-kriteeri" dataDxfId="450" dataCellStyle="Normaali 2"/>
    <tableColumn id="12" name="Saamenkielisyys" dataDxfId="449" dataCellStyle="Normaali 2"/>
    <tableColumn id="15" name="Yliopistosairaalalisä" dataDxfId="448" dataCellStyle="Normaali 2">
      <calculatedColumnFormula>$M$17*M22</calculatedColumnFormula>
    </tableColumn>
    <tableColumn id="13" name="Yhteensä, €" dataDxfId="447" dataCellStyle="Normaali 2"/>
    <tableColumn id="14" name="Yhteensä, €/as." dataDxfId="446" dataCellStyle="Normaali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2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7" Type="http://schemas.openxmlformats.org/officeDocument/2006/relationships/table" Target="../tables/table38.xml"/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14.bin"/><Relationship Id="rId6" Type="http://schemas.openxmlformats.org/officeDocument/2006/relationships/table" Target="../tables/table37.xml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80" zoomScaleNormal="80" workbookViewId="0"/>
  </sheetViews>
  <sheetFormatPr defaultColWidth="8.625" defaultRowHeight="15.75" x14ac:dyDescent="0.25"/>
  <cols>
    <col min="1" max="16384" width="8.625" style="7"/>
  </cols>
  <sheetData>
    <row r="1" spans="1:7" ht="23.25" x14ac:dyDescent="0.35">
      <c r="A1" s="440" t="s">
        <v>534</v>
      </c>
    </row>
    <row r="2" spans="1:7" x14ac:dyDescent="0.25">
      <c r="A2" s="7" t="s">
        <v>673</v>
      </c>
    </row>
    <row r="3" spans="1:7" x14ac:dyDescent="0.25">
      <c r="A3" s="7" t="s">
        <v>674</v>
      </c>
    </row>
    <row r="4" spans="1:7" x14ac:dyDescent="0.25">
      <c r="A4" s="7" t="s">
        <v>719</v>
      </c>
    </row>
    <row r="5" spans="1:7" x14ac:dyDescent="0.25">
      <c r="A5" s="7" t="s">
        <v>715</v>
      </c>
    </row>
    <row r="6" spans="1:7" x14ac:dyDescent="0.25">
      <c r="A6" s="7" t="s">
        <v>716</v>
      </c>
    </row>
    <row r="7" spans="1:7" x14ac:dyDescent="0.25">
      <c r="A7" s="7" t="s">
        <v>536</v>
      </c>
    </row>
    <row r="8" spans="1:7" x14ac:dyDescent="0.25">
      <c r="A8" s="7" t="s">
        <v>675</v>
      </c>
    </row>
    <row r="9" spans="1:7" x14ac:dyDescent="0.25">
      <c r="A9" s="7" t="s">
        <v>535</v>
      </c>
    </row>
    <row r="10" spans="1:7" x14ac:dyDescent="0.25">
      <c r="A10" s="7" t="s">
        <v>713</v>
      </c>
    </row>
    <row r="11" spans="1:7" x14ac:dyDescent="0.25">
      <c r="A11" s="7" t="s">
        <v>537</v>
      </c>
    </row>
    <row r="12" spans="1:7" x14ac:dyDescent="0.25">
      <c r="A12" s="7" t="s">
        <v>538</v>
      </c>
    </row>
    <row r="13" spans="1:7" x14ac:dyDescent="0.25">
      <c r="A13" s="7" t="s">
        <v>720</v>
      </c>
    </row>
    <row r="14" spans="1:7" s="13" customFormat="1" x14ac:dyDescent="0.25">
      <c r="A14" s="7" t="s">
        <v>641</v>
      </c>
      <c r="B14" s="127"/>
      <c r="C14" s="127"/>
      <c r="D14" s="127"/>
      <c r="E14" s="127"/>
      <c r="F14" s="127"/>
      <c r="G14" s="127"/>
    </row>
    <row r="15" spans="1:7" x14ac:dyDescent="0.25">
      <c r="A15" s="7" t="s">
        <v>642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AG71"/>
  <sheetViews>
    <sheetView zoomScale="70" zoomScaleNormal="70" workbookViewId="0">
      <selection activeCell="K3" sqref="K3"/>
    </sheetView>
  </sheetViews>
  <sheetFormatPr defaultColWidth="8.375" defaultRowHeight="15.75" x14ac:dyDescent="0.25"/>
  <cols>
    <col min="1" max="1" width="19.125" style="197" customWidth="1"/>
    <col min="2" max="2" width="21.625" style="197" customWidth="1"/>
    <col min="3" max="3" width="12" style="197" customWidth="1"/>
    <col min="4" max="4" width="24" style="197" customWidth="1"/>
    <col min="5" max="5" width="24.875" style="197" customWidth="1"/>
    <col min="6" max="6" width="19" style="197" customWidth="1"/>
    <col min="7" max="7" width="16.625" style="197" customWidth="1"/>
    <col min="8" max="8" width="13.375" style="197" customWidth="1"/>
    <col min="9" max="9" width="14.875" style="197" customWidth="1"/>
    <col min="10" max="10" width="17.125" style="197" customWidth="1"/>
    <col min="11" max="11" width="16.125" style="197" customWidth="1"/>
    <col min="12" max="12" width="17.875" style="197" customWidth="1"/>
    <col min="13" max="13" width="10.875" style="197" customWidth="1"/>
    <col min="14" max="14" width="8.625" style="197" customWidth="1"/>
    <col min="15" max="15" width="16.375" style="197" bestFit="1" customWidth="1"/>
    <col min="16" max="16" width="11.625" style="197" bestFit="1" customWidth="1"/>
    <col min="17" max="17" width="3.875" style="197" bestFit="1" customWidth="1"/>
    <col min="18" max="18" width="7.625" style="197" bestFit="1" customWidth="1"/>
    <col min="19" max="19" width="8.375" style="197" customWidth="1"/>
    <col min="20" max="20" width="13.125" style="237" bestFit="1" customWidth="1"/>
    <col min="21" max="21" width="15.125" style="237" bestFit="1" customWidth="1"/>
    <col min="22" max="22" width="11.125" style="237" bestFit="1" customWidth="1"/>
    <col min="23" max="24" width="15.125" style="237" bestFit="1" customWidth="1"/>
    <col min="25" max="25" width="14.625" style="237" bestFit="1" customWidth="1"/>
    <col min="26" max="26" width="15.125" style="237" bestFit="1" customWidth="1"/>
    <col min="27" max="28" width="8.375" style="237"/>
    <col min="29" max="29" width="13.125" style="237" bestFit="1" customWidth="1"/>
    <col min="30" max="30" width="14.5" style="237" bestFit="1" customWidth="1"/>
    <col min="31" max="31" width="13.125" style="198" bestFit="1" customWidth="1"/>
    <col min="32" max="32" width="12.125" style="198" customWidth="1"/>
    <col min="33" max="34" width="8.375" style="198"/>
    <col min="35" max="35" width="10.875" style="198" bestFit="1" customWidth="1"/>
    <col min="36" max="36" width="6.125" style="198" bestFit="1" customWidth="1"/>
    <col min="37" max="39" width="8.375" style="198"/>
    <col min="40" max="40" width="22.625" style="198" customWidth="1"/>
    <col min="41" max="16384" width="8.375" style="198"/>
  </cols>
  <sheetData>
    <row r="1" spans="1:33" s="2" customFormat="1" ht="23.25" x14ac:dyDescent="0.35">
      <c r="A1" s="440" t="s">
        <v>588</v>
      </c>
      <c r="B1" s="1"/>
      <c r="C1" s="1"/>
      <c r="D1" s="1"/>
      <c r="E1" s="1"/>
      <c r="F1" s="1"/>
      <c r="G1" s="1"/>
      <c r="H1" s="1"/>
      <c r="I1" s="1"/>
      <c r="J1" s="430"/>
      <c r="K1" s="1"/>
      <c r="L1" s="1"/>
      <c r="M1" s="1"/>
      <c r="N1" s="1"/>
      <c r="O1" s="1"/>
      <c r="P1" s="1"/>
      <c r="Q1" s="1"/>
      <c r="R1" s="1"/>
      <c r="S1" s="1"/>
      <c r="V1" s="4"/>
      <c r="W1" s="4"/>
      <c r="X1" s="4"/>
      <c r="Y1" s="4"/>
      <c r="Z1" s="4"/>
      <c r="AA1" s="4"/>
      <c r="AB1" s="4"/>
      <c r="AC1" s="4"/>
      <c r="AD1" s="4"/>
      <c r="AF1" s="3"/>
    </row>
    <row r="2" spans="1:33" x14ac:dyDescent="0.25">
      <c r="A2" s="194" t="s">
        <v>635</v>
      </c>
      <c r="B2" s="194"/>
      <c r="C2" s="195"/>
      <c r="D2" s="195"/>
      <c r="E2" s="195"/>
      <c r="F2" s="195"/>
      <c r="G2" s="195"/>
      <c r="H2" s="195"/>
      <c r="I2" s="195"/>
      <c r="J2" s="195"/>
      <c r="K2" s="196"/>
      <c r="AF2" s="199"/>
    </row>
    <row r="3" spans="1:33" ht="65.099999999999994" customHeight="1" x14ac:dyDescent="0.25">
      <c r="A3" s="228" t="s">
        <v>469</v>
      </c>
      <c r="B3" s="228" t="s">
        <v>134</v>
      </c>
      <c r="C3" s="548" t="s">
        <v>443</v>
      </c>
      <c r="D3" s="549" t="s">
        <v>472</v>
      </c>
      <c r="E3" s="549" t="s">
        <v>563</v>
      </c>
      <c r="F3" s="549" t="s">
        <v>471</v>
      </c>
      <c r="G3" s="549" t="s">
        <v>473</v>
      </c>
      <c r="H3" s="549" t="s">
        <v>429</v>
      </c>
      <c r="I3" s="550" t="s">
        <v>474</v>
      </c>
      <c r="J3" s="547" t="s">
        <v>564</v>
      </c>
      <c r="K3" s="547" t="s">
        <v>664</v>
      </c>
      <c r="AF3" s="200"/>
      <c r="AG3" s="200"/>
    </row>
    <row r="4" spans="1:33" x14ac:dyDescent="0.25">
      <c r="A4" s="201">
        <v>31</v>
      </c>
      <c r="B4" s="202" t="s">
        <v>131</v>
      </c>
      <c r="C4" s="203">
        <f>'Määräytymistekijät kunnittain'!N5</f>
        <v>656920</v>
      </c>
      <c r="D4" s="203">
        <f>'Määräytymistekijät kunnittain'!O5</f>
        <v>36754</v>
      </c>
      <c r="E4" s="204">
        <v>0</v>
      </c>
      <c r="F4" s="203">
        <f>'Määräytymistekijät kunnittain'!Q5</f>
        <v>109254</v>
      </c>
      <c r="G4" s="203">
        <f>'Määräytymistekijät kunnittain'!R5</f>
        <v>214.29</v>
      </c>
      <c r="H4" s="205">
        <f t="shared" ref="H4:H25" si="0">C4/G4</f>
        <v>3065.5653553595594</v>
      </c>
      <c r="I4" s="422">
        <f t="shared" ref="I4:I26" si="1">H$26/H4</f>
        <v>5.9372651746575997E-3</v>
      </c>
      <c r="J4" s="206"/>
      <c r="K4" s="207">
        <f>Taulukko5[[#This Row],[Asukasluku]]</f>
        <v>656920</v>
      </c>
      <c r="AE4" s="208"/>
      <c r="AF4" s="209"/>
    </row>
    <row r="5" spans="1:33" x14ac:dyDescent="0.25">
      <c r="A5" s="201">
        <v>32</v>
      </c>
      <c r="B5" s="202" t="s">
        <v>130</v>
      </c>
      <c r="C5" s="203">
        <f>'Määräytymistekijät kunnittain'!N6</f>
        <v>274336</v>
      </c>
      <c r="D5" s="203">
        <f>'Määräytymistekijät kunnittain'!O6</f>
        <v>6033</v>
      </c>
      <c r="E5" s="204">
        <v>0</v>
      </c>
      <c r="F5" s="203">
        <f>'Määräytymistekijät kunnittain'!Q6</f>
        <v>55806</v>
      </c>
      <c r="G5" s="203">
        <f>'Määräytymistekijät kunnittain'!R6</f>
        <v>269</v>
      </c>
      <c r="H5" s="205">
        <f t="shared" si="0"/>
        <v>1019.8364312267659</v>
      </c>
      <c r="I5" s="422">
        <f t="shared" si="1"/>
        <v>1.784705259363897E-2</v>
      </c>
      <c r="J5" s="206"/>
      <c r="K5" s="207">
        <f>Taulukko5[[#This Row],[Asukasluku]]</f>
        <v>274336</v>
      </c>
      <c r="AE5" s="208"/>
      <c r="AF5" s="209"/>
    </row>
    <row r="6" spans="1:33" x14ac:dyDescent="0.25">
      <c r="A6" s="201">
        <v>33</v>
      </c>
      <c r="B6" s="202" t="s">
        <v>129</v>
      </c>
      <c r="C6" s="203">
        <f>'Määräytymistekijät kunnittain'!N7</f>
        <v>473838</v>
      </c>
      <c r="D6" s="203">
        <f>'Määräytymistekijät kunnittain'!O7</f>
        <v>57370</v>
      </c>
      <c r="E6" s="204">
        <v>0</v>
      </c>
      <c r="F6" s="203">
        <f>'Määräytymistekijät kunnittain'!Q7</f>
        <v>67184</v>
      </c>
      <c r="G6" s="203">
        <f>'Määräytymistekijät kunnittain'!R7</f>
        <v>4245.0600000000004</v>
      </c>
      <c r="H6" s="205">
        <f t="shared" si="0"/>
        <v>111.62103715848538</v>
      </c>
      <c r="I6" s="422">
        <f t="shared" si="1"/>
        <v>0.16306132686413158</v>
      </c>
      <c r="J6" s="206"/>
      <c r="K6" s="207">
        <f>Taulukko5[[#This Row],[Asukasluku]]</f>
        <v>473838</v>
      </c>
      <c r="AE6" s="208"/>
      <c r="AF6" s="209"/>
    </row>
    <row r="7" spans="1:33" x14ac:dyDescent="0.25">
      <c r="A7" s="201">
        <v>34</v>
      </c>
      <c r="B7" s="202" t="s">
        <v>128</v>
      </c>
      <c r="C7" s="203">
        <f>'Määräytymistekijät kunnittain'!N8</f>
        <v>98254</v>
      </c>
      <c r="D7" s="203">
        <f>'Määräytymistekijät kunnittain'!O8</f>
        <v>28089</v>
      </c>
      <c r="E7" s="204">
        <v>0</v>
      </c>
      <c r="F7" s="203">
        <f>'Määräytymistekijät kunnittain'!Q8</f>
        <v>6020</v>
      </c>
      <c r="G7" s="203">
        <f>'Määräytymistekijät kunnittain'!R8</f>
        <v>2701.91</v>
      </c>
      <c r="H7" s="205">
        <f t="shared" si="0"/>
        <v>36.364645750598655</v>
      </c>
      <c r="I7" s="422">
        <f t="shared" si="1"/>
        <v>0.50051565330355308</v>
      </c>
      <c r="J7" s="206"/>
      <c r="K7" s="207">
        <f>Taulukko5[[#This Row],[Asukasluku]]</f>
        <v>98254</v>
      </c>
      <c r="AE7" s="208"/>
      <c r="AF7" s="209"/>
    </row>
    <row r="8" spans="1:33" x14ac:dyDescent="0.25">
      <c r="A8" s="210">
        <v>35</v>
      </c>
      <c r="B8" s="211" t="s">
        <v>127</v>
      </c>
      <c r="C8" s="203">
        <f>'Määräytymistekijät kunnittain'!N9</f>
        <v>199330</v>
      </c>
      <c r="D8" s="203"/>
      <c r="E8" s="204">
        <v>0</v>
      </c>
      <c r="F8" s="203">
        <f>'Määräytymistekijät kunnittain'!Q9</f>
        <v>11899</v>
      </c>
      <c r="G8" s="203">
        <f>'Määräytymistekijät kunnittain'!R9</f>
        <v>1669.01</v>
      </c>
      <c r="H8" s="212">
        <f t="shared" si="0"/>
        <v>119.43008130568421</v>
      </c>
      <c r="I8" s="422">
        <f t="shared" si="1"/>
        <v>0.15239941416791861</v>
      </c>
      <c r="J8" s="213"/>
      <c r="K8" s="214">
        <f>Taulukko5[[#This Row],[Asukasluku]]</f>
        <v>199330</v>
      </c>
      <c r="AE8" s="208"/>
      <c r="AF8" s="209"/>
    </row>
    <row r="9" spans="1:33" x14ac:dyDescent="0.25">
      <c r="A9" s="197">
        <v>2</v>
      </c>
      <c r="B9" s="197" t="s">
        <v>126</v>
      </c>
      <c r="C9" s="203">
        <f>'Määräytymistekijät kunnittain'!N10</f>
        <v>481403</v>
      </c>
      <c r="D9" s="203">
        <f>'Määräytymistekijät kunnittain'!O10</f>
        <v>27353</v>
      </c>
      <c r="E9" s="204">
        <v>0</v>
      </c>
      <c r="F9" s="203">
        <f>'Määräytymistekijät kunnittain'!Q10</f>
        <v>37858</v>
      </c>
      <c r="G9" s="203">
        <f>'Määräytymistekijät kunnittain'!R10</f>
        <v>10666.06</v>
      </c>
      <c r="H9" s="205">
        <f t="shared" si="0"/>
        <v>45.134098251838076</v>
      </c>
      <c r="I9" s="422">
        <f t="shared" si="1"/>
        <v>0.40326660174875489</v>
      </c>
      <c r="J9" s="215">
        <f>'Määräytymistekijät kunnittain'!AE6</f>
        <v>22422</v>
      </c>
      <c r="K9" s="207">
        <f>Taulukko5[[#This Row],[Asukasluku]]</f>
        <v>481403</v>
      </c>
      <c r="AE9" s="208"/>
      <c r="AF9" s="209"/>
    </row>
    <row r="10" spans="1:33" x14ac:dyDescent="0.25">
      <c r="A10" s="197">
        <v>4</v>
      </c>
      <c r="B10" s="197" t="s">
        <v>125</v>
      </c>
      <c r="C10" s="203">
        <f>'Määräytymistekijät kunnittain'!N11</f>
        <v>215416</v>
      </c>
      <c r="D10" s="203"/>
      <c r="E10" s="204">
        <v>0</v>
      </c>
      <c r="F10" s="203">
        <f>'Määräytymistekijät kunnittain'!Q11</f>
        <v>8543</v>
      </c>
      <c r="G10" s="203">
        <f>'Määräytymistekijät kunnittain'!R11</f>
        <v>7821.14</v>
      </c>
      <c r="H10" s="205">
        <f t="shared" si="0"/>
        <v>27.542787880027717</v>
      </c>
      <c r="I10" s="422">
        <f t="shared" si="1"/>
        <v>0.66082905275581871</v>
      </c>
      <c r="J10" s="206"/>
      <c r="K10" s="207"/>
      <c r="AE10" s="208"/>
      <c r="AF10" s="209"/>
    </row>
    <row r="11" spans="1:33" x14ac:dyDescent="0.25">
      <c r="A11" s="197">
        <v>5</v>
      </c>
      <c r="B11" s="197" t="s">
        <v>124</v>
      </c>
      <c r="C11" s="203">
        <f>'Määräytymistekijät kunnittain'!N12</f>
        <v>170577</v>
      </c>
      <c r="D11" s="203"/>
      <c r="E11" s="204">
        <v>0</v>
      </c>
      <c r="F11" s="203">
        <f>'Määräytymistekijät kunnittain'!Q12</f>
        <v>7549</v>
      </c>
      <c r="G11" s="203">
        <f>'Määräytymistekijät kunnittain'!R12</f>
        <v>5199.1499999999996</v>
      </c>
      <c r="H11" s="205">
        <f t="shared" si="0"/>
        <v>32.80863218026024</v>
      </c>
      <c r="I11" s="422">
        <f t="shared" si="1"/>
        <v>0.55476480473221568</v>
      </c>
      <c r="J11" s="206"/>
      <c r="K11" s="207"/>
      <c r="AE11" s="208"/>
      <c r="AF11" s="209"/>
    </row>
    <row r="12" spans="1:33" x14ac:dyDescent="0.25">
      <c r="A12" s="197">
        <v>6</v>
      </c>
      <c r="B12" s="197" t="s">
        <v>123</v>
      </c>
      <c r="C12" s="203">
        <f>'Määräytymistekijät kunnittain'!N13</f>
        <v>522852</v>
      </c>
      <c r="D12" s="203"/>
      <c r="E12" s="204">
        <v>0</v>
      </c>
      <c r="F12" s="203">
        <f>'Määräytymistekijät kunnittain'!Q13</f>
        <v>26921</v>
      </c>
      <c r="G12" s="203">
        <f>'Määräytymistekijät kunnittain'!R13</f>
        <v>13248.710000000001</v>
      </c>
      <c r="H12" s="205">
        <f t="shared" si="0"/>
        <v>39.464370493429172</v>
      </c>
      <c r="I12" s="422">
        <f t="shared" si="1"/>
        <v>0.46120270505882377</v>
      </c>
      <c r="J12" s="206"/>
      <c r="K12" s="207">
        <f>Taulukko5[[#This Row],[Asukasluku]]</f>
        <v>522852</v>
      </c>
      <c r="AE12" s="208"/>
      <c r="AF12" s="209"/>
    </row>
    <row r="13" spans="1:33" x14ac:dyDescent="0.25">
      <c r="A13" s="197">
        <v>7</v>
      </c>
      <c r="B13" s="197" t="s">
        <v>122</v>
      </c>
      <c r="C13" s="203">
        <f>'Määräytymistekijät kunnittain'!N14</f>
        <v>205771</v>
      </c>
      <c r="D13" s="203"/>
      <c r="E13" s="204">
        <v>0</v>
      </c>
      <c r="F13" s="203">
        <f>'Määräytymistekijät kunnittain'!Q14</f>
        <v>11510</v>
      </c>
      <c r="G13" s="203">
        <f>'Määräytymistekijät kunnittain'!R14</f>
        <v>5713.72</v>
      </c>
      <c r="H13" s="205">
        <f t="shared" si="0"/>
        <v>36.013490335543217</v>
      </c>
      <c r="I13" s="422">
        <f t="shared" si="1"/>
        <v>0.50539601286714941</v>
      </c>
      <c r="J13" s="206"/>
      <c r="K13" s="207"/>
      <c r="AE13" s="208"/>
      <c r="AF13" s="209"/>
    </row>
    <row r="14" spans="1:33" x14ac:dyDescent="0.25">
      <c r="A14" s="197">
        <v>8</v>
      </c>
      <c r="B14" s="197" t="s">
        <v>121</v>
      </c>
      <c r="C14" s="203">
        <f>'Määräytymistekijät kunnittain'!N15</f>
        <v>162812</v>
      </c>
      <c r="D14" s="203">
        <f>'Määräytymistekijät kunnittain'!O15</f>
        <v>1237</v>
      </c>
      <c r="E14" s="204">
        <v>0</v>
      </c>
      <c r="F14" s="203">
        <f>'Määräytymistekijät kunnittain'!Q15</f>
        <v>10155</v>
      </c>
      <c r="G14" s="203">
        <f>'Määräytymistekijät kunnittain'!R15</f>
        <v>4558.54</v>
      </c>
      <c r="H14" s="205">
        <f t="shared" si="0"/>
        <v>35.715821293659815</v>
      </c>
      <c r="I14" s="422">
        <f t="shared" si="1"/>
        <v>0.50960817267400127</v>
      </c>
      <c r="J14" s="206"/>
      <c r="K14" s="207"/>
      <c r="AE14" s="208"/>
      <c r="AF14" s="209"/>
    </row>
    <row r="15" spans="1:33" x14ac:dyDescent="0.25">
      <c r="A15" s="197">
        <v>9</v>
      </c>
      <c r="B15" s="197" t="s">
        <v>120</v>
      </c>
      <c r="C15" s="203">
        <f>'Määräytymistekijät kunnittain'!N16</f>
        <v>126921</v>
      </c>
      <c r="D15" s="203"/>
      <c r="E15" s="204">
        <v>0</v>
      </c>
      <c r="F15" s="203">
        <f>'Määräytymistekijät kunnittain'!Q16</f>
        <v>8272</v>
      </c>
      <c r="G15" s="203">
        <f>'Määräytymistekijät kunnittain'!R16</f>
        <v>5326.37</v>
      </c>
      <c r="H15" s="205">
        <f t="shared" si="0"/>
        <v>23.8287989756626</v>
      </c>
      <c r="I15" s="422">
        <f t="shared" si="1"/>
        <v>0.76382676456344767</v>
      </c>
      <c r="J15" s="206"/>
      <c r="K15" s="207"/>
      <c r="AE15" s="208"/>
      <c r="AF15" s="209"/>
    </row>
    <row r="16" spans="1:33" x14ac:dyDescent="0.25">
      <c r="A16" s="197">
        <v>10</v>
      </c>
      <c r="B16" s="197" t="s">
        <v>119</v>
      </c>
      <c r="C16" s="203">
        <f>'Määräytymistekijät kunnittain'!N17</f>
        <v>132702</v>
      </c>
      <c r="D16" s="203"/>
      <c r="E16" s="204">
        <v>0</v>
      </c>
      <c r="F16" s="203">
        <f>'Määräytymistekijät kunnittain'!Q17</f>
        <v>4656</v>
      </c>
      <c r="G16" s="203">
        <f>'Määräytymistekijät kunnittain'!R17</f>
        <v>12651.54</v>
      </c>
      <c r="H16" s="205">
        <f t="shared" si="0"/>
        <v>10.488999758132211</v>
      </c>
      <c r="I16" s="422">
        <f t="shared" si="1"/>
        <v>1.7352535842039383</v>
      </c>
      <c r="J16" s="215">
        <f>'Määräytymistekijät kunnittain'!AE7</f>
        <v>5927</v>
      </c>
      <c r="K16" s="207"/>
      <c r="AE16" s="208"/>
      <c r="AF16" s="209"/>
    </row>
    <row r="17" spans="1:32" x14ac:dyDescent="0.25">
      <c r="A17" s="197">
        <v>11</v>
      </c>
      <c r="B17" s="197" t="s">
        <v>118</v>
      </c>
      <c r="C17" s="203">
        <f>'Määräytymistekijät kunnittain'!N18</f>
        <v>248265</v>
      </c>
      <c r="D17" s="203"/>
      <c r="E17" s="204">
        <v>0</v>
      </c>
      <c r="F17" s="203">
        <f>'Määräytymistekijät kunnittain'!Q18</f>
        <v>7992</v>
      </c>
      <c r="G17" s="203">
        <f>'Määräytymistekijät kunnittain'!R18</f>
        <v>17344.41</v>
      </c>
      <c r="H17" s="205">
        <f t="shared" si="0"/>
        <v>14.313833678977838</v>
      </c>
      <c r="I17" s="422">
        <f t="shared" si="1"/>
        <v>1.2715723008395969</v>
      </c>
      <c r="J17" s="215"/>
      <c r="K17" s="207">
        <f>Taulukko5[[#This Row],[Asukasluku]]</f>
        <v>248265</v>
      </c>
      <c r="AE17" s="208"/>
      <c r="AF17" s="209"/>
    </row>
    <row r="18" spans="1:32" x14ac:dyDescent="0.25">
      <c r="A18" s="197">
        <v>12</v>
      </c>
      <c r="B18" s="197" t="s">
        <v>117</v>
      </c>
      <c r="C18" s="203">
        <f>'Määräytymistekijät kunnittain'!N19</f>
        <v>163537</v>
      </c>
      <c r="D18" s="203"/>
      <c r="E18" s="204">
        <v>0</v>
      </c>
      <c r="F18" s="203">
        <f>'Määräytymistekijät kunnittain'!Q19</f>
        <v>6557</v>
      </c>
      <c r="G18" s="203">
        <f>'Määräytymistekijät kunnittain'!R19</f>
        <v>18791.07</v>
      </c>
      <c r="H18" s="205">
        <f t="shared" si="0"/>
        <v>8.7029104782218365</v>
      </c>
      <c r="I18" s="422">
        <f t="shared" si="1"/>
        <v>2.0913778753164851</v>
      </c>
      <c r="J18" s="215"/>
      <c r="K18" s="207"/>
      <c r="AE18" s="208"/>
      <c r="AF18" s="209"/>
    </row>
    <row r="19" spans="1:32" x14ac:dyDescent="0.25">
      <c r="A19" s="197">
        <v>13</v>
      </c>
      <c r="B19" s="197" t="s">
        <v>116</v>
      </c>
      <c r="C19" s="203">
        <f>'Määräytymistekijät kunnittain'!N20</f>
        <v>272617</v>
      </c>
      <c r="D19" s="203"/>
      <c r="E19" s="204">
        <v>0</v>
      </c>
      <c r="F19" s="203">
        <f>'Määräytymistekijät kunnittain'!Q20</f>
        <v>9833</v>
      </c>
      <c r="G19" s="203">
        <f>'Määräytymistekijät kunnittain'!R20</f>
        <v>16042.380000000003</v>
      </c>
      <c r="H19" s="205">
        <f t="shared" si="0"/>
        <v>16.993550832233119</v>
      </c>
      <c r="I19" s="422">
        <f t="shared" si="1"/>
        <v>1.0710577562453651</v>
      </c>
      <c r="J19" s="215"/>
      <c r="K19" s="207"/>
      <c r="AE19" s="208"/>
      <c r="AF19" s="209"/>
    </row>
    <row r="20" spans="1:32" x14ac:dyDescent="0.25">
      <c r="A20" s="197">
        <v>14</v>
      </c>
      <c r="B20" s="197" t="s">
        <v>132</v>
      </c>
      <c r="C20" s="203">
        <f>'Määräytymistekijät kunnittain'!N21</f>
        <v>192150</v>
      </c>
      <c r="D20" s="203"/>
      <c r="E20" s="204">
        <v>0</v>
      </c>
      <c r="F20" s="203">
        <f>'Määräytymistekijät kunnittain'!Q21</f>
        <v>4603</v>
      </c>
      <c r="G20" s="203">
        <f>'Määräytymistekijät kunnittain'!R21</f>
        <v>13798.189999999999</v>
      </c>
      <c r="H20" s="205">
        <f t="shared" si="0"/>
        <v>13.925739535402833</v>
      </c>
      <c r="I20" s="422">
        <f t="shared" si="1"/>
        <v>1.3070095400492965</v>
      </c>
      <c r="J20" s="215"/>
      <c r="K20" s="207"/>
      <c r="AE20" s="208"/>
      <c r="AF20" s="209"/>
    </row>
    <row r="21" spans="1:32" x14ac:dyDescent="0.25">
      <c r="A21" s="197">
        <v>15</v>
      </c>
      <c r="B21" s="197" t="s">
        <v>114</v>
      </c>
      <c r="C21" s="203">
        <f>'Määräytymistekijät kunnittain'!N22</f>
        <v>175816</v>
      </c>
      <c r="D21" s="203">
        <f>'Määräytymistekijät kunnittain'!O22</f>
        <v>89085</v>
      </c>
      <c r="E21" s="204">
        <v>0</v>
      </c>
      <c r="F21" s="203">
        <f>'Määräytymistekijät kunnittain'!Q22</f>
        <v>13113</v>
      </c>
      <c r="G21" s="203">
        <f>'Määräytymistekijät kunnittain'!R22</f>
        <v>7401.34</v>
      </c>
      <c r="H21" s="205">
        <f t="shared" si="0"/>
        <v>23.754617407118172</v>
      </c>
      <c r="I21" s="422">
        <f t="shared" si="1"/>
        <v>0.76621206366216332</v>
      </c>
      <c r="J21" s="215">
        <f>'Määräytymistekijät kunnittain'!AE8</f>
        <v>5422</v>
      </c>
      <c r="K21" s="207"/>
      <c r="AE21" s="208"/>
      <c r="AF21" s="209"/>
    </row>
    <row r="22" spans="1:32" x14ac:dyDescent="0.25">
      <c r="A22" s="197">
        <v>16</v>
      </c>
      <c r="B22" s="197" t="s">
        <v>113</v>
      </c>
      <c r="C22" s="203">
        <f>'Määräytymistekijät kunnittain'!N23</f>
        <v>67988</v>
      </c>
      <c r="D22" s="203">
        <f>'Määräytymistekijät kunnittain'!O23</f>
        <v>6149</v>
      </c>
      <c r="E22" s="204">
        <v>0</v>
      </c>
      <c r="F22" s="203">
        <f>'Määräytymistekijät kunnittain'!Q23</f>
        <v>2139</v>
      </c>
      <c r="G22" s="203">
        <f>'Määräytymistekijät kunnittain'!R23</f>
        <v>5019.9800000000005</v>
      </c>
      <c r="H22" s="205">
        <f t="shared" si="0"/>
        <v>13.543480252909372</v>
      </c>
      <c r="I22" s="422">
        <f t="shared" si="1"/>
        <v>1.3438993585938339</v>
      </c>
      <c r="J22" s="215"/>
      <c r="K22" s="207"/>
      <c r="AE22" s="208"/>
      <c r="AF22" s="209"/>
    </row>
    <row r="23" spans="1:32" x14ac:dyDescent="0.25">
      <c r="A23" s="197">
        <v>17</v>
      </c>
      <c r="B23" s="197" t="s">
        <v>112</v>
      </c>
      <c r="C23" s="203">
        <f>'Määräytymistekijät kunnittain'!N24</f>
        <v>413830</v>
      </c>
      <c r="D23" s="203"/>
      <c r="E23" s="204">
        <v>0</v>
      </c>
      <c r="F23" s="203">
        <f>'Määräytymistekijät kunnittain'!Q24</f>
        <v>12855</v>
      </c>
      <c r="G23" s="203">
        <f>'Määräytymistekijät kunnittain'!R24</f>
        <v>36828.320000000007</v>
      </c>
      <c r="H23" s="205">
        <f t="shared" si="0"/>
        <v>11.23673303588108</v>
      </c>
      <c r="I23" s="422">
        <f t="shared" si="1"/>
        <v>1.6197834697054365</v>
      </c>
      <c r="J23" s="215">
        <f>'Määräytymistekijät kunnittain'!AE9</f>
        <v>938</v>
      </c>
      <c r="K23" s="207">
        <f>Taulukko5[[#This Row],[Asukasluku]]</f>
        <v>413830</v>
      </c>
      <c r="AE23" s="208"/>
      <c r="AF23" s="209"/>
    </row>
    <row r="24" spans="1:32" x14ac:dyDescent="0.25">
      <c r="A24" s="197">
        <v>18</v>
      </c>
      <c r="B24" s="197" t="s">
        <v>111</v>
      </c>
      <c r="C24" s="203">
        <f>'Määräytymistekijät kunnittain'!N25</f>
        <v>71664</v>
      </c>
      <c r="D24" s="203"/>
      <c r="E24" s="204">
        <v>0</v>
      </c>
      <c r="F24" s="203">
        <f>'Määräytymistekijät kunnittain'!Q25</f>
        <v>2237</v>
      </c>
      <c r="G24" s="203">
        <f>'Määräytymistekijät kunnittain'!R25</f>
        <v>20197.260000000002</v>
      </c>
      <c r="H24" s="205">
        <f t="shared" si="0"/>
        <v>3.5482040633234404</v>
      </c>
      <c r="I24" s="422">
        <f t="shared" si="1"/>
        <v>5.1296583004205925</v>
      </c>
      <c r="J24" s="206"/>
      <c r="K24" s="207"/>
      <c r="AE24" s="208"/>
      <c r="AF24" s="209"/>
    </row>
    <row r="25" spans="1:32" x14ac:dyDescent="0.25">
      <c r="A25" s="197">
        <v>19</v>
      </c>
      <c r="B25" s="197" t="s">
        <v>110</v>
      </c>
      <c r="C25" s="203">
        <f>'Määräytymistekijät kunnittain'!N26</f>
        <v>176665</v>
      </c>
      <c r="D25" s="203"/>
      <c r="E25" s="203">
        <f>'Määräytymistekijät kunnittain'!P26</f>
        <v>1549</v>
      </c>
      <c r="F25" s="203">
        <f>'Määräytymistekijät kunnittain'!Q26</f>
        <v>5153</v>
      </c>
      <c r="G25" s="203">
        <f>'Määräytymistekijät kunnittain'!R26</f>
        <v>92673.819999999992</v>
      </c>
      <c r="H25" s="205">
        <f t="shared" si="0"/>
        <v>1.9063096783967686</v>
      </c>
      <c r="I25" s="422">
        <f t="shared" si="1"/>
        <v>9.5478057061119799</v>
      </c>
      <c r="J25" s="206"/>
      <c r="K25" s="207"/>
      <c r="AE25" s="208"/>
      <c r="AF25" s="209"/>
    </row>
    <row r="26" spans="1:32" x14ac:dyDescent="0.25">
      <c r="A26" s="198"/>
      <c r="B26" s="216" t="s">
        <v>109</v>
      </c>
      <c r="C26" s="217">
        <f>SUM(C4:C25)</f>
        <v>5503664</v>
      </c>
      <c r="D26" s="217">
        <f>SUM(D4:D25)</f>
        <v>252070</v>
      </c>
      <c r="E26" s="217">
        <f>SUM(E4:E25)</f>
        <v>1549</v>
      </c>
      <c r="F26" s="217">
        <f>SUM(F4:F25)</f>
        <v>430109</v>
      </c>
      <c r="G26" s="217">
        <f>SUM(G4:G25)</f>
        <v>302381.27</v>
      </c>
      <c r="H26" s="218">
        <f>C26/G26</f>
        <v>18.201074425013161</v>
      </c>
      <c r="I26" s="422">
        <f t="shared" si="1"/>
        <v>1</v>
      </c>
      <c r="J26" s="217">
        <f>SUM(J4:J25)</f>
        <v>34709</v>
      </c>
      <c r="K26" s="207">
        <f>SUM(K4:K25)</f>
        <v>3369028</v>
      </c>
      <c r="L26" s="207"/>
      <c r="M26" s="207"/>
      <c r="N26" s="207"/>
      <c r="O26" s="219"/>
      <c r="P26" s="219"/>
      <c r="Q26" s="219"/>
      <c r="R26" s="220"/>
      <c r="S26" s="220"/>
      <c r="T26" s="291"/>
      <c r="U26" s="291"/>
      <c r="V26" s="291"/>
      <c r="W26" s="219"/>
      <c r="X26" s="219"/>
      <c r="Y26" s="219"/>
      <c r="Z26" s="219"/>
      <c r="AA26" s="219"/>
      <c r="AB26" s="219"/>
      <c r="AC26" s="292"/>
      <c r="AD26" s="292"/>
      <c r="AE26" s="208"/>
    </row>
    <row r="27" spans="1:32" x14ac:dyDescent="0.25">
      <c r="A27" s="237"/>
      <c r="B27" s="237"/>
      <c r="C27" s="207"/>
      <c r="D27" s="237"/>
      <c r="E27" s="237"/>
      <c r="F27" s="237"/>
      <c r="G27" s="237"/>
      <c r="H27" s="205"/>
      <c r="I27" s="207"/>
      <c r="J27" s="206"/>
      <c r="K27" s="207"/>
    </row>
    <row r="28" spans="1:32" x14ac:dyDescent="0.25">
      <c r="A28" s="194" t="s">
        <v>634</v>
      </c>
      <c r="B28" s="194"/>
      <c r="C28" s="194"/>
      <c r="D28" s="221"/>
      <c r="E28" s="221"/>
      <c r="F28" s="221"/>
      <c r="G28" s="221"/>
      <c r="H28" s="221"/>
      <c r="I28" s="221"/>
      <c r="J28" s="221"/>
      <c r="K28" s="221"/>
      <c r="L28" s="222"/>
      <c r="M28" s="222"/>
      <c r="AC28" s="198"/>
      <c r="AD28" s="198"/>
    </row>
    <row r="29" spans="1:32" x14ac:dyDescent="0.25">
      <c r="A29" s="228" t="s">
        <v>469</v>
      </c>
      <c r="B29" s="228" t="s">
        <v>134</v>
      </c>
      <c r="C29" s="230" t="s">
        <v>443</v>
      </c>
      <c r="D29" s="231" t="s">
        <v>524</v>
      </c>
      <c r="E29" s="232" t="s">
        <v>429</v>
      </c>
      <c r="F29" s="230" t="s">
        <v>436</v>
      </c>
      <c r="G29" s="231" t="s">
        <v>442</v>
      </c>
      <c r="H29" s="231" t="s">
        <v>441</v>
      </c>
      <c r="I29" s="231" t="s">
        <v>617</v>
      </c>
      <c r="J29" s="231" t="s">
        <v>618</v>
      </c>
      <c r="K29" s="231" t="s">
        <v>619</v>
      </c>
      <c r="L29" s="230" t="s">
        <v>440</v>
      </c>
      <c r="M29" s="230" t="s">
        <v>439</v>
      </c>
      <c r="T29" s="197"/>
      <c r="U29" s="197"/>
      <c r="AD29" s="223"/>
    </row>
    <row r="30" spans="1:32" x14ac:dyDescent="0.25">
      <c r="A30" s="224">
        <v>31</v>
      </c>
      <c r="B30" s="202" t="s">
        <v>131</v>
      </c>
      <c r="C30" s="214">
        <f>C4</f>
        <v>656920</v>
      </c>
      <c r="D30" s="214">
        <f>'Määräytymistekijät kunnittain'!U5</f>
        <v>715.48</v>
      </c>
      <c r="E30" s="431">
        <f t="shared" ref="E30:E52" si="2">C30/D30</f>
        <v>918.15284843741267</v>
      </c>
      <c r="F30" s="213">
        <f t="shared" ref="F30:F52" si="3">$E$52/E30</f>
        <v>1.5875344536897651E-2</v>
      </c>
      <c r="G30" s="198">
        <v>114</v>
      </c>
      <c r="H30" s="198">
        <v>62</v>
      </c>
      <c r="I30" s="198">
        <v>1</v>
      </c>
      <c r="J30" s="198">
        <v>0</v>
      </c>
      <c r="K30" s="198">
        <f>SUM(G30:J30)</f>
        <v>177</v>
      </c>
      <c r="L30" s="198">
        <f t="shared" ref="L30:L52" si="4">K30/C30</f>
        <v>2.6943920112037996E-4</v>
      </c>
      <c r="M30" s="225">
        <f t="shared" ref="M30:M52" si="5">L30/$L$52</f>
        <v>0.40056802576850215</v>
      </c>
      <c r="T30" s="197"/>
      <c r="U30" s="197"/>
      <c r="AD30" s="223"/>
    </row>
    <row r="31" spans="1:32" x14ac:dyDescent="0.25">
      <c r="A31" s="224">
        <v>32</v>
      </c>
      <c r="B31" s="202" t="s">
        <v>130</v>
      </c>
      <c r="C31" s="214">
        <f t="shared" ref="C31:C52" si="6">C5</f>
        <v>274336</v>
      </c>
      <c r="D31" s="214">
        <f>'Määräytymistekijät kunnittain'!U6</f>
        <v>271.14</v>
      </c>
      <c r="E31" s="431">
        <f t="shared" si="2"/>
        <v>1011.7872685697427</v>
      </c>
      <c r="F31" s="213">
        <f t="shared" si="3"/>
        <v>1.4406183255381783E-2</v>
      </c>
      <c r="G31" s="198">
        <v>39</v>
      </c>
      <c r="H31" s="198">
        <v>109</v>
      </c>
      <c r="I31" s="198">
        <v>0</v>
      </c>
      <c r="J31" s="198">
        <v>7</v>
      </c>
      <c r="K31" s="198">
        <f t="shared" ref="K31:K52" si="7">SUM(G31:J31)</f>
        <v>155</v>
      </c>
      <c r="L31" s="198">
        <f t="shared" si="4"/>
        <v>5.6500058322640854E-4</v>
      </c>
      <c r="M31" s="225">
        <f t="shared" si="5"/>
        <v>0.83997119661863551</v>
      </c>
      <c r="T31" s="197"/>
      <c r="U31" s="197"/>
      <c r="AD31" s="226"/>
    </row>
    <row r="32" spans="1:32" x14ac:dyDescent="0.25">
      <c r="A32" s="224">
        <v>33</v>
      </c>
      <c r="B32" s="202" t="s">
        <v>129</v>
      </c>
      <c r="C32" s="214">
        <f t="shared" si="6"/>
        <v>473838</v>
      </c>
      <c r="D32" s="214">
        <f>'Määräytymistekijät kunnittain'!U7</f>
        <v>7857.5299999999988</v>
      </c>
      <c r="E32" s="431">
        <f t="shared" si="2"/>
        <v>60.30368321851779</v>
      </c>
      <c r="F32" s="213">
        <f t="shared" si="3"/>
        <v>0.2417098264737827</v>
      </c>
      <c r="G32" s="198">
        <v>47</v>
      </c>
      <c r="H32" s="198">
        <v>214</v>
      </c>
      <c r="I32" s="198">
        <v>0</v>
      </c>
      <c r="J32" s="198">
        <v>5</v>
      </c>
      <c r="K32" s="198">
        <f t="shared" si="7"/>
        <v>266</v>
      </c>
      <c r="L32" s="198">
        <f t="shared" si="4"/>
        <v>5.613732963586711E-4</v>
      </c>
      <c r="M32" s="225">
        <f t="shared" si="5"/>
        <v>0.83457860662629646</v>
      </c>
      <c r="T32" s="197"/>
      <c r="U32" s="197"/>
      <c r="AD32" s="226"/>
    </row>
    <row r="33" spans="1:30" x14ac:dyDescent="0.25">
      <c r="A33" s="224">
        <v>34</v>
      </c>
      <c r="B33" s="202" t="s">
        <v>128</v>
      </c>
      <c r="C33" s="214">
        <f t="shared" si="6"/>
        <v>98254</v>
      </c>
      <c r="D33" s="214">
        <f>'Määräytymistekijät kunnittain'!U8</f>
        <v>5499.56</v>
      </c>
      <c r="E33" s="431">
        <f t="shared" si="2"/>
        <v>17.865792899795618</v>
      </c>
      <c r="F33" s="213">
        <f t="shared" si="3"/>
        <v>0.81586039243993724</v>
      </c>
      <c r="G33" s="198">
        <v>5</v>
      </c>
      <c r="H33" s="198">
        <v>45</v>
      </c>
      <c r="I33" s="198">
        <v>5</v>
      </c>
      <c r="J33" s="198">
        <v>4</v>
      </c>
      <c r="K33" s="198">
        <f t="shared" si="7"/>
        <v>59</v>
      </c>
      <c r="L33" s="198">
        <f t="shared" si="4"/>
        <v>6.0048445864799402E-4</v>
      </c>
      <c r="M33" s="225">
        <f t="shared" si="5"/>
        <v>0.89272412145339097</v>
      </c>
      <c r="T33" s="197"/>
      <c r="U33" s="197"/>
      <c r="AD33" s="226"/>
    </row>
    <row r="34" spans="1:30" x14ac:dyDescent="0.25">
      <c r="A34" s="227">
        <v>35</v>
      </c>
      <c r="B34" s="211" t="s">
        <v>127</v>
      </c>
      <c r="C34" s="214">
        <f t="shared" si="6"/>
        <v>199330</v>
      </c>
      <c r="D34" s="214">
        <f>'Määräytymistekijät kunnittain'!U9</f>
        <v>1715.62</v>
      </c>
      <c r="E34" s="431">
        <f t="shared" si="2"/>
        <v>116.18540236182838</v>
      </c>
      <c r="F34" s="213">
        <f t="shared" si="3"/>
        <v>0.12545459679250293</v>
      </c>
      <c r="G34" s="198">
        <v>14</v>
      </c>
      <c r="H34" s="198">
        <v>119</v>
      </c>
      <c r="I34" s="198">
        <v>0</v>
      </c>
      <c r="J34" s="198">
        <v>2</v>
      </c>
      <c r="K34" s="198">
        <f t="shared" si="7"/>
        <v>135</v>
      </c>
      <c r="L34" s="198">
        <f t="shared" si="4"/>
        <v>6.7726885064967643E-4</v>
      </c>
      <c r="M34" s="225">
        <f t="shared" si="5"/>
        <v>1.0068774153544033</v>
      </c>
      <c r="T34" s="197"/>
      <c r="U34" s="197"/>
      <c r="AD34" s="226"/>
    </row>
    <row r="35" spans="1:30" x14ac:dyDescent="0.25">
      <c r="A35" s="197">
        <v>2</v>
      </c>
      <c r="B35" s="197" t="s">
        <v>126</v>
      </c>
      <c r="C35" s="214">
        <f t="shared" si="6"/>
        <v>481403</v>
      </c>
      <c r="D35" s="214">
        <f>'Määräytymistekijät kunnittain'!U10</f>
        <v>20537.689999999999</v>
      </c>
      <c r="E35" s="431">
        <f t="shared" si="2"/>
        <v>23.439977913777064</v>
      </c>
      <c r="F35" s="213">
        <f t="shared" si="3"/>
        <v>0.62184328245082188</v>
      </c>
      <c r="G35" s="198">
        <v>40</v>
      </c>
      <c r="H35" s="198">
        <v>255</v>
      </c>
      <c r="I35" s="198">
        <v>6</v>
      </c>
      <c r="J35" s="198">
        <v>17</v>
      </c>
      <c r="K35" s="198">
        <f t="shared" si="7"/>
        <v>318</v>
      </c>
      <c r="L35" s="198">
        <f t="shared" si="4"/>
        <v>6.605692112429711E-4</v>
      </c>
      <c r="M35" s="225">
        <f t="shared" si="5"/>
        <v>0.98205050983963682</v>
      </c>
      <c r="T35" s="197"/>
      <c r="U35" s="197"/>
      <c r="AD35" s="226"/>
    </row>
    <row r="36" spans="1:30" x14ac:dyDescent="0.25">
      <c r="A36" s="197">
        <v>4</v>
      </c>
      <c r="B36" s="197" t="s">
        <v>125</v>
      </c>
      <c r="C36" s="214">
        <f t="shared" si="6"/>
        <v>215416</v>
      </c>
      <c r="D36" s="214">
        <f>'Määräytymistekijät kunnittain'!U11</f>
        <v>11492.680000000002</v>
      </c>
      <c r="E36" s="431">
        <f t="shared" si="2"/>
        <v>18.743756895693604</v>
      </c>
      <c r="F36" s="213">
        <f t="shared" si="3"/>
        <v>0.77764521208801773</v>
      </c>
      <c r="G36" s="198">
        <v>12</v>
      </c>
      <c r="H36" s="198">
        <v>172</v>
      </c>
      <c r="I36" s="198">
        <v>9</v>
      </c>
      <c r="J36" s="198">
        <v>12</v>
      </c>
      <c r="K36" s="198">
        <f t="shared" si="7"/>
        <v>205</v>
      </c>
      <c r="L36" s="198">
        <f t="shared" si="4"/>
        <v>9.516470457161956E-4</v>
      </c>
      <c r="M36" s="225">
        <f t="shared" si="5"/>
        <v>1.4147881108089089</v>
      </c>
      <c r="T36" s="197"/>
      <c r="U36" s="197"/>
      <c r="AD36" s="226"/>
    </row>
    <row r="37" spans="1:30" x14ac:dyDescent="0.25">
      <c r="A37" s="197">
        <v>5</v>
      </c>
      <c r="B37" s="197" t="s">
        <v>124</v>
      </c>
      <c r="C37" s="214">
        <f t="shared" si="6"/>
        <v>170577</v>
      </c>
      <c r="D37" s="214">
        <f>'Määräytymistekijät kunnittain'!U12</f>
        <v>5707.62</v>
      </c>
      <c r="E37" s="431">
        <f t="shared" si="2"/>
        <v>29.885836828660633</v>
      </c>
      <c r="F37" s="213">
        <f t="shared" si="3"/>
        <v>0.48772242484103584</v>
      </c>
      <c r="G37" s="198">
        <v>12</v>
      </c>
      <c r="H37" s="198">
        <v>112</v>
      </c>
      <c r="I37" s="198">
        <v>4</v>
      </c>
      <c r="J37" s="198">
        <v>11</v>
      </c>
      <c r="K37" s="198">
        <f t="shared" si="7"/>
        <v>139</v>
      </c>
      <c r="L37" s="198">
        <f t="shared" si="4"/>
        <v>8.1488125597237615E-4</v>
      </c>
      <c r="M37" s="225">
        <f t="shared" si="5"/>
        <v>1.2114620834062539</v>
      </c>
      <c r="T37" s="197"/>
      <c r="U37" s="197"/>
      <c r="AD37" s="226"/>
    </row>
    <row r="38" spans="1:30" x14ac:dyDescent="0.25">
      <c r="A38" s="197">
        <v>6</v>
      </c>
      <c r="B38" s="197" t="s">
        <v>123</v>
      </c>
      <c r="C38" s="214">
        <f t="shared" si="6"/>
        <v>522852</v>
      </c>
      <c r="D38" s="214">
        <f>'Määräytymistekijät kunnittain'!U13</f>
        <v>15549.789999999999</v>
      </c>
      <c r="E38" s="431">
        <f t="shared" si="2"/>
        <v>33.624376920845876</v>
      </c>
      <c r="F38" s="213">
        <f t="shared" si="3"/>
        <v>0.4334948076745273</v>
      </c>
      <c r="G38" s="198">
        <v>40</v>
      </c>
      <c r="H38" s="198">
        <v>269</v>
      </c>
      <c r="I38" s="198">
        <v>7</v>
      </c>
      <c r="J38" s="198">
        <v>40</v>
      </c>
      <c r="K38" s="198">
        <f t="shared" si="7"/>
        <v>356</v>
      </c>
      <c r="L38" s="198">
        <f t="shared" si="4"/>
        <v>6.8088101413019359E-4</v>
      </c>
      <c r="M38" s="225">
        <f t="shared" si="5"/>
        <v>1.0122475218130302</v>
      </c>
      <c r="T38" s="197"/>
      <c r="U38" s="197"/>
      <c r="AD38" s="226"/>
    </row>
    <row r="39" spans="1:30" x14ac:dyDescent="0.25">
      <c r="A39" s="197">
        <v>7</v>
      </c>
      <c r="B39" s="197" t="s">
        <v>122</v>
      </c>
      <c r="C39" s="214">
        <f t="shared" si="6"/>
        <v>205771</v>
      </c>
      <c r="D39" s="214">
        <f>'Määräytymistekijät kunnittain'!U14</f>
        <v>6941.7500000000009</v>
      </c>
      <c r="E39" s="431">
        <f t="shared" si="2"/>
        <v>29.642525299816324</v>
      </c>
      <c r="F39" s="213">
        <f t="shared" si="3"/>
        <v>0.49172574397931662</v>
      </c>
      <c r="G39" s="198">
        <v>15</v>
      </c>
      <c r="H39" s="198">
        <v>137</v>
      </c>
      <c r="I39" s="198">
        <v>1</v>
      </c>
      <c r="J39" s="198">
        <v>8</v>
      </c>
      <c r="K39" s="198">
        <f t="shared" si="7"/>
        <v>161</v>
      </c>
      <c r="L39" s="198">
        <f t="shared" si="4"/>
        <v>7.8242317916518852E-4</v>
      </c>
      <c r="M39" s="225">
        <f t="shared" si="5"/>
        <v>1.1632075321277684</v>
      </c>
      <c r="T39" s="197"/>
      <c r="U39" s="197"/>
      <c r="AD39" s="226"/>
    </row>
    <row r="40" spans="1:30" x14ac:dyDescent="0.25">
      <c r="A40" s="197">
        <v>8</v>
      </c>
      <c r="B40" s="197" t="s">
        <v>121</v>
      </c>
      <c r="C40" s="214">
        <f t="shared" si="6"/>
        <v>162812</v>
      </c>
      <c r="D40" s="214">
        <f>'Määräytymistekijät kunnittain'!U15</f>
        <v>6768.51</v>
      </c>
      <c r="E40" s="431">
        <f t="shared" si="2"/>
        <v>24.054333967150821</v>
      </c>
      <c r="F40" s="213">
        <f t="shared" si="3"/>
        <v>0.60596118879796146</v>
      </c>
      <c r="G40" s="198">
        <v>11</v>
      </c>
      <c r="H40" s="198">
        <v>129</v>
      </c>
      <c r="I40" s="198">
        <v>9</v>
      </c>
      <c r="J40" s="198">
        <v>9</v>
      </c>
      <c r="K40" s="198">
        <f t="shared" si="7"/>
        <v>158</v>
      </c>
      <c r="L40" s="198">
        <f t="shared" si="4"/>
        <v>9.7044443898484142E-4</v>
      </c>
      <c r="M40" s="225">
        <f t="shared" si="5"/>
        <v>1.4427336906647943</v>
      </c>
      <c r="T40" s="197"/>
      <c r="U40" s="197"/>
      <c r="AD40" s="226"/>
    </row>
    <row r="41" spans="1:30" x14ac:dyDescent="0.25">
      <c r="A41" s="197">
        <v>9</v>
      </c>
      <c r="B41" s="197" t="s">
        <v>120</v>
      </c>
      <c r="C41" s="214">
        <f t="shared" si="6"/>
        <v>126921</v>
      </c>
      <c r="D41" s="214">
        <f>'Määräytymistekijät kunnittain'!U16</f>
        <v>6872.1299999999983</v>
      </c>
      <c r="E41" s="431">
        <f t="shared" si="2"/>
        <v>18.468946309222908</v>
      </c>
      <c r="F41" s="213">
        <f t="shared" si="3"/>
        <v>0.78921626401604883</v>
      </c>
      <c r="G41" s="198">
        <v>4</v>
      </c>
      <c r="H41" s="198">
        <v>97</v>
      </c>
      <c r="I41" s="198">
        <v>10</v>
      </c>
      <c r="J41" s="198">
        <v>11</v>
      </c>
      <c r="K41" s="198">
        <f t="shared" si="7"/>
        <v>122</v>
      </c>
      <c r="L41" s="198">
        <f t="shared" si="4"/>
        <v>9.6122785039512763E-4</v>
      </c>
      <c r="M41" s="225">
        <f t="shared" si="5"/>
        <v>1.4290316358771069</v>
      </c>
      <c r="T41" s="197"/>
      <c r="U41" s="197"/>
      <c r="AD41" s="226"/>
    </row>
    <row r="42" spans="1:30" x14ac:dyDescent="0.25">
      <c r="A42" s="197">
        <v>10</v>
      </c>
      <c r="B42" s="197" t="s">
        <v>119</v>
      </c>
      <c r="C42" s="214">
        <f t="shared" si="6"/>
        <v>132702</v>
      </c>
      <c r="D42" s="214">
        <f>'Määräytymistekijät kunnittain'!U17</f>
        <v>17099.04</v>
      </c>
      <c r="E42" s="431">
        <f t="shared" si="2"/>
        <v>7.7607865704741315</v>
      </c>
      <c r="F42" s="213">
        <f t="shared" si="3"/>
        <v>1.8781592141616392</v>
      </c>
      <c r="G42" s="198">
        <v>7</v>
      </c>
      <c r="H42" s="198">
        <v>95</v>
      </c>
      <c r="I42" s="198">
        <v>1</v>
      </c>
      <c r="J42" s="198">
        <v>9</v>
      </c>
      <c r="K42" s="198">
        <f t="shared" si="7"/>
        <v>112</v>
      </c>
      <c r="L42" s="198">
        <f t="shared" si="4"/>
        <v>8.4399632258745161E-4</v>
      </c>
      <c r="M42" s="225">
        <f t="shared" si="5"/>
        <v>1.2547466711931239</v>
      </c>
      <c r="T42" s="197"/>
      <c r="U42" s="197"/>
      <c r="AD42" s="226"/>
    </row>
    <row r="43" spans="1:30" x14ac:dyDescent="0.25">
      <c r="A43" s="197">
        <v>11</v>
      </c>
      <c r="B43" s="197" t="s">
        <v>118</v>
      </c>
      <c r="C43" s="214">
        <f t="shared" si="6"/>
        <v>248265</v>
      </c>
      <c r="D43" s="214">
        <f>'Määräytymistekijät kunnittain'!U18</f>
        <v>21077.939999999995</v>
      </c>
      <c r="E43" s="431">
        <f t="shared" si="2"/>
        <v>11.778428062704423</v>
      </c>
      <c r="F43" s="213">
        <f t="shared" si="3"/>
        <v>1.2375159680799657</v>
      </c>
      <c r="G43" s="198">
        <v>19</v>
      </c>
      <c r="H43" s="198">
        <v>128</v>
      </c>
      <c r="I43" s="198">
        <v>4</v>
      </c>
      <c r="J43" s="198">
        <v>33</v>
      </c>
      <c r="K43" s="198">
        <f t="shared" si="7"/>
        <v>184</v>
      </c>
      <c r="L43" s="198">
        <f t="shared" si="4"/>
        <v>7.4114353614081728E-4</v>
      </c>
      <c r="M43" s="225">
        <f t="shared" si="5"/>
        <v>1.1018381952163465</v>
      </c>
      <c r="T43" s="197"/>
      <c r="U43" s="197"/>
      <c r="AD43" s="226"/>
    </row>
    <row r="44" spans="1:30" x14ac:dyDescent="0.25">
      <c r="A44" s="197">
        <v>12</v>
      </c>
      <c r="B44" s="197" t="s">
        <v>117</v>
      </c>
      <c r="C44" s="214">
        <f t="shared" si="6"/>
        <v>163537</v>
      </c>
      <c r="D44" s="214">
        <f>'Määräytymistekijät kunnittain'!U19</f>
        <v>22903.22</v>
      </c>
      <c r="E44" s="431">
        <f t="shared" si="2"/>
        <v>7.140349697553444</v>
      </c>
      <c r="F44" s="213">
        <f t="shared" si="3"/>
        <v>2.0413555951569413</v>
      </c>
      <c r="G44" s="198">
        <v>6</v>
      </c>
      <c r="H44" s="198">
        <v>105</v>
      </c>
      <c r="I44" s="198">
        <v>2</v>
      </c>
      <c r="J44" s="198">
        <v>16</v>
      </c>
      <c r="K44" s="198">
        <f t="shared" si="7"/>
        <v>129</v>
      </c>
      <c r="L44" s="198">
        <f t="shared" si="4"/>
        <v>7.8881231770180449E-4</v>
      </c>
      <c r="M44" s="225">
        <f t="shared" si="5"/>
        <v>1.1727060928395419</v>
      </c>
      <c r="T44" s="197"/>
      <c r="U44" s="197"/>
      <c r="AD44" s="226"/>
    </row>
    <row r="45" spans="1:30" x14ac:dyDescent="0.25">
      <c r="A45" s="197">
        <v>13</v>
      </c>
      <c r="B45" s="197" t="s">
        <v>116</v>
      </c>
      <c r="C45" s="214">
        <f t="shared" si="6"/>
        <v>272617</v>
      </c>
      <c r="D45" s="214">
        <f>'Määräytymistekijät kunnittain'!U20</f>
        <v>19011.989999999998</v>
      </c>
      <c r="E45" s="431">
        <f t="shared" si="2"/>
        <v>14.339214358938756</v>
      </c>
      <c r="F45" s="213">
        <f t="shared" si="3"/>
        <v>1.0165126513637435</v>
      </c>
      <c r="G45" s="198">
        <v>15</v>
      </c>
      <c r="H45" s="198">
        <v>155</v>
      </c>
      <c r="I45" s="198">
        <v>3</v>
      </c>
      <c r="J45" s="198">
        <v>5</v>
      </c>
      <c r="K45" s="198">
        <f t="shared" si="7"/>
        <v>178</v>
      </c>
      <c r="L45" s="198">
        <f t="shared" si="4"/>
        <v>6.5293066830021608E-4</v>
      </c>
      <c r="M45" s="225">
        <f t="shared" si="5"/>
        <v>0.97069449314420331</v>
      </c>
      <c r="T45" s="197"/>
      <c r="U45" s="197"/>
      <c r="AD45" s="226"/>
    </row>
    <row r="46" spans="1:30" x14ac:dyDescent="0.25">
      <c r="A46" s="197">
        <v>14</v>
      </c>
      <c r="B46" s="197" t="s">
        <v>132</v>
      </c>
      <c r="C46" s="214">
        <f t="shared" si="6"/>
        <v>192150</v>
      </c>
      <c r="D46" s="214">
        <f>'Määräytymistekijät kunnittain'!U21</f>
        <v>14355.830000000002</v>
      </c>
      <c r="E46" s="431">
        <f t="shared" si="2"/>
        <v>13.384806033506942</v>
      </c>
      <c r="F46" s="213">
        <f t="shared" si="3"/>
        <v>1.0889954452824337</v>
      </c>
      <c r="G46" s="198">
        <v>4</v>
      </c>
      <c r="H46" s="198">
        <v>143</v>
      </c>
      <c r="I46" s="198">
        <v>1</v>
      </c>
      <c r="J46" s="198">
        <v>16</v>
      </c>
      <c r="K46" s="198">
        <f t="shared" si="7"/>
        <v>164</v>
      </c>
      <c r="L46" s="198">
        <f t="shared" si="4"/>
        <v>8.5349986989331252E-4</v>
      </c>
      <c r="M46" s="225">
        <f t="shared" si="5"/>
        <v>1.2688753397991648</v>
      </c>
      <c r="T46" s="197"/>
      <c r="U46" s="197"/>
      <c r="AD46" s="226"/>
    </row>
    <row r="47" spans="1:30" x14ac:dyDescent="0.25">
      <c r="A47" s="197">
        <v>15</v>
      </c>
      <c r="B47" s="197" t="s">
        <v>114</v>
      </c>
      <c r="C47" s="214">
        <f t="shared" si="6"/>
        <v>175816</v>
      </c>
      <c r="D47" s="214">
        <f>'Määräytymistekijät kunnittain'!U22</f>
        <v>17833.75</v>
      </c>
      <c r="E47" s="431">
        <f t="shared" si="2"/>
        <v>9.8586107801219605</v>
      </c>
      <c r="F47" s="213">
        <f t="shared" si="3"/>
        <v>1.4785037295384105</v>
      </c>
      <c r="G47" s="198">
        <v>10</v>
      </c>
      <c r="H47" s="198">
        <v>95</v>
      </c>
      <c r="I47" s="198">
        <v>2</v>
      </c>
      <c r="J47" s="198">
        <v>9</v>
      </c>
      <c r="K47" s="198">
        <f t="shared" si="7"/>
        <v>116</v>
      </c>
      <c r="L47" s="198">
        <f t="shared" si="4"/>
        <v>6.5978067980161073E-4</v>
      </c>
      <c r="M47" s="225">
        <f t="shared" si="5"/>
        <v>0.98087822131811242</v>
      </c>
      <c r="T47" s="197"/>
      <c r="U47" s="197"/>
      <c r="W47" s="293"/>
      <c r="X47" s="293"/>
      <c r="Y47" s="293"/>
      <c r="AD47" s="226"/>
    </row>
    <row r="48" spans="1:30" x14ac:dyDescent="0.25">
      <c r="A48" s="197">
        <v>16</v>
      </c>
      <c r="B48" s="197" t="s">
        <v>113</v>
      </c>
      <c r="C48" s="214">
        <f t="shared" si="6"/>
        <v>67988</v>
      </c>
      <c r="D48" s="214">
        <f>'Määräytymistekijät kunnittain'!U23</f>
        <v>6462.96</v>
      </c>
      <c r="E48" s="431">
        <f t="shared" si="2"/>
        <v>10.519638060579053</v>
      </c>
      <c r="F48" s="213">
        <f t="shared" si="3"/>
        <v>1.3855983183584515</v>
      </c>
      <c r="G48" s="198">
        <v>4</v>
      </c>
      <c r="H48" s="198">
        <v>43</v>
      </c>
      <c r="I48" s="198">
        <v>4</v>
      </c>
      <c r="J48" s="198">
        <v>1</v>
      </c>
      <c r="K48" s="198">
        <f t="shared" si="7"/>
        <v>52</v>
      </c>
      <c r="L48" s="198">
        <f t="shared" si="4"/>
        <v>7.648408542684003E-4</v>
      </c>
      <c r="M48" s="225">
        <f t="shared" si="5"/>
        <v>1.137068361795311</v>
      </c>
      <c r="T48" s="197"/>
      <c r="U48" s="197"/>
      <c r="W48" s="293"/>
      <c r="X48" s="293"/>
      <c r="Y48" s="293"/>
      <c r="AD48" s="226"/>
    </row>
    <row r="49" spans="1:30" x14ac:dyDescent="0.25">
      <c r="A49" s="197">
        <v>17</v>
      </c>
      <c r="B49" s="197" t="s">
        <v>112</v>
      </c>
      <c r="C49" s="214">
        <f t="shared" si="6"/>
        <v>413830</v>
      </c>
      <c r="D49" s="214">
        <f>'Määräytymistekijät kunnittain'!U24</f>
        <v>45852.509999999995</v>
      </c>
      <c r="E49" s="431">
        <f t="shared" si="2"/>
        <v>9.0252420205567816</v>
      </c>
      <c r="F49" s="213">
        <f t="shared" si="3"/>
        <v>1.6150251453953455</v>
      </c>
      <c r="G49" s="198">
        <v>19</v>
      </c>
      <c r="H49" s="198">
        <v>240</v>
      </c>
      <c r="I49" s="198">
        <v>6</v>
      </c>
      <c r="J49" s="198">
        <v>18</v>
      </c>
      <c r="K49" s="198">
        <f t="shared" si="7"/>
        <v>283</v>
      </c>
      <c r="L49" s="198">
        <f t="shared" si="4"/>
        <v>6.838556895343499E-4</v>
      </c>
      <c r="M49" s="225">
        <f t="shared" si="5"/>
        <v>1.0166698918653103</v>
      </c>
      <c r="T49" s="197"/>
      <c r="U49" s="197"/>
      <c r="W49" s="293"/>
      <c r="X49" s="293"/>
      <c r="Y49" s="293"/>
      <c r="AD49" s="226"/>
    </row>
    <row r="50" spans="1:30" x14ac:dyDescent="0.25">
      <c r="A50" s="197">
        <v>18</v>
      </c>
      <c r="B50" s="197" t="s">
        <v>111</v>
      </c>
      <c r="C50" s="214">
        <f t="shared" si="6"/>
        <v>71664</v>
      </c>
      <c r="D50" s="214">
        <f>'Määräytymistekijät kunnittain'!U25</f>
        <v>22687.38</v>
      </c>
      <c r="E50" s="431">
        <f t="shared" si="2"/>
        <v>3.1587605091464943</v>
      </c>
      <c r="F50" s="213">
        <f t="shared" si="3"/>
        <v>4.6144659477259227</v>
      </c>
      <c r="G50" s="198">
        <v>2</v>
      </c>
      <c r="H50" s="198">
        <v>51</v>
      </c>
      <c r="I50" s="198">
        <v>1</v>
      </c>
      <c r="J50" s="198">
        <v>21</v>
      </c>
      <c r="K50" s="198">
        <f t="shared" si="7"/>
        <v>75</v>
      </c>
      <c r="L50" s="198">
        <f t="shared" si="4"/>
        <v>1.0465505693235098E-3</v>
      </c>
      <c r="M50" s="225">
        <f t="shared" si="5"/>
        <v>1.5558786311629675</v>
      </c>
      <c r="T50" s="197"/>
      <c r="U50" s="197"/>
      <c r="W50" s="293"/>
      <c r="X50" s="293"/>
      <c r="Y50" s="293"/>
      <c r="AD50" s="226"/>
    </row>
    <row r="51" spans="1:30" x14ac:dyDescent="0.25">
      <c r="A51" s="197">
        <v>19</v>
      </c>
      <c r="B51" s="197" t="s">
        <v>110</v>
      </c>
      <c r="C51" s="214">
        <f t="shared" si="6"/>
        <v>176665</v>
      </c>
      <c r="D51" s="214">
        <f>'Määräytymistekijät kunnittain'!U26</f>
        <v>100370.04000000001</v>
      </c>
      <c r="E51" s="431">
        <f t="shared" si="2"/>
        <v>1.760136789822939</v>
      </c>
      <c r="F51" s="213">
        <f t="shared" si="3"/>
        <v>8.2811704696793313</v>
      </c>
      <c r="G51" s="198">
        <v>6</v>
      </c>
      <c r="H51" s="198">
        <v>108</v>
      </c>
      <c r="I51" s="198">
        <v>8</v>
      </c>
      <c r="J51" s="198">
        <v>36</v>
      </c>
      <c r="K51" s="198">
        <f t="shared" si="7"/>
        <v>158</v>
      </c>
      <c r="L51" s="198">
        <f t="shared" si="4"/>
        <v>8.9434805988735744E-4</v>
      </c>
      <c r="M51" s="225">
        <f t="shared" si="5"/>
        <v>1.3296032470750658</v>
      </c>
      <c r="T51" s="197"/>
      <c r="U51" s="197"/>
      <c r="W51" s="293"/>
      <c r="X51" s="293"/>
      <c r="Y51" s="293"/>
      <c r="AD51" s="226"/>
    </row>
    <row r="52" spans="1:30" x14ac:dyDescent="0.25">
      <c r="A52" s="216" t="s">
        <v>109</v>
      </c>
      <c r="B52" s="216"/>
      <c r="C52" s="214">
        <f t="shared" si="6"/>
        <v>5503664</v>
      </c>
      <c r="D52" s="214">
        <f>SUM(D30:D51)</f>
        <v>377584.16000000003</v>
      </c>
      <c r="E52" s="431">
        <f t="shared" si="2"/>
        <v>14.575992806477897</v>
      </c>
      <c r="F52" s="198">
        <f t="shared" si="3"/>
        <v>1</v>
      </c>
      <c r="G52" s="198">
        <v>445</v>
      </c>
      <c r="H52" s="198">
        <v>2883</v>
      </c>
      <c r="I52" s="198">
        <f>SUM(I30:I51)</f>
        <v>84</v>
      </c>
      <c r="J52" s="198">
        <f>SUM(J30:J51)</f>
        <v>290</v>
      </c>
      <c r="K52" s="198">
        <f t="shared" si="7"/>
        <v>3702</v>
      </c>
      <c r="L52" s="198">
        <f t="shared" si="4"/>
        <v>6.7264280668296607E-4</v>
      </c>
      <c r="M52" s="213">
        <f t="shared" si="5"/>
        <v>1</v>
      </c>
      <c r="T52" s="197"/>
      <c r="U52" s="197"/>
      <c r="W52" s="293"/>
      <c r="X52" s="293"/>
      <c r="Y52" s="293"/>
      <c r="AD52" s="226"/>
    </row>
    <row r="53" spans="1:30" x14ac:dyDescent="0.25">
      <c r="U53" s="293"/>
      <c r="V53" s="293"/>
      <c r="W53" s="293"/>
      <c r="AB53" s="198"/>
      <c r="AC53" s="198"/>
      <c r="AD53" s="198"/>
    </row>
    <row r="54" spans="1:30" x14ac:dyDescent="0.25">
      <c r="X54" s="293"/>
      <c r="Y54" s="293"/>
      <c r="Z54" s="293"/>
    </row>
    <row r="55" spans="1:30" x14ac:dyDescent="0.25">
      <c r="G55" s="216"/>
      <c r="X55" s="293"/>
      <c r="Y55" s="293"/>
      <c r="Z55" s="293"/>
    </row>
    <row r="56" spans="1:30" x14ac:dyDescent="0.25">
      <c r="X56" s="293"/>
      <c r="Y56" s="293"/>
      <c r="Z56" s="293"/>
    </row>
    <row r="57" spans="1:30" x14ac:dyDescent="0.25">
      <c r="X57" s="293"/>
      <c r="Y57" s="293"/>
      <c r="Z57" s="293"/>
    </row>
    <row r="58" spans="1:30" x14ac:dyDescent="0.25">
      <c r="X58" s="293"/>
      <c r="Y58" s="293"/>
      <c r="Z58" s="293"/>
    </row>
    <row r="59" spans="1:30" x14ac:dyDescent="0.25">
      <c r="X59" s="293"/>
      <c r="Y59" s="293"/>
      <c r="Z59" s="293"/>
    </row>
    <row r="60" spans="1:30" x14ac:dyDescent="0.25">
      <c r="X60" s="293"/>
      <c r="Y60" s="293"/>
      <c r="Z60" s="293"/>
    </row>
    <row r="61" spans="1:30" x14ac:dyDescent="0.25">
      <c r="X61" s="293"/>
      <c r="Y61" s="293"/>
      <c r="Z61" s="293"/>
    </row>
    <row r="62" spans="1:30" x14ac:dyDescent="0.25">
      <c r="X62" s="293"/>
      <c r="Y62" s="293"/>
      <c r="Z62" s="293"/>
    </row>
    <row r="63" spans="1:30" x14ac:dyDescent="0.25">
      <c r="X63" s="293"/>
      <c r="Y63" s="293"/>
      <c r="Z63" s="293"/>
    </row>
    <row r="64" spans="1:30" x14ac:dyDescent="0.25">
      <c r="X64" s="293"/>
      <c r="Y64" s="293"/>
      <c r="Z64" s="293"/>
    </row>
    <row r="65" spans="24:26" x14ac:dyDescent="0.25">
      <c r="X65" s="293"/>
      <c r="Y65" s="293"/>
      <c r="Z65" s="293"/>
    </row>
    <row r="66" spans="24:26" x14ac:dyDescent="0.25">
      <c r="X66" s="293"/>
      <c r="Y66" s="293"/>
      <c r="Z66" s="293"/>
    </row>
    <row r="67" spans="24:26" x14ac:dyDescent="0.25">
      <c r="X67" s="293"/>
      <c r="Y67" s="293"/>
      <c r="Z67" s="293"/>
    </row>
    <row r="68" spans="24:26" x14ac:dyDescent="0.25">
      <c r="X68" s="293"/>
      <c r="Y68" s="293"/>
      <c r="Z68" s="293"/>
    </row>
    <row r="69" spans="24:26" x14ac:dyDescent="0.25">
      <c r="X69" s="293"/>
      <c r="Y69" s="293"/>
      <c r="Z69" s="293"/>
    </row>
    <row r="70" spans="24:26" x14ac:dyDescent="0.25">
      <c r="X70" s="293"/>
      <c r="Y70" s="293"/>
      <c r="Z70" s="293"/>
    </row>
    <row r="71" spans="24:26" x14ac:dyDescent="0.25">
      <c r="X71" s="219"/>
      <c r="Y71" s="219"/>
      <c r="Z71" s="219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E297"/>
  <sheetViews>
    <sheetView zoomScale="80" zoomScaleNormal="80" workbookViewId="0">
      <selection activeCell="O6" sqref="O6"/>
    </sheetView>
  </sheetViews>
  <sheetFormatPr defaultColWidth="8.625" defaultRowHeight="16.5" x14ac:dyDescent="0.3"/>
  <cols>
    <col min="1" max="1" width="11.625" style="404" customWidth="1"/>
    <col min="2" max="2" width="8.625" style="404"/>
    <col min="3" max="3" width="18.875" style="404" customWidth="1"/>
    <col min="4" max="4" width="11.625" style="404" customWidth="1"/>
    <col min="5" max="6" width="14.125" style="404" customWidth="1"/>
    <col min="7" max="7" width="13" style="404" customWidth="1"/>
    <col min="8" max="8" width="16.625" style="404" customWidth="1"/>
    <col min="9" max="9" width="13" style="404" customWidth="1"/>
    <col min="10" max="10" width="20.625" style="404" customWidth="1"/>
    <col min="11" max="11" width="8.625" style="404"/>
    <col min="12" max="12" width="17.125" style="404" bestFit="1" customWidth="1"/>
    <col min="13" max="13" width="18.375" style="404" customWidth="1"/>
    <col min="14" max="14" width="11.625" style="404" customWidth="1"/>
    <col min="15" max="16" width="14.125" style="404" customWidth="1"/>
    <col min="17" max="17" width="12.875" style="404" customWidth="1"/>
    <col min="18" max="18" width="12.625" style="404" customWidth="1"/>
    <col min="19" max="19" width="13" style="404" customWidth="1"/>
    <col min="20" max="20" width="18.625" style="404" customWidth="1"/>
    <col min="21" max="21" width="17" style="404" customWidth="1"/>
    <col min="22" max="22" width="8.625" style="404"/>
    <col min="23" max="23" width="15.875" style="404" customWidth="1"/>
    <col min="24" max="24" width="9.625" style="404" customWidth="1"/>
    <col min="25" max="25" width="17.125" style="404" customWidth="1"/>
    <col min="26" max="26" width="16.875" style="404" customWidth="1"/>
    <col min="27" max="27" width="15.5" style="404" customWidth="1"/>
    <col min="28" max="28" width="16.625" style="404" bestFit="1" customWidth="1"/>
    <col min="29" max="29" width="15" style="404" customWidth="1"/>
    <col min="30" max="30" width="16.875" style="404" customWidth="1"/>
    <col min="31" max="31" width="17.875" style="404" customWidth="1"/>
    <col min="32" max="16384" width="8.625" style="404"/>
  </cols>
  <sheetData>
    <row r="1" spans="1:31" ht="23.25" x14ac:dyDescent="0.35">
      <c r="A1" s="440" t="s">
        <v>631</v>
      </c>
    </row>
    <row r="3" spans="1:31" s="402" customFormat="1" x14ac:dyDescent="0.3">
      <c r="A3" s="401" t="s">
        <v>565</v>
      </c>
      <c r="B3" s="401" t="s">
        <v>449</v>
      </c>
      <c r="C3" s="401" t="s">
        <v>469</v>
      </c>
      <c r="D3" s="401" t="s">
        <v>443</v>
      </c>
      <c r="E3" s="401" t="s">
        <v>633</v>
      </c>
      <c r="F3" s="401" t="s">
        <v>566</v>
      </c>
      <c r="G3" s="401" t="s">
        <v>567</v>
      </c>
      <c r="H3" s="401" t="s">
        <v>473</v>
      </c>
      <c r="I3" s="401" t="s">
        <v>429</v>
      </c>
      <c r="J3" s="401" t="s">
        <v>636</v>
      </c>
      <c r="K3" s="442"/>
      <c r="L3" s="403" t="s">
        <v>469</v>
      </c>
      <c r="M3" s="403" t="s">
        <v>134</v>
      </c>
      <c r="N3" s="403" t="s">
        <v>443</v>
      </c>
      <c r="O3" s="401" t="s">
        <v>633</v>
      </c>
      <c r="P3" s="403" t="s">
        <v>566</v>
      </c>
      <c r="Q3" s="403" t="s">
        <v>567</v>
      </c>
      <c r="R3" s="403" t="s">
        <v>568</v>
      </c>
      <c r="S3" s="401" t="s">
        <v>429</v>
      </c>
      <c r="T3" s="401" t="s">
        <v>436</v>
      </c>
      <c r="U3" s="401" t="s">
        <v>637</v>
      </c>
      <c r="V3" s="442"/>
      <c r="W3" s="420" t="s">
        <v>652</v>
      </c>
      <c r="X3" s="405"/>
      <c r="Y3" s="405"/>
      <c r="Z3" s="406"/>
      <c r="AA3" s="406"/>
      <c r="AB3" s="407"/>
      <c r="AC3" s="407"/>
      <c r="AD3" s="407"/>
      <c r="AE3" s="407"/>
    </row>
    <row r="4" spans="1:31" x14ac:dyDescent="0.3">
      <c r="B4" s="416" t="s">
        <v>632</v>
      </c>
      <c r="D4" s="404">
        <f>SUM(D5:D297)</f>
        <v>5503664</v>
      </c>
      <c r="E4" s="404">
        <f t="shared" ref="E4:J4" si="0">SUM(E5:E297)</f>
        <v>261885</v>
      </c>
      <c r="F4" s="404">
        <f t="shared" si="0"/>
        <v>2008</v>
      </c>
      <c r="G4" s="404">
        <f t="shared" si="0"/>
        <v>430109</v>
      </c>
      <c r="H4" s="419">
        <f t="shared" si="0"/>
        <v>302381.27</v>
      </c>
      <c r="I4" s="418">
        <f>D4/H4</f>
        <v>18.201074425013161</v>
      </c>
      <c r="J4" s="419">
        <f t="shared" si="0"/>
        <v>377584.15999999986</v>
      </c>
      <c r="L4" s="408"/>
      <c r="M4" s="409" t="s">
        <v>109</v>
      </c>
      <c r="N4" s="421">
        <f>SUM(N5:N26)</f>
        <v>5503664</v>
      </c>
      <c r="O4" s="421">
        <f>SUM(O5:O26)</f>
        <v>261885</v>
      </c>
      <c r="P4" s="421">
        <f>SUM(P5:P26)</f>
        <v>2008</v>
      </c>
      <c r="Q4" s="421">
        <f>SUM(Q5:Q26)</f>
        <v>430109</v>
      </c>
      <c r="R4" s="421">
        <f>SUM(R5:R26)</f>
        <v>302381.27</v>
      </c>
      <c r="S4" s="419">
        <f>N4/R4</f>
        <v>18.201074425013161</v>
      </c>
      <c r="T4" s="417">
        <f>S$4/S4</f>
        <v>1</v>
      </c>
      <c r="U4" s="421">
        <f>SUM(U5:U26)</f>
        <v>377584.16000000003</v>
      </c>
      <c r="W4" s="445" t="s">
        <v>596</v>
      </c>
      <c r="X4" s="445"/>
      <c r="Y4" s="446" t="s">
        <v>597</v>
      </c>
      <c r="Z4" s="447" t="s">
        <v>598</v>
      </c>
      <c r="AA4" s="448"/>
      <c r="AB4" s="445"/>
      <c r="AC4" s="445"/>
      <c r="AD4" s="445"/>
      <c r="AE4" s="447" t="s">
        <v>598</v>
      </c>
    </row>
    <row r="5" spans="1:31" x14ac:dyDescent="0.3">
      <c r="A5" s="404">
        <v>5</v>
      </c>
      <c r="B5" s="404" t="s">
        <v>426</v>
      </c>
      <c r="C5" s="404">
        <v>14</v>
      </c>
      <c r="D5" s="404">
        <v>9419</v>
      </c>
      <c r="E5" s="404">
        <v>13</v>
      </c>
      <c r="F5" s="404">
        <v>0</v>
      </c>
      <c r="G5" s="404">
        <v>287</v>
      </c>
      <c r="H5" s="419">
        <v>1008.85</v>
      </c>
      <c r="I5" s="418">
        <v>9.3363730980819746</v>
      </c>
      <c r="J5" s="419">
        <v>1056.75</v>
      </c>
      <c r="L5" s="410">
        <v>31</v>
      </c>
      <c r="M5" s="411" t="s">
        <v>131</v>
      </c>
      <c r="N5" s="421">
        <f>SUMIF($C$5:$C$298,$L5,D$5:D$298)</f>
        <v>656920</v>
      </c>
      <c r="O5" s="421">
        <f>SUMIF($C$5:$C$298,$L5,E$5:E$298)</f>
        <v>36754</v>
      </c>
      <c r="P5" s="421">
        <f>SUMIF($C$5:$C$298,$L5,F$5:F$298)</f>
        <v>63</v>
      </c>
      <c r="Q5" s="421">
        <f>SUMIF($C$5:$C$298,$L5,G$5:G$298)</f>
        <v>109254</v>
      </c>
      <c r="R5" s="421">
        <f>SUMIF($C$5:$C$298,$L5,H$5:H$298)</f>
        <v>214.29</v>
      </c>
      <c r="S5" s="419">
        <f>N5/R5</f>
        <v>3065.5653553595594</v>
      </c>
      <c r="T5" s="417">
        <f t="shared" ref="T5:T26" si="1">S$4/S5</f>
        <v>5.9372651746575997E-3</v>
      </c>
      <c r="U5" s="421">
        <f>SUMIF($C$5:$C$298,$L5,J$5:J$298)</f>
        <v>715.48</v>
      </c>
      <c r="W5" s="449" t="s">
        <v>565</v>
      </c>
      <c r="X5" s="450" t="s">
        <v>449</v>
      </c>
      <c r="Y5" s="450" t="s">
        <v>594</v>
      </c>
      <c r="Z5" s="450" t="s">
        <v>595</v>
      </c>
      <c r="AA5" s="451" t="s">
        <v>599</v>
      </c>
      <c r="AB5" s="450" t="s">
        <v>600</v>
      </c>
      <c r="AC5" s="451" t="s">
        <v>645</v>
      </c>
      <c r="AD5" s="450" t="s">
        <v>646</v>
      </c>
      <c r="AE5" s="450" t="s">
        <v>647</v>
      </c>
    </row>
    <row r="6" spans="1:31" x14ac:dyDescent="0.3">
      <c r="A6" s="404">
        <v>9</v>
      </c>
      <c r="B6" s="404" t="s">
        <v>425</v>
      </c>
      <c r="C6" s="404">
        <v>17</v>
      </c>
      <c r="D6" s="404">
        <v>2517</v>
      </c>
      <c r="E6" s="404">
        <v>5</v>
      </c>
      <c r="F6" s="404">
        <v>0</v>
      </c>
      <c r="G6" s="404">
        <v>20</v>
      </c>
      <c r="H6" s="419">
        <v>251.5</v>
      </c>
      <c r="I6" s="418">
        <v>10.007952286282306</v>
      </c>
      <c r="J6" s="419">
        <v>253.02</v>
      </c>
      <c r="L6" s="410">
        <v>32</v>
      </c>
      <c r="M6" s="411" t="s">
        <v>130</v>
      </c>
      <c r="N6" s="421">
        <f t="shared" ref="N6:N26" si="2">SUMIF($C$5:$C$298,$L6,D$5:D$298)</f>
        <v>274336</v>
      </c>
      <c r="O6" s="421">
        <f t="shared" ref="O6:O26" si="3">SUMIF($C$5:$C$298,$L6,E$5:E$298)</f>
        <v>6033</v>
      </c>
      <c r="P6" s="421">
        <f t="shared" ref="P6:P26" si="4">SUMIF($C$5:$C$298,$L6,F$5:F$298)</f>
        <v>21</v>
      </c>
      <c r="Q6" s="421">
        <f t="shared" ref="Q6:Q26" si="5">SUMIF($C$5:$C$298,$L6,G$5:G$298)</f>
        <v>55806</v>
      </c>
      <c r="R6" s="421">
        <f t="shared" ref="R6:R26" si="6">SUMIF($C$5:$C$298,$L6,H$5:H$298)</f>
        <v>269</v>
      </c>
      <c r="S6" s="419">
        <f t="shared" ref="S6:S26" si="7">N6/R6</f>
        <v>1019.8364312267659</v>
      </c>
      <c r="T6" s="417">
        <f t="shared" si="1"/>
        <v>1.784705259363897E-2</v>
      </c>
      <c r="U6" s="421">
        <f t="shared" ref="U6:U26" si="8">SUMIF($C$5:$C$298,$L6,J$5:J$298)</f>
        <v>271.14</v>
      </c>
      <c r="W6" s="452" t="s">
        <v>601</v>
      </c>
      <c r="X6" s="450" t="s">
        <v>602</v>
      </c>
      <c r="Y6" s="450">
        <v>1369</v>
      </c>
      <c r="Z6" s="450">
        <v>1348</v>
      </c>
      <c r="AA6" s="450">
        <v>10</v>
      </c>
      <c r="AB6" s="450" t="s">
        <v>119</v>
      </c>
      <c r="AC6" s="450">
        <v>2</v>
      </c>
      <c r="AD6" s="450" t="s">
        <v>126</v>
      </c>
      <c r="AE6" s="450">
        <f>SUMIF(AA6:AA13,AC6,Z6:Z13)</f>
        <v>22422</v>
      </c>
    </row>
    <row r="7" spans="1:31" x14ac:dyDescent="0.3">
      <c r="A7" s="404">
        <v>10</v>
      </c>
      <c r="B7" s="404" t="s">
        <v>424</v>
      </c>
      <c r="C7" s="404">
        <v>14</v>
      </c>
      <c r="D7" s="404">
        <v>11332</v>
      </c>
      <c r="E7" s="404">
        <v>8</v>
      </c>
      <c r="F7" s="404">
        <v>1</v>
      </c>
      <c r="G7" s="404">
        <v>186</v>
      </c>
      <c r="H7" s="419">
        <v>1087.24</v>
      </c>
      <c r="I7" s="418">
        <v>10.422721754166513</v>
      </c>
      <c r="J7" s="419">
        <v>1151.46</v>
      </c>
      <c r="L7" s="410">
        <v>33</v>
      </c>
      <c r="M7" s="411" t="s">
        <v>129</v>
      </c>
      <c r="N7" s="421">
        <f t="shared" si="2"/>
        <v>473838</v>
      </c>
      <c r="O7" s="421">
        <f t="shared" si="3"/>
        <v>57370</v>
      </c>
      <c r="P7" s="421">
        <f t="shared" si="4"/>
        <v>34</v>
      </c>
      <c r="Q7" s="421">
        <f t="shared" si="5"/>
        <v>67184</v>
      </c>
      <c r="R7" s="421">
        <f t="shared" si="6"/>
        <v>4245.0600000000004</v>
      </c>
      <c r="S7" s="419">
        <f t="shared" si="7"/>
        <v>111.62103715848538</v>
      </c>
      <c r="T7" s="417">
        <f t="shared" si="1"/>
        <v>0.16306132686413158</v>
      </c>
      <c r="U7" s="421">
        <f t="shared" si="8"/>
        <v>7857.5299999999988</v>
      </c>
      <c r="W7" s="452" t="s">
        <v>603</v>
      </c>
      <c r="X7" s="450" t="s">
        <v>604</v>
      </c>
      <c r="Y7" s="450">
        <v>949</v>
      </c>
      <c r="Z7" s="450">
        <v>938</v>
      </c>
      <c r="AA7" s="450">
        <v>17</v>
      </c>
      <c r="AB7" s="450" t="s">
        <v>112</v>
      </c>
      <c r="AC7" s="450">
        <v>10</v>
      </c>
      <c r="AD7" s="450" t="s">
        <v>119</v>
      </c>
      <c r="AE7" s="450">
        <f>SUMIF(AA6:AA13,AC7,Z6:Z13)</f>
        <v>5927</v>
      </c>
    </row>
    <row r="8" spans="1:31" x14ac:dyDescent="0.3">
      <c r="A8" s="404">
        <v>16</v>
      </c>
      <c r="B8" s="404" t="s">
        <v>423</v>
      </c>
      <c r="C8" s="404">
        <v>7</v>
      </c>
      <c r="D8" s="404">
        <v>8059</v>
      </c>
      <c r="E8" s="404">
        <v>16</v>
      </c>
      <c r="F8" s="404">
        <v>2</v>
      </c>
      <c r="G8" s="404">
        <v>192</v>
      </c>
      <c r="H8" s="419">
        <v>563.34</v>
      </c>
      <c r="I8" s="418">
        <v>14.305747860972058</v>
      </c>
      <c r="J8" s="419">
        <v>755.55</v>
      </c>
      <c r="L8" s="410">
        <v>34</v>
      </c>
      <c r="M8" s="411" t="s">
        <v>128</v>
      </c>
      <c r="N8" s="421">
        <f t="shared" si="2"/>
        <v>98254</v>
      </c>
      <c r="O8" s="421">
        <f t="shared" si="3"/>
        <v>28089</v>
      </c>
      <c r="P8" s="421">
        <f t="shared" si="4"/>
        <v>3</v>
      </c>
      <c r="Q8" s="421">
        <f t="shared" si="5"/>
        <v>6020</v>
      </c>
      <c r="R8" s="421">
        <f t="shared" si="6"/>
        <v>2701.91</v>
      </c>
      <c r="S8" s="419">
        <f t="shared" si="7"/>
        <v>36.364645750598655</v>
      </c>
      <c r="T8" s="417">
        <f t="shared" si="1"/>
        <v>0.50051565330355308</v>
      </c>
      <c r="U8" s="421">
        <f t="shared" si="8"/>
        <v>5499.56</v>
      </c>
      <c r="W8" s="452" t="s">
        <v>605</v>
      </c>
      <c r="X8" s="450" t="s">
        <v>606</v>
      </c>
      <c r="Y8" s="450">
        <v>6609</v>
      </c>
      <c r="Z8" s="450">
        <v>6507</v>
      </c>
      <c r="AA8" s="450">
        <v>2</v>
      </c>
      <c r="AB8" s="450" t="s">
        <v>126</v>
      </c>
      <c r="AC8" s="450">
        <v>15</v>
      </c>
      <c r="AD8" s="450" t="s">
        <v>114</v>
      </c>
      <c r="AE8" s="450">
        <f>SUMIF(AA6:AA13,AC8,Z6:Z13)</f>
        <v>5422</v>
      </c>
    </row>
    <row r="9" spans="1:31" x14ac:dyDescent="0.3">
      <c r="A9" s="404">
        <v>18</v>
      </c>
      <c r="B9" s="404" t="s">
        <v>422</v>
      </c>
      <c r="C9" s="404">
        <v>34</v>
      </c>
      <c r="D9" s="404">
        <v>4878</v>
      </c>
      <c r="E9" s="404">
        <v>167</v>
      </c>
      <c r="F9" s="404">
        <v>0</v>
      </c>
      <c r="G9" s="404">
        <v>140</v>
      </c>
      <c r="H9" s="419">
        <v>212.44</v>
      </c>
      <c r="I9" s="418">
        <v>22.961777443042742</v>
      </c>
      <c r="J9" s="419">
        <v>218.03</v>
      </c>
      <c r="L9" s="410">
        <v>35</v>
      </c>
      <c r="M9" s="411" t="s">
        <v>127</v>
      </c>
      <c r="N9" s="421">
        <f t="shared" si="2"/>
        <v>199330</v>
      </c>
      <c r="O9" s="421">
        <f t="shared" si="3"/>
        <v>2293</v>
      </c>
      <c r="P9" s="421">
        <f t="shared" si="4"/>
        <v>12</v>
      </c>
      <c r="Q9" s="421">
        <f t="shared" si="5"/>
        <v>11899</v>
      </c>
      <c r="R9" s="421">
        <f t="shared" si="6"/>
        <v>1669.01</v>
      </c>
      <c r="S9" s="419">
        <f t="shared" si="7"/>
        <v>119.43008130568421</v>
      </c>
      <c r="T9" s="417">
        <f t="shared" si="1"/>
        <v>0.15239941416791861</v>
      </c>
      <c r="U9" s="421">
        <f t="shared" si="8"/>
        <v>1715.62</v>
      </c>
      <c r="W9" s="452" t="s">
        <v>607</v>
      </c>
      <c r="X9" s="450" t="s">
        <v>608</v>
      </c>
      <c r="Y9" s="450">
        <v>962</v>
      </c>
      <c r="Z9" s="450">
        <v>945</v>
      </c>
      <c r="AA9" s="450">
        <v>2</v>
      </c>
      <c r="AB9" s="450" t="s">
        <v>126</v>
      </c>
      <c r="AC9" s="450">
        <v>17</v>
      </c>
      <c r="AD9" s="450" t="s">
        <v>112</v>
      </c>
      <c r="AE9" s="450">
        <f>SUMIF(AA6:AA13,AC9,Z6:Z13)</f>
        <v>938</v>
      </c>
    </row>
    <row r="10" spans="1:31" x14ac:dyDescent="0.3">
      <c r="A10" s="404">
        <v>19</v>
      </c>
      <c r="B10" s="404" t="s">
        <v>421</v>
      </c>
      <c r="C10" s="404">
        <v>2</v>
      </c>
      <c r="D10" s="404">
        <v>3959</v>
      </c>
      <c r="E10" s="404">
        <v>25</v>
      </c>
      <c r="F10" s="404">
        <v>0</v>
      </c>
      <c r="G10" s="404">
        <v>103</v>
      </c>
      <c r="H10" s="419">
        <v>95.01</v>
      </c>
      <c r="I10" s="418">
        <v>41.669297968634879</v>
      </c>
      <c r="J10" s="419">
        <v>95.58</v>
      </c>
      <c r="L10" s="412">
        <v>2</v>
      </c>
      <c r="M10" s="413" t="s">
        <v>126</v>
      </c>
      <c r="N10" s="421">
        <f t="shared" si="2"/>
        <v>481403</v>
      </c>
      <c r="O10" s="421">
        <f t="shared" si="3"/>
        <v>27353</v>
      </c>
      <c r="P10" s="421">
        <f t="shared" si="4"/>
        <v>23</v>
      </c>
      <c r="Q10" s="421">
        <f t="shared" si="5"/>
        <v>37858</v>
      </c>
      <c r="R10" s="421">
        <f t="shared" si="6"/>
        <v>10666.06</v>
      </c>
      <c r="S10" s="419">
        <f t="shared" si="7"/>
        <v>45.134098251838076</v>
      </c>
      <c r="T10" s="417">
        <f t="shared" si="1"/>
        <v>0.40326660174875489</v>
      </c>
      <c r="U10" s="421">
        <f t="shared" si="8"/>
        <v>20537.689999999999</v>
      </c>
      <c r="W10" s="452" t="s">
        <v>609</v>
      </c>
      <c r="X10" s="450" t="s">
        <v>610</v>
      </c>
      <c r="Y10" s="450">
        <v>5451</v>
      </c>
      <c r="Z10" s="450">
        <v>5422</v>
      </c>
      <c r="AA10" s="450">
        <v>15</v>
      </c>
      <c r="AB10" s="450" t="s">
        <v>114</v>
      </c>
      <c r="AC10" s="450"/>
      <c r="AD10" s="450"/>
      <c r="AE10" s="450"/>
    </row>
    <row r="11" spans="1:31" x14ac:dyDescent="0.3">
      <c r="A11" s="404">
        <v>20</v>
      </c>
      <c r="B11" s="404" t="s">
        <v>420</v>
      </c>
      <c r="C11" s="404">
        <v>6</v>
      </c>
      <c r="D11" s="404">
        <v>16391</v>
      </c>
      <c r="E11" s="404">
        <v>31</v>
      </c>
      <c r="F11" s="404">
        <v>0</v>
      </c>
      <c r="G11" s="404">
        <v>392</v>
      </c>
      <c r="H11" s="419">
        <v>293.26</v>
      </c>
      <c r="I11" s="418">
        <v>55.892382186455706</v>
      </c>
      <c r="J11" s="419">
        <v>314.38</v>
      </c>
      <c r="L11" s="412">
        <v>4</v>
      </c>
      <c r="M11" s="413" t="s">
        <v>125</v>
      </c>
      <c r="N11" s="421">
        <f t="shared" si="2"/>
        <v>215416</v>
      </c>
      <c r="O11" s="421">
        <f t="shared" si="3"/>
        <v>789</v>
      </c>
      <c r="P11" s="421">
        <f t="shared" si="4"/>
        <v>2</v>
      </c>
      <c r="Q11" s="421">
        <f t="shared" si="5"/>
        <v>8543</v>
      </c>
      <c r="R11" s="421">
        <f t="shared" si="6"/>
        <v>7821.14</v>
      </c>
      <c r="S11" s="419">
        <f t="shared" si="7"/>
        <v>27.542787880027717</v>
      </c>
      <c r="T11" s="417">
        <f t="shared" si="1"/>
        <v>0.66082905275581871</v>
      </c>
      <c r="U11" s="421">
        <f t="shared" si="8"/>
        <v>11492.680000000002</v>
      </c>
      <c r="W11" s="452" t="s">
        <v>611</v>
      </c>
      <c r="X11" s="450" t="s">
        <v>612</v>
      </c>
      <c r="Y11" s="450">
        <v>15105</v>
      </c>
      <c r="Z11" s="450">
        <v>14970</v>
      </c>
      <c r="AA11" s="450">
        <v>2</v>
      </c>
      <c r="AB11" s="450" t="s">
        <v>126</v>
      </c>
      <c r="AC11" s="450"/>
      <c r="AD11" s="450"/>
      <c r="AE11" s="450"/>
    </row>
    <row r="12" spans="1:31" x14ac:dyDescent="0.3">
      <c r="A12" s="404">
        <v>46</v>
      </c>
      <c r="B12" s="404" t="s">
        <v>419</v>
      </c>
      <c r="C12" s="404">
        <v>10</v>
      </c>
      <c r="D12" s="404">
        <v>1369</v>
      </c>
      <c r="E12" s="404">
        <v>2</v>
      </c>
      <c r="F12" s="404">
        <v>0</v>
      </c>
      <c r="G12" s="404">
        <v>43</v>
      </c>
      <c r="H12" s="419">
        <v>305.55</v>
      </c>
      <c r="I12" s="418">
        <v>4.4804450990018001</v>
      </c>
      <c r="J12" s="419">
        <v>419.2</v>
      </c>
      <c r="L12" s="412">
        <v>5</v>
      </c>
      <c r="M12" s="413" t="s">
        <v>124</v>
      </c>
      <c r="N12" s="421">
        <f t="shared" si="2"/>
        <v>170577</v>
      </c>
      <c r="O12" s="421">
        <f t="shared" si="3"/>
        <v>653</v>
      </c>
      <c r="P12" s="421">
        <f t="shared" si="4"/>
        <v>8</v>
      </c>
      <c r="Q12" s="421">
        <f t="shared" si="5"/>
        <v>7549</v>
      </c>
      <c r="R12" s="421">
        <f t="shared" si="6"/>
        <v>5199.1499999999996</v>
      </c>
      <c r="S12" s="419">
        <f t="shared" si="7"/>
        <v>32.80863218026024</v>
      </c>
      <c r="T12" s="417">
        <f t="shared" si="1"/>
        <v>0.55476480473221568</v>
      </c>
      <c r="U12" s="421">
        <f t="shared" si="8"/>
        <v>5707.62</v>
      </c>
      <c r="W12" s="452" t="s">
        <v>613</v>
      </c>
      <c r="X12" s="450" t="s">
        <v>614</v>
      </c>
      <c r="Y12" s="450">
        <v>2137</v>
      </c>
      <c r="Z12" s="450">
        <v>2126</v>
      </c>
      <c r="AA12" s="450">
        <v>10</v>
      </c>
      <c r="AB12" s="450" t="s">
        <v>119</v>
      </c>
      <c r="AC12" s="450"/>
      <c r="AD12" s="450"/>
      <c r="AE12" s="450"/>
    </row>
    <row r="13" spans="1:31" x14ac:dyDescent="0.3">
      <c r="A13" s="404">
        <v>47</v>
      </c>
      <c r="B13" s="404" t="s">
        <v>418</v>
      </c>
      <c r="C13" s="404">
        <v>19</v>
      </c>
      <c r="D13" s="404">
        <v>1808</v>
      </c>
      <c r="E13" s="404">
        <v>14</v>
      </c>
      <c r="F13" s="404">
        <v>183</v>
      </c>
      <c r="G13" s="404">
        <v>41</v>
      </c>
      <c r="H13" s="419">
        <v>7952.59</v>
      </c>
      <c r="I13" s="418">
        <v>0.22734731703759403</v>
      </c>
      <c r="J13" s="419">
        <v>8391.31</v>
      </c>
      <c r="L13" s="412">
        <v>6</v>
      </c>
      <c r="M13" s="413" t="s">
        <v>123</v>
      </c>
      <c r="N13" s="421">
        <f t="shared" si="2"/>
        <v>522852</v>
      </c>
      <c r="O13" s="421">
        <f t="shared" si="3"/>
        <v>1992</v>
      </c>
      <c r="P13" s="421">
        <f t="shared" si="4"/>
        <v>30</v>
      </c>
      <c r="Q13" s="421">
        <f t="shared" si="5"/>
        <v>26921</v>
      </c>
      <c r="R13" s="421">
        <f t="shared" si="6"/>
        <v>13248.710000000001</v>
      </c>
      <c r="S13" s="419">
        <f t="shared" si="7"/>
        <v>39.464370493429172</v>
      </c>
      <c r="T13" s="417">
        <f t="shared" si="1"/>
        <v>0.46120270505882377</v>
      </c>
      <c r="U13" s="421">
        <f t="shared" si="8"/>
        <v>15549.789999999999</v>
      </c>
      <c r="W13" s="452" t="s">
        <v>615</v>
      </c>
      <c r="X13" s="450" t="s">
        <v>616</v>
      </c>
      <c r="Y13" s="450">
        <v>2482</v>
      </c>
      <c r="Z13" s="450">
        <v>2453</v>
      </c>
      <c r="AA13" s="450">
        <v>10</v>
      </c>
      <c r="AB13" s="450" t="s">
        <v>119</v>
      </c>
      <c r="AC13" s="450"/>
      <c r="AD13" s="450"/>
      <c r="AE13" s="450"/>
    </row>
    <row r="14" spans="1:31" x14ac:dyDescent="0.3">
      <c r="A14" s="404">
        <v>49</v>
      </c>
      <c r="B14" s="404" t="s">
        <v>417</v>
      </c>
      <c r="C14" s="404">
        <v>33</v>
      </c>
      <c r="D14" s="404">
        <v>292796</v>
      </c>
      <c r="E14" s="404">
        <v>19970</v>
      </c>
      <c r="F14" s="404">
        <v>15</v>
      </c>
      <c r="G14" s="404">
        <v>55624</v>
      </c>
      <c r="H14" s="419">
        <v>312.33</v>
      </c>
      <c r="I14" s="418">
        <v>937.45717670412705</v>
      </c>
      <c r="J14" s="419">
        <v>528.03</v>
      </c>
      <c r="L14" s="412">
        <v>7</v>
      </c>
      <c r="M14" s="413" t="s">
        <v>122</v>
      </c>
      <c r="N14" s="421">
        <f t="shared" si="2"/>
        <v>205771</v>
      </c>
      <c r="O14" s="421">
        <f t="shared" si="3"/>
        <v>764</v>
      </c>
      <c r="P14" s="421">
        <f t="shared" si="4"/>
        <v>28</v>
      </c>
      <c r="Q14" s="421">
        <f t="shared" si="5"/>
        <v>11510</v>
      </c>
      <c r="R14" s="421">
        <f t="shared" si="6"/>
        <v>5713.72</v>
      </c>
      <c r="S14" s="419">
        <f t="shared" si="7"/>
        <v>36.013490335543217</v>
      </c>
      <c r="T14" s="417">
        <f t="shared" si="1"/>
        <v>0.50539601286714941</v>
      </c>
      <c r="U14" s="421">
        <f t="shared" si="8"/>
        <v>6941.7500000000009</v>
      </c>
    </row>
    <row r="15" spans="1:31" x14ac:dyDescent="0.3">
      <c r="A15" s="404">
        <v>50</v>
      </c>
      <c r="B15" s="404" t="s">
        <v>416</v>
      </c>
      <c r="C15" s="404">
        <v>4</v>
      </c>
      <c r="D15" s="404">
        <v>11483</v>
      </c>
      <c r="E15" s="404">
        <v>21</v>
      </c>
      <c r="F15" s="404">
        <v>0</v>
      </c>
      <c r="G15" s="404">
        <v>389</v>
      </c>
      <c r="H15" s="419">
        <v>578.80999999999995</v>
      </c>
      <c r="I15" s="418">
        <v>19.838979976157979</v>
      </c>
      <c r="J15" s="419">
        <v>630.20000000000005</v>
      </c>
      <c r="L15" s="412">
        <v>8</v>
      </c>
      <c r="M15" s="413" t="s">
        <v>121</v>
      </c>
      <c r="N15" s="421">
        <f t="shared" si="2"/>
        <v>162812</v>
      </c>
      <c r="O15" s="421">
        <f t="shared" si="3"/>
        <v>1237</v>
      </c>
      <c r="P15" s="421">
        <f t="shared" si="4"/>
        <v>3</v>
      </c>
      <c r="Q15" s="421">
        <f t="shared" si="5"/>
        <v>10155</v>
      </c>
      <c r="R15" s="421">
        <f t="shared" si="6"/>
        <v>4558.54</v>
      </c>
      <c r="S15" s="419">
        <f t="shared" si="7"/>
        <v>35.715821293659815</v>
      </c>
      <c r="T15" s="417">
        <f t="shared" si="1"/>
        <v>0.50960817267400127</v>
      </c>
      <c r="U15" s="421">
        <f t="shared" si="8"/>
        <v>6768.51</v>
      </c>
    </row>
    <row r="16" spans="1:31" x14ac:dyDescent="0.3">
      <c r="A16" s="404">
        <v>51</v>
      </c>
      <c r="B16" s="404" t="s">
        <v>415</v>
      </c>
      <c r="C16" s="404">
        <v>4</v>
      </c>
      <c r="D16" s="404">
        <v>9452</v>
      </c>
      <c r="E16" s="404">
        <v>34</v>
      </c>
      <c r="F16" s="404">
        <v>0</v>
      </c>
      <c r="G16" s="404">
        <v>343</v>
      </c>
      <c r="H16" s="419">
        <v>514.79999999999995</v>
      </c>
      <c r="I16" s="418">
        <v>18.360528360528363</v>
      </c>
      <c r="J16" s="419">
        <v>1504.96</v>
      </c>
      <c r="L16" s="412">
        <v>9</v>
      </c>
      <c r="M16" s="413" t="s">
        <v>120</v>
      </c>
      <c r="N16" s="421">
        <f t="shared" si="2"/>
        <v>126921</v>
      </c>
      <c r="O16" s="421">
        <f t="shared" si="3"/>
        <v>223</v>
      </c>
      <c r="P16" s="421">
        <f t="shared" si="4"/>
        <v>3</v>
      </c>
      <c r="Q16" s="421">
        <f t="shared" si="5"/>
        <v>8272</v>
      </c>
      <c r="R16" s="421">
        <f t="shared" si="6"/>
        <v>5326.37</v>
      </c>
      <c r="S16" s="419">
        <f t="shared" si="7"/>
        <v>23.8287989756626</v>
      </c>
      <c r="T16" s="417">
        <f t="shared" si="1"/>
        <v>0.76382676456344767</v>
      </c>
      <c r="U16" s="421">
        <f t="shared" si="8"/>
        <v>6872.1299999999983</v>
      </c>
      <c r="X16" s="444"/>
      <c r="Y16"/>
      <c r="Z16"/>
    </row>
    <row r="17" spans="1:26" x14ac:dyDescent="0.3">
      <c r="A17" s="404">
        <v>52</v>
      </c>
      <c r="B17" s="404" t="s">
        <v>414</v>
      </c>
      <c r="C17" s="404">
        <v>14</v>
      </c>
      <c r="D17" s="404">
        <v>2408</v>
      </c>
      <c r="E17" s="404">
        <v>46</v>
      </c>
      <c r="F17" s="404">
        <v>0</v>
      </c>
      <c r="G17" s="404">
        <v>78</v>
      </c>
      <c r="H17" s="419">
        <v>354.16</v>
      </c>
      <c r="I17" s="418">
        <v>6.7991868082222719</v>
      </c>
      <c r="J17" s="419">
        <v>390.71</v>
      </c>
      <c r="L17" s="412">
        <v>10</v>
      </c>
      <c r="M17" s="413" t="s">
        <v>119</v>
      </c>
      <c r="N17" s="421">
        <f t="shared" si="2"/>
        <v>132702</v>
      </c>
      <c r="O17" s="421">
        <f t="shared" si="3"/>
        <v>211</v>
      </c>
      <c r="P17" s="421">
        <f t="shared" si="4"/>
        <v>3</v>
      </c>
      <c r="Q17" s="421">
        <f t="shared" si="5"/>
        <v>4656</v>
      </c>
      <c r="R17" s="421">
        <f t="shared" si="6"/>
        <v>12651.54</v>
      </c>
      <c r="S17" s="419">
        <f t="shared" si="7"/>
        <v>10.488999758132211</v>
      </c>
      <c r="T17" s="417">
        <f t="shared" si="1"/>
        <v>1.7352535842039383</v>
      </c>
      <c r="U17" s="421">
        <f t="shared" si="8"/>
        <v>17099.04</v>
      </c>
      <c r="X17" s="444"/>
      <c r="Y17"/>
      <c r="Z17"/>
    </row>
    <row r="18" spans="1:26" x14ac:dyDescent="0.3">
      <c r="A18" s="404">
        <v>61</v>
      </c>
      <c r="B18" s="404" t="s">
        <v>413</v>
      </c>
      <c r="C18" s="404">
        <v>5</v>
      </c>
      <c r="D18" s="404">
        <v>16800</v>
      </c>
      <c r="E18" s="404">
        <v>42</v>
      </c>
      <c r="F18" s="404">
        <v>0</v>
      </c>
      <c r="G18" s="404">
        <v>965</v>
      </c>
      <c r="H18" s="419">
        <v>248.76</v>
      </c>
      <c r="I18" s="418">
        <v>67.53497346840328</v>
      </c>
      <c r="J18" s="419">
        <v>253.38</v>
      </c>
      <c r="L18" s="412">
        <v>11</v>
      </c>
      <c r="M18" s="413" t="s">
        <v>118</v>
      </c>
      <c r="N18" s="421">
        <f t="shared" si="2"/>
        <v>248265</v>
      </c>
      <c r="O18" s="421">
        <f t="shared" si="3"/>
        <v>270</v>
      </c>
      <c r="P18" s="421">
        <f t="shared" si="4"/>
        <v>4</v>
      </c>
      <c r="Q18" s="421">
        <f t="shared" si="5"/>
        <v>7992</v>
      </c>
      <c r="R18" s="421">
        <f t="shared" si="6"/>
        <v>17344.41</v>
      </c>
      <c r="S18" s="419">
        <f t="shared" si="7"/>
        <v>14.313833678977838</v>
      </c>
      <c r="T18" s="417">
        <f t="shared" si="1"/>
        <v>1.2715723008395969</v>
      </c>
      <c r="U18" s="421">
        <f t="shared" si="8"/>
        <v>21077.939999999995</v>
      </c>
      <c r="X18" s="444"/>
      <c r="Y18"/>
      <c r="Z18"/>
    </row>
    <row r="19" spans="1:26" x14ac:dyDescent="0.3">
      <c r="A19" s="404">
        <v>69</v>
      </c>
      <c r="B19" s="404" t="s">
        <v>412</v>
      </c>
      <c r="C19" s="404">
        <v>17</v>
      </c>
      <c r="D19" s="404">
        <v>6896</v>
      </c>
      <c r="E19" s="404">
        <v>5</v>
      </c>
      <c r="F19" s="404">
        <v>0</v>
      </c>
      <c r="G19" s="404">
        <v>96</v>
      </c>
      <c r="H19" s="419">
        <v>766.38</v>
      </c>
      <c r="I19" s="418">
        <v>8.9981471332759213</v>
      </c>
      <c r="J19" s="419">
        <v>789.12</v>
      </c>
      <c r="L19" s="412">
        <v>12</v>
      </c>
      <c r="M19" s="413" t="s">
        <v>117</v>
      </c>
      <c r="N19" s="421">
        <f t="shared" si="2"/>
        <v>163537</v>
      </c>
      <c r="O19" s="421">
        <f t="shared" si="3"/>
        <v>144</v>
      </c>
      <c r="P19" s="421">
        <f t="shared" si="4"/>
        <v>7</v>
      </c>
      <c r="Q19" s="421">
        <f t="shared" si="5"/>
        <v>6557</v>
      </c>
      <c r="R19" s="421">
        <f t="shared" si="6"/>
        <v>18791.07</v>
      </c>
      <c r="S19" s="419">
        <f t="shared" si="7"/>
        <v>8.7029104782218365</v>
      </c>
      <c r="T19" s="417">
        <f t="shared" si="1"/>
        <v>2.0913778753164851</v>
      </c>
      <c r="U19" s="421">
        <f t="shared" si="8"/>
        <v>22903.22</v>
      </c>
      <c r="X19" s="444"/>
      <c r="Y19"/>
      <c r="Z19"/>
    </row>
    <row r="20" spans="1:26" x14ac:dyDescent="0.3">
      <c r="A20" s="404">
        <v>71</v>
      </c>
      <c r="B20" s="404" t="s">
        <v>411</v>
      </c>
      <c r="C20" s="404">
        <v>17</v>
      </c>
      <c r="D20" s="404">
        <v>6667</v>
      </c>
      <c r="E20" s="404">
        <v>1</v>
      </c>
      <c r="F20" s="404">
        <v>2</v>
      </c>
      <c r="G20" s="404">
        <v>117</v>
      </c>
      <c r="H20" s="419">
        <v>1050.4100000000001</v>
      </c>
      <c r="I20" s="418">
        <v>6.347045439399853</v>
      </c>
      <c r="J20" s="419">
        <v>1086.1500000000001</v>
      </c>
      <c r="L20" s="412">
        <v>13</v>
      </c>
      <c r="M20" s="413" t="s">
        <v>116</v>
      </c>
      <c r="N20" s="421">
        <f t="shared" si="2"/>
        <v>272617</v>
      </c>
      <c r="O20" s="421">
        <f t="shared" si="3"/>
        <v>466</v>
      </c>
      <c r="P20" s="421">
        <f t="shared" si="4"/>
        <v>27</v>
      </c>
      <c r="Q20" s="421">
        <f t="shared" si="5"/>
        <v>9833</v>
      </c>
      <c r="R20" s="421">
        <f t="shared" si="6"/>
        <v>16042.380000000003</v>
      </c>
      <c r="S20" s="419">
        <f t="shared" si="7"/>
        <v>16.993550832233119</v>
      </c>
      <c r="T20" s="417">
        <f t="shared" si="1"/>
        <v>1.0710577562453651</v>
      </c>
      <c r="U20" s="421">
        <f t="shared" si="8"/>
        <v>19011.989999999998</v>
      </c>
      <c r="X20" s="444"/>
      <c r="Y20"/>
      <c r="Z20"/>
    </row>
    <row r="21" spans="1:26" x14ac:dyDescent="0.3">
      <c r="A21" s="404">
        <v>72</v>
      </c>
      <c r="B21" s="404" t="s">
        <v>410</v>
      </c>
      <c r="C21" s="404">
        <v>17</v>
      </c>
      <c r="D21" s="404">
        <v>949</v>
      </c>
      <c r="E21" s="404">
        <v>0</v>
      </c>
      <c r="F21" s="404">
        <v>0</v>
      </c>
      <c r="G21" s="404">
        <v>13</v>
      </c>
      <c r="H21" s="419">
        <v>205.66</v>
      </c>
      <c r="I21" s="418">
        <v>4.6144121365360302</v>
      </c>
      <c r="J21" s="419">
        <v>1082.7</v>
      </c>
      <c r="L21" s="412">
        <v>14</v>
      </c>
      <c r="M21" s="413" t="s">
        <v>132</v>
      </c>
      <c r="N21" s="421">
        <f t="shared" si="2"/>
        <v>192150</v>
      </c>
      <c r="O21" s="421">
        <f t="shared" si="3"/>
        <v>641</v>
      </c>
      <c r="P21" s="421">
        <f t="shared" si="4"/>
        <v>4</v>
      </c>
      <c r="Q21" s="421">
        <f t="shared" si="5"/>
        <v>4603</v>
      </c>
      <c r="R21" s="421">
        <f t="shared" si="6"/>
        <v>13798.189999999999</v>
      </c>
      <c r="S21" s="419">
        <f t="shared" si="7"/>
        <v>13.925739535402833</v>
      </c>
      <c r="T21" s="417">
        <f t="shared" si="1"/>
        <v>1.3070095400492965</v>
      </c>
      <c r="U21" s="421">
        <f t="shared" si="8"/>
        <v>14355.830000000002</v>
      </c>
      <c r="X21" s="444"/>
      <c r="Y21"/>
      <c r="Z21"/>
    </row>
    <row r="22" spans="1:26" x14ac:dyDescent="0.3">
      <c r="A22" s="404">
        <v>74</v>
      </c>
      <c r="B22" s="404" t="s">
        <v>409</v>
      </c>
      <c r="C22" s="404">
        <v>16</v>
      </c>
      <c r="D22" s="404">
        <v>1103</v>
      </c>
      <c r="E22" s="404">
        <v>8</v>
      </c>
      <c r="F22" s="404">
        <v>0</v>
      </c>
      <c r="G22" s="404">
        <v>37</v>
      </c>
      <c r="H22" s="419">
        <v>413.02</v>
      </c>
      <c r="I22" s="418">
        <v>2.670572853614837</v>
      </c>
      <c r="J22" s="419">
        <v>428.34</v>
      </c>
      <c r="L22" s="412">
        <v>15</v>
      </c>
      <c r="M22" s="413" t="s">
        <v>114</v>
      </c>
      <c r="N22" s="421">
        <f t="shared" si="2"/>
        <v>175816</v>
      </c>
      <c r="O22" s="421">
        <f t="shared" si="3"/>
        <v>89085</v>
      </c>
      <c r="P22" s="421">
        <f t="shared" si="4"/>
        <v>8</v>
      </c>
      <c r="Q22" s="421">
        <f t="shared" si="5"/>
        <v>13113</v>
      </c>
      <c r="R22" s="421">
        <f t="shared" si="6"/>
        <v>7401.34</v>
      </c>
      <c r="S22" s="419">
        <f t="shared" si="7"/>
        <v>23.754617407118172</v>
      </c>
      <c r="T22" s="417">
        <f t="shared" si="1"/>
        <v>0.76621206366216332</v>
      </c>
      <c r="U22" s="421">
        <f t="shared" si="8"/>
        <v>17833.75</v>
      </c>
      <c r="X22" s="444"/>
      <c r="Y22"/>
      <c r="Z22"/>
    </row>
    <row r="23" spans="1:26" x14ac:dyDescent="0.3">
      <c r="A23" s="404">
        <v>75</v>
      </c>
      <c r="B23" s="404" t="s">
        <v>408</v>
      </c>
      <c r="C23" s="404">
        <v>8</v>
      </c>
      <c r="D23" s="404">
        <v>19877</v>
      </c>
      <c r="E23" s="404">
        <v>60</v>
      </c>
      <c r="F23" s="404">
        <v>0</v>
      </c>
      <c r="G23" s="404">
        <v>1272</v>
      </c>
      <c r="H23" s="419">
        <v>609.79999999999995</v>
      </c>
      <c r="I23" s="418">
        <v>32.595933092817319</v>
      </c>
      <c r="J23" s="419">
        <v>1155.1500000000001</v>
      </c>
      <c r="L23" s="412">
        <v>16</v>
      </c>
      <c r="M23" s="413" t="s">
        <v>113</v>
      </c>
      <c r="N23" s="421">
        <f t="shared" si="2"/>
        <v>67988</v>
      </c>
      <c r="O23" s="421">
        <f t="shared" si="3"/>
        <v>6149</v>
      </c>
      <c r="P23" s="421">
        <f t="shared" si="4"/>
        <v>1</v>
      </c>
      <c r="Q23" s="421">
        <f t="shared" si="5"/>
        <v>2139</v>
      </c>
      <c r="R23" s="421">
        <f t="shared" si="6"/>
        <v>5019.9800000000005</v>
      </c>
      <c r="S23" s="419">
        <f t="shared" si="7"/>
        <v>13.543480252909372</v>
      </c>
      <c r="T23" s="417">
        <f t="shared" si="1"/>
        <v>1.3438993585938339</v>
      </c>
      <c r="U23" s="421">
        <f t="shared" si="8"/>
        <v>6462.96</v>
      </c>
      <c r="X23" s="444"/>
      <c r="Y23"/>
      <c r="Z23"/>
    </row>
    <row r="24" spans="1:26" x14ac:dyDescent="0.3">
      <c r="A24" s="404">
        <v>77</v>
      </c>
      <c r="B24" s="404" t="s">
        <v>407</v>
      </c>
      <c r="C24" s="404">
        <v>13</v>
      </c>
      <c r="D24" s="404">
        <v>4782</v>
      </c>
      <c r="E24" s="404">
        <v>10</v>
      </c>
      <c r="F24" s="404">
        <v>0</v>
      </c>
      <c r="G24" s="404">
        <v>75</v>
      </c>
      <c r="H24" s="419">
        <v>571.69000000000005</v>
      </c>
      <c r="I24" s="418">
        <v>8.364673162028371</v>
      </c>
      <c r="J24" s="419">
        <v>687.75</v>
      </c>
      <c r="L24" s="412">
        <v>17</v>
      </c>
      <c r="M24" s="413" t="s">
        <v>112</v>
      </c>
      <c r="N24" s="421">
        <f t="shared" si="2"/>
        <v>413830</v>
      </c>
      <c r="O24" s="421">
        <f t="shared" si="3"/>
        <v>808</v>
      </c>
      <c r="P24" s="421">
        <f t="shared" si="4"/>
        <v>173</v>
      </c>
      <c r="Q24" s="421">
        <f t="shared" si="5"/>
        <v>12855</v>
      </c>
      <c r="R24" s="421">
        <f t="shared" si="6"/>
        <v>36828.320000000007</v>
      </c>
      <c r="S24" s="419">
        <f t="shared" si="7"/>
        <v>11.23673303588108</v>
      </c>
      <c r="T24" s="417">
        <f t="shared" si="1"/>
        <v>1.6197834697054365</v>
      </c>
      <c r="U24" s="421">
        <f t="shared" si="8"/>
        <v>45852.509999999995</v>
      </c>
    </row>
    <row r="25" spans="1:26" x14ac:dyDescent="0.3">
      <c r="A25" s="404">
        <v>78</v>
      </c>
      <c r="B25" s="404" t="s">
        <v>406</v>
      </c>
      <c r="C25" s="404">
        <v>33</v>
      </c>
      <c r="D25" s="404">
        <v>8042</v>
      </c>
      <c r="E25" s="404">
        <v>3449</v>
      </c>
      <c r="F25" s="404">
        <v>1</v>
      </c>
      <c r="G25" s="404">
        <v>365</v>
      </c>
      <c r="H25" s="419">
        <v>117.46</v>
      </c>
      <c r="I25" s="418">
        <v>68.465860718542487</v>
      </c>
      <c r="J25" s="419">
        <v>800.02</v>
      </c>
      <c r="L25" s="412">
        <v>18</v>
      </c>
      <c r="M25" s="413" t="s">
        <v>111</v>
      </c>
      <c r="N25" s="421">
        <f t="shared" si="2"/>
        <v>71664</v>
      </c>
      <c r="O25" s="421">
        <f t="shared" si="3"/>
        <v>80</v>
      </c>
      <c r="P25" s="421">
        <f t="shared" si="4"/>
        <v>2</v>
      </c>
      <c r="Q25" s="421">
        <f t="shared" si="5"/>
        <v>2237</v>
      </c>
      <c r="R25" s="421">
        <f t="shared" si="6"/>
        <v>20197.260000000002</v>
      </c>
      <c r="S25" s="419">
        <f t="shared" si="7"/>
        <v>3.5482040633234404</v>
      </c>
      <c r="T25" s="417">
        <f t="shared" si="1"/>
        <v>5.1296583004205925</v>
      </c>
      <c r="U25" s="421">
        <f t="shared" si="8"/>
        <v>22687.38</v>
      </c>
    </row>
    <row r="26" spans="1:26" x14ac:dyDescent="0.3">
      <c r="A26" s="404">
        <v>79</v>
      </c>
      <c r="B26" s="404" t="s">
        <v>405</v>
      </c>
      <c r="C26" s="404">
        <v>4</v>
      </c>
      <c r="D26" s="404">
        <v>6869</v>
      </c>
      <c r="E26" s="404">
        <v>13</v>
      </c>
      <c r="F26" s="404">
        <v>0</v>
      </c>
      <c r="G26" s="404">
        <v>241</v>
      </c>
      <c r="H26" s="419">
        <v>123.46</v>
      </c>
      <c r="I26" s="418">
        <v>55.637453426210918</v>
      </c>
      <c r="J26" s="419">
        <v>127.74</v>
      </c>
      <c r="L26" s="414">
        <v>19</v>
      </c>
      <c r="M26" s="415" t="s">
        <v>110</v>
      </c>
      <c r="N26" s="421">
        <f t="shared" si="2"/>
        <v>176665</v>
      </c>
      <c r="O26" s="421">
        <f t="shared" si="3"/>
        <v>481</v>
      </c>
      <c r="P26" s="421">
        <f t="shared" si="4"/>
        <v>1549</v>
      </c>
      <c r="Q26" s="421">
        <f t="shared" si="5"/>
        <v>5153</v>
      </c>
      <c r="R26" s="421">
        <f t="shared" si="6"/>
        <v>92673.819999999992</v>
      </c>
      <c r="S26" s="419">
        <f t="shared" si="7"/>
        <v>1.9063096783967686</v>
      </c>
      <c r="T26" s="417">
        <f t="shared" si="1"/>
        <v>9.5478057061119799</v>
      </c>
      <c r="U26" s="421">
        <f t="shared" si="8"/>
        <v>100370.04000000001</v>
      </c>
    </row>
    <row r="27" spans="1:26" x14ac:dyDescent="0.3">
      <c r="A27" s="404">
        <v>81</v>
      </c>
      <c r="B27" s="404" t="s">
        <v>404</v>
      </c>
      <c r="C27" s="404">
        <v>7</v>
      </c>
      <c r="D27" s="404">
        <v>2655</v>
      </c>
      <c r="E27" s="404">
        <v>2</v>
      </c>
      <c r="F27" s="404">
        <v>0</v>
      </c>
      <c r="G27" s="404">
        <v>71</v>
      </c>
      <c r="H27" s="419">
        <v>542.73</v>
      </c>
      <c r="I27" s="418">
        <v>4.8919352164059475</v>
      </c>
      <c r="J27" s="419">
        <v>675.38</v>
      </c>
    </row>
    <row r="28" spans="1:26" x14ac:dyDescent="0.3">
      <c r="A28" s="404">
        <v>82</v>
      </c>
      <c r="B28" s="404" t="s">
        <v>403</v>
      </c>
      <c r="C28" s="404">
        <v>5</v>
      </c>
      <c r="D28" s="404">
        <v>9389</v>
      </c>
      <c r="E28" s="404">
        <v>37</v>
      </c>
      <c r="F28" s="404">
        <v>0</v>
      </c>
      <c r="G28" s="404">
        <v>186</v>
      </c>
      <c r="H28" s="419">
        <v>357.79</v>
      </c>
      <c r="I28" s="418">
        <v>26.241650129964501</v>
      </c>
      <c r="J28" s="419">
        <v>427.39</v>
      </c>
    </row>
    <row r="29" spans="1:26" x14ac:dyDescent="0.3">
      <c r="A29" s="404">
        <v>86</v>
      </c>
      <c r="B29" s="404" t="s">
        <v>402</v>
      </c>
      <c r="C29" s="404">
        <v>5</v>
      </c>
      <c r="D29" s="404">
        <v>8175</v>
      </c>
      <c r="E29" s="404">
        <v>33</v>
      </c>
      <c r="F29" s="404">
        <v>0</v>
      </c>
      <c r="G29" s="404">
        <v>263</v>
      </c>
      <c r="H29" s="419">
        <v>389.42</v>
      </c>
      <c r="I29" s="418">
        <v>20.99275846130142</v>
      </c>
      <c r="J29" s="419">
        <v>398.77</v>
      </c>
    </row>
    <row r="30" spans="1:26" x14ac:dyDescent="0.3">
      <c r="A30" s="404">
        <v>90</v>
      </c>
      <c r="B30" s="404" t="s">
        <v>401</v>
      </c>
      <c r="C30" s="404">
        <v>12</v>
      </c>
      <c r="D30" s="404">
        <v>3196</v>
      </c>
      <c r="E30" s="404">
        <v>9</v>
      </c>
      <c r="F30" s="404">
        <v>0</v>
      </c>
      <c r="G30" s="404">
        <v>80</v>
      </c>
      <c r="H30" s="419">
        <v>1029.96</v>
      </c>
      <c r="I30" s="418">
        <v>3.1030331275000971</v>
      </c>
      <c r="J30" s="419">
        <v>1319.58</v>
      </c>
    </row>
    <row r="31" spans="1:26" x14ac:dyDescent="0.3">
      <c r="A31" s="404">
        <v>91</v>
      </c>
      <c r="B31" s="404" t="s">
        <v>131</v>
      </c>
      <c r="C31" s="404">
        <v>31</v>
      </c>
      <c r="D31" s="404">
        <v>656920</v>
      </c>
      <c r="E31" s="404">
        <v>36754</v>
      </c>
      <c r="F31" s="404">
        <v>63</v>
      </c>
      <c r="G31" s="404">
        <v>109254</v>
      </c>
      <c r="H31" s="419">
        <v>214.29</v>
      </c>
      <c r="I31" s="418">
        <v>3065.5653553595594</v>
      </c>
      <c r="J31" s="419">
        <v>715.48</v>
      </c>
    </row>
    <row r="32" spans="1:26" x14ac:dyDescent="0.3">
      <c r="A32" s="404">
        <v>92</v>
      </c>
      <c r="B32" s="404" t="s">
        <v>400</v>
      </c>
      <c r="C32" s="404">
        <v>32</v>
      </c>
      <c r="D32" s="404">
        <v>237231</v>
      </c>
      <c r="E32" s="404">
        <v>5579</v>
      </c>
      <c r="F32" s="404">
        <v>21</v>
      </c>
      <c r="G32" s="404">
        <v>51160</v>
      </c>
      <c r="H32" s="419">
        <v>238.37</v>
      </c>
      <c r="I32" s="418">
        <v>995.22171414188028</v>
      </c>
      <c r="J32" s="419">
        <v>240.35</v>
      </c>
    </row>
    <row r="33" spans="1:10" x14ac:dyDescent="0.3">
      <c r="A33" s="404">
        <v>97</v>
      </c>
      <c r="B33" s="404" t="s">
        <v>399</v>
      </c>
      <c r="C33" s="404">
        <v>10</v>
      </c>
      <c r="D33" s="404">
        <v>2156</v>
      </c>
      <c r="E33" s="404">
        <v>8</v>
      </c>
      <c r="F33" s="404">
        <v>0</v>
      </c>
      <c r="G33" s="404">
        <v>58</v>
      </c>
      <c r="H33" s="419">
        <v>465.21</v>
      </c>
      <c r="I33" s="418">
        <v>4.6344661550697532</v>
      </c>
      <c r="J33" s="419">
        <v>746.59</v>
      </c>
    </row>
    <row r="34" spans="1:10" x14ac:dyDescent="0.3">
      <c r="A34" s="404">
        <v>98</v>
      </c>
      <c r="B34" s="404" t="s">
        <v>398</v>
      </c>
      <c r="C34" s="404">
        <v>7</v>
      </c>
      <c r="D34" s="404">
        <v>23251</v>
      </c>
      <c r="E34" s="404">
        <v>73</v>
      </c>
      <c r="F34" s="404">
        <v>0</v>
      </c>
      <c r="G34" s="404">
        <v>645</v>
      </c>
      <c r="H34" s="419">
        <v>651.23</v>
      </c>
      <c r="I34" s="418">
        <v>35.703207776054541</v>
      </c>
      <c r="J34" s="419">
        <v>727.46</v>
      </c>
    </row>
    <row r="35" spans="1:10" x14ac:dyDescent="0.3">
      <c r="A35" s="404">
        <v>102</v>
      </c>
      <c r="B35" s="404" t="s">
        <v>397</v>
      </c>
      <c r="C35" s="404">
        <v>4</v>
      </c>
      <c r="D35" s="404">
        <v>9937</v>
      </c>
      <c r="E35" s="404">
        <v>17</v>
      </c>
      <c r="F35" s="404">
        <v>0</v>
      </c>
      <c r="G35" s="404">
        <v>397</v>
      </c>
      <c r="H35" s="419">
        <v>532.61</v>
      </c>
      <c r="I35" s="418">
        <v>18.6571787987458</v>
      </c>
      <c r="J35" s="419">
        <v>539.59</v>
      </c>
    </row>
    <row r="36" spans="1:10" x14ac:dyDescent="0.3">
      <c r="A36" s="404">
        <v>103</v>
      </c>
      <c r="B36" s="404" t="s">
        <v>396</v>
      </c>
      <c r="C36" s="404">
        <v>5</v>
      </c>
      <c r="D36" s="404">
        <v>2174</v>
      </c>
      <c r="E36" s="404">
        <v>2</v>
      </c>
      <c r="F36" s="404">
        <v>0</v>
      </c>
      <c r="G36" s="404">
        <v>37</v>
      </c>
      <c r="H36" s="419">
        <v>147.96</v>
      </c>
      <c r="I36" s="418">
        <v>14.69316031359827</v>
      </c>
      <c r="J36" s="419">
        <v>148.61000000000001</v>
      </c>
    </row>
    <row r="37" spans="1:10" x14ac:dyDescent="0.3">
      <c r="A37" s="404">
        <v>105</v>
      </c>
      <c r="B37" s="404" t="s">
        <v>395</v>
      </c>
      <c r="C37" s="404">
        <v>18</v>
      </c>
      <c r="D37" s="404">
        <v>2199</v>
      </c>
      <c r="E37" s="404">
        <v>4</v>
      </c>
      <c r="F37" s="404">
        <v>0</v>
      </c>
      <c r="G37" s="404">
        <v>38</v>
      </c>
      <c r="H37" s="419">
        <v>1421.26</v>
      </c>
      <c r="I37" s="418">
        <v>1.5472186651281257</v>
      </c>
      <c r="J37" s="419">
        <v>1521.37</v>
      </c>
    </row>
    <row r="38" spans="1:10" x14ac:dyDescent="0.3">
      <c r="A38" s="404">
        <v>106</v>
      </c>
      <c r="B38" s="404" t="s">
        <v>394</v>
      </c>
      <c r="C38" s="404">
        <v>35</v>
      </c>
      <c r="D38" s="404">
        <v>46576</v>
      </c>
      <c r="E38" s="404">
        <v>428</v>
      </c>
      <c r="F38" s="404">
        <v>0</v>
      </c>
      <c r="G38" s="404">
        <v>3028</v>
      </c>
      <c r="H38" s="419">
        <v>322.69</v>
      </c>
      <c r="I38" s="418">
        <v>144.33666986891444</v>
      </c>
      <c r="J38" s="419">
        <v>336.77</v>
      </c>
    </row>
    <row r="39" spans="1:10" x14ac:dyDescent="0.3">
      <c r="A39" s="404">
        <v>108</v>
      </c>
      <c r="B39" s="404" t="s">
        <v>393</v>
      </c>
      <c r="C39" s="404">
        <v>6</v>
      </c>
      <c r="D39" s="404">
        <v>10344</v>
      </c>
      <c r="E39" s="404">
        <v>17</v>
      </c>
      <c r="F39" s="404">
        <v>3</v>
      </c>
      <c r="G39" s="404">
        <v>184</v>
      </c>
      <c r="H39" s="419">
        <v>463.99</v>
      </c>
      <c r="I39" s="418">
        <v>22.293583913446412</v>
      </c>
      <c r="J39" s="419">
        <v>505.1</v>
      </c>
    </row>
    <row r="40" spans="1:10" x14ac:dyDescent="0.3">
      <c r="A40" s="404">
        <v>109</v>
      </c>
      <c r="B40" s="404" t="s">
        <v>392</v>
      </c>
      <c r="C40" s="404">
        <v>5</v>
      </c>
      <c r="D40" s="404">
        <v>67848</v>
      </c>
      <c r="E40" s="404">
        <v>259</v>
      </c>
      <c r="F40" s="404">
        <v>6</v>
      </c>
      <c r="G40" s="404">
        <v>3618</v>
      </c>
      <c r="H40" s="419">
        <v>1785.35</v>
      </c>
      <c r="I40" s="418">
        <v>38.002632537037556</v>
      </c>
      <c r="J40" s="419">
        <v>2031.54</v>
      </c>
    </row>
    <row r="41" spans="1:10" x14ac:dyDescent="0.3">
      <c r="A41" s="404">
        <v>111</v>
      </c>
      <c r="B41" s="404" t="s">
        <v>391</v>
      </c>
      <c r="C41" s="404">
        <v>7</v>
      </c>
      <c r="D41" s="404">
        <v>18497</v>
      </c>
      <c r="E41" s="404">
        <v>45</v>
      </c>
      <c r="F41" s="404">
        <v>1</v>
      </c>
      <c r="G41" s="404">
        <v>725</v>
      </c>
      <c r="H41" s="419">
        <v>675.99</v>
      </c>
      <c r="I41" s="418">
        <v>27.362830811106672</v>
      </c>
      <c r="J41" s="419">
        <v>839.28</v>
      </c>
    </row>
    <row r="42" spans="1:10" x14ac:dyDescent="0.3">
      <c r="A42" s="404">
        <v>139</v>
      </c>
      <c r="B42" s="404" t="s">
        <v>390</v>
      </c>
      <c r="C42" s="404">
        <v>17</v>
      </c>
      <c r="D42" s="404">
        <v>9848</v>
      </c>
      <c r="E42" s="404">
        <v>17</v>
      </c>
      <c r="F42" s="404">
        <v>1</v>
      </c>
      <c r="G42" s="404">
        <v>76</v>
      </c>
      <c r="H42" s="419">
        <v>1614.63</v>
      </c>
      <c r="I42" s="418">
        <v>6.0992301641862214</v>
      </c>
      <c r="J42" s="419">
        <v>2872.43</v>
      </c>
    </row>
    <row r="43" spans="1:10" x14ac:dyDescent="0.3">
      <c r="A43" s="404">
        <v>140</v>
      </c>
      <c r="B43" s="404" t="s">
        <v>389</v>
      </c>
      <c r="C43" s="404">
        <v>11</v>
      </c>
      <c r="D43" s="404">
        <v>21124</v>
      </c>
      <c r="E43" s="404">
        <v>9</v>
      </c>
      <c r="F43" s="404">
        <v>1</v>
      </c>
      <c r="G43" s="404">
        <v>619</v>
      </c>
      <c r="H43" s="419">
        <v>762.99</v>
      </c>
      <c r="I43" s="418">
        <v>27.685815017234827</v>
      </c>
      <c r="J43" s="419">
        <v>872.2</v>
      </c>
    </row>
    <row r="44" spans="1:10" x14ac:dyDescent="0.3">
      <c r="A44" s="404">
        <v>142</v>
      </c>
      <c r="B44" s="404" t="s">
        <v>388</v>
      </c>
      <c r="C44" s="404">
        <v>7</v>
      </c>
      <c r="D44" s="404">
        <v>6625</v>
      </c>
      <c r="E44" s="404">
        <v>15</v>
      </c>
      <c r="F44" s="404">
        <v>0</v>
      </c>
      <c r="G44" s="404">
        <v>123</v>
      </c>
      <c r="H44" s="419">
        <v>589.79</v>
      </c>
      <c r="I44" s="418">
        <v>11.232811678733109</v>
      </c>
      <c r="J44" s="419">
        <v>687.09</v>
      </c>
    </row>
    <row r="45" spans="1:10" x14ac:dyDescent="0.3">
      <c r="A45" s="404">
        <v>143</v>
      </c>
      <c r="B45" s="404" t="s">
        <v>387</v>
      </c>
      <c r="C45" s="404">
        <v>6</v>
      </c>
      <c r="D45" s="404">
        <v>6866</v>
      </c>
      <c r="E45" s="404">
        <v>15</v>
      </c>
      <c r="F45" s="404">
        <v>0</v>
      </c>
      <c r="G45" s="404">
        <v>135</v>
      </c>
      <c r="H45" s="419">
        <v>750.41</v>
      </c>
      <c r="I45" s="418">
        <v>9.1496648498820647</v>
      </c>
      <c r="J45" s="419">
        <v>843.4</v>
      </c>
    </row>
    <row r="46" spans="1:10" x14ac:dyDescent="0.3">
      <c r="A46" s="404">
        <v>145</v>
      </c>
      <c r="B46" s="404" t="s">
        <v>386</v>
      </c>
      <c r="C46" s="404">
        <v>14</v>
      </c>
      <c r="D46" s="404">
        <v>12294</v>
      </c>
      <c r="E46" s="404">
        <v>26</v>
      </c>
      <c r="F46" s="404">
        <v>0</v>
      </c>
      <c r="G46" s="404">
        <v>183</v>
      </c>
      <c r="H46" s="419">
        <v>576.74</v>
      </c>
      <c r="I46" s="418">
        <v>21.316364392967369</v>
      </c>
      <c r="J46" s="419">
        <v>579.70000000000005</v>
      </c>
    </row>
    <row r="47" spans="1:10" x14ac:dyDescent="0.3">
      <c r="A47" s="404">
        <v>146</v>
      </c>
      <c r="B47" s="404" t="s">
        <v>385</v>
      </c>
      <c r="C47" s="404">
        <v>12</v>
      </c>
      <c r="D47" s="404">
        <v>4749</v>
      </c>
      <c r="E47" s="404">
        <v>4</v>
      </c>
      <c r="F47" s="404">
        <v>0</v>
      </c>
      <c r="G47" s="404">
        <v>164</v>
      </c>
      <c r="H47" s="419">
        <v>2763.39</v>
      </c>
      <c r="I47" s="418">
        <v>1.7185413568117422</v>
      </c>
      <c r="J47" s="419">
        <v>3172.68</v>
      </c>
    </row>
    <row r="48" spans="1:10" x14ac:dyDescent="0.3">
      <c r="A48" s="404">
        <v>148</v>
      </c>
      <c r="B48" s="404" t="s">
        <v>384</v>
      </c>
      <c r="C48" s="404">
        <v>19</v>
      </c>
      <c r="D48" s="404">
        <v>6862</v>
      </c>
      <c r="E48" s="404">
        <v>22</v>
      </c>
      <c r="F48" s="404">
        <v>476</v>
      </c>
      <c r="G48" s="404">
        <v>233</v>
      </c>
      <c r="H48" s="419">
        <v>15056.29</v>
      </c>
      <c r="I48" s="418">
        <v>0.45575636494780586</v>
      </c>
      <c r="J48" s="419">
        <v>17333.62</v>
      </c>
    </row>
    <row r="49" spans="1:10" x14ac:dyDescent="0.3">
      <c r="A49" s="404">
        <v>149</v>
      </c>
      <c r="B49" s="404" t="s">
        <v>383</v>
      </c>
      <c r="C49" s="404">
        <v>33</v>
      </c>
      <c r="D49" s="404">
        <v>5321</v>
      </c>
      <c r="E49" s="404">
        <v>2770</v>
      </c>
      <c r="F49" s="404">
        <v>0</v>
      </c>
      <c r="G49" s="404">
        <v>233</v>
      </c>
      <c r="H49" s="419">
        <v>349.89</v>
      </c>
      <c r="I49" s="418">
        <v>15.207636685815542</v>
      </c>
      <c r="J49" s="419">
        <v>954.02</v>
      </c>
    </row>
    <row r="50" spans="1:10" x14ac:dyDescent="0.3">
      <c r="A50" s="404">
        <v>151</v>
      </c>
      <c r="B50" s="404" t="s">
        <v>382</v>
      </c>
      <c r="C50" s="404">
        <v>14</v>
      </c>
      <c r="D50" s="404">
        <v>1925</v>
      </c>
      <c r="E50" s="404">
        <v>17</v>
      </c>
      <c r="F50" s="404">
        <v>0</v>
      </c>
      <c r="G50" s="404">
        <v>70</v>
      </c>
      <c r="H50" s="419">
        <v>642.38</v>
      </c>
      <c r="I50" s="418">
        <v>2.9966686385005761</v>
      </c>
      <c r="J50" s="419">
        <v>647.42999999999995</v>
      </c>
    </row>
    <row r="51" spans="1:10" x14ac:dyDescent="0.3">
      <c r="A51" s="404">
        <v>152</v>
      </c>
      <c r="B51" s="404" t="s">
        <v>381</v>
      </c>
      <c r="C51" s="404">
        <v>14</v>
      </c>
      <c r="D51" s="404">
        <v>4471</v>
      </c>
      <c r="E51" s="404">
        <v>34</v>
      </c>
      <c r="F51" s="404">
        <v>0</v>
      </c>
      <c r="G51" s="404">
        <v>42</v>
      </c>
      <c r="H51" s="419">
        <v>354.13</v>
      </c>
      <c r="I51" s="418">
        <v>12.62530709061644</v>
      </c>
      <c r="J51" s="419">
        <v>356.91</v>
      </c>
    </row>
    <row r="52" spans="1:10" x14ac:dyDescent="0.3">
      <c r="A52" s="404">
        <v>153</v>
      </c>
      <c r="B52" s="404" t="s">
        <v>380</v>
      </c>
      <c r="C52" s="404">
        <v>9</v>
      </c>
      <c r="D52" s="404">
        <v>26075</v>
      </c>
      <c r="E52" s="404">
        <v>37</v>
      </c>
      <c r="F52" s="404">
        <v>1</v>
      </c>
      <c r="G52" s="404">
        <v>1715</v>
      </c>
      <c r="H52" s="419">
        <v>155</v>
      </c>
      <c r="I52" s="418">
        <v>168.2258064516129</v>
      </c>
      <c r="J52" s="419">
        <v>191.28</v>
      </c>
    </row>
    <row r="53" spans="1:10" x14ac:dyDescent="0.3">
      <c r="A53" s="404">
        <v>165</v>
      </c>
      <c r="B53" s="404" t="s">
        <v>379</v>
      </c>
      <c r="C53" s="404">
        <v>5</v>
      </c>
      <c r="D53" s="404">
        <v>16237</v>
      </c>
      <c r="E53" s="404">
        <v>67</v>
      </c>
      <c r="F53" s="404">
        <v>0</v>
      </c>
      <c r="G53" s="404">
        <v>488</v>
      </c>
      <c r="H53" s="419">
        <v>547.41</v>
      </c>
      <c r="I53" s="418">
        <v>29.661496867064908</v>
      </c>
      <c r="J53" s="419">
        <v>586.07000000000005</v>
      </c>
    </row>
    <row r="54" spans="1:10" x14ac:dyDescent="0.3">
      <c r="A54" s="404">
        <v>167</v>
      </c>
      <c r="B54" s="404" t="s">
        <v>378</v>
      </c>
      <c r="C54" s="404">
        <v>12</v>
      </c>
      <c r="D54" s="404">
        <v>76935</v>
      </c>
      <c r="E54" s="404">
        <v>69</v>
      </c>
      <c r="F54" s="404">
        <v>4</v>
      </c>
      <c r="G54" s="404">
        <v>3969</v>
      </c>
      <c r="H54" s="419">
        <v>2381.69</v>
      </c>
      <c r="I54" s="418">
        <v>32.30269262582452</v>
      </c>
      <c r="J54" s="419">
        <v>2750.96</v>
      </c>
    </row>
    <row r="55" spans="1:10" x14ac:dyDescent="0.3">
      <c r="A55" s="404">
        <v>169</v>
      </c>
      <c r="B55" s="404" t="s">
        <v>377</v>
      </c>
      <c r="C55" s="404">
        <v>5</v>
      </c>
      <c r="D55" s="404">
        <v>5061</v>
      </c>
      <c r="E55" s="404">
        <v>23</v>
      </c>
      <c r="F55" s="404">
        <v>0</v>
      </c>
      <c r="G55" s="404">
        <v>129</v>
      </c>
      <c r="H55" s="419">
        <v>180.42</v>
      </c>
      <c r="I55" s="418">
        <v>28.051213834386434</v>
      </c>
      <c r="J55" s="419">
        <v>181.94</v>
      </c>
    </row>
    <row r="56" spans="1:10" x14ac:dyDescent="0.3">
      <c r="A56" s="404">
        <v>171</v>
      </c>
      <c r="B56" s="404" t="s">
        <v>376</v>
      </c>
      <c r="C56" s="404">
        <v>11</v>
      </c>
      <c r="D56" s="404">
        <v>4689</v>
      </c>
      <c r="E56" s="404">
        <v>19</v>
      </c>
      <c r="F56" s="404">
        <v>0</v>
      </c>
      <c r="G56" s="404">
        <v>170</v>
      </c>
      <c r="H56" s="419">
        <v>574.9</v>
      </c>
      <c r="I56" s="418">
        <v>8.1562010784484258</v>
      </c>
      <c r="J56" s="419">
        <v>711.76</v>
      </c>
    </row>
    <row r="57" spans="1:10" x14ac:dyDescent="0.3">
      <c r="A57" s="404">
        <v>172</v>
      </c>
      <c r="B57" s="404" t="s">
        <v>375</v>
      </c>
      <c r="C57" s="404">
        <v>13</v>
      </c>
      <c r="D57" s="404">
        <v>4297</v>
      </c>
      <c r="E57" s="404">
        <v>9</v>
      </c>
      <c r="F57" s="404">
        <v>0</v>
      </c>
      <c r="G57" s="404">
        <v>92</v>
      </c>
      <c r="H57" s="419">
        <v>867.03</v>
      </c>
      <c r="I57" s="418">
        <v>4.9559992157134127</v>
      </c>
      <c r="J57" s="419">
        <v>1066.42</v>
      </c>
    </row>
    <row r="58" spans="1:10" x14ac:dyDescent="0.3">
      <c r="A58" s="404">
        <v>176</v>
      </c>
      <c r="B58" s="404" t="s">
        <v>374</v>
      </c>
      <c r="C58" s="404">
        <v>12</v>
      </c>
      <c r="D58" s="404">
        <v>4527</v>
      </c>
      <c r="E58" s="404">
        <v>3</v>
      </c>
      <c r="F58" s="404">
        <v>0</v>
      </c>
      <c r="G58" s="404">
        <v>95</v>
      </c>
      <c r="H58" s="419">
        <v>1501.7</v>
      </c>
      <c r="I58" s="418">
        <v>3.0145834720649929</v>
      </c>
      <c r="J58" s="419">
        <v>1846.5699999999997</v>
      </c>
    </row>
    <row r="59" spans="1:10" x14ac:dyDescent="0.3">
      <c r="A59" s="404">
        <v>177</v>
      </c>
      <c r="B59" s="404" t="s">
        <v>373</v>
      </c>
      <c r="C59" s="404">
        <v>6</v>
      </c>
      <c r="D59" s="404">
        <v>1800</v>
      </c>
      <c r="E59" s="404">
        <v>4</v>
      </c>
      <c r="F59" s="404">
        <v>0</v>
      </c>
      <c r="G59" s="404">
        <v>19</v>
      </c>
      <c r="H59" s="419">
        <v>258.5</v>
      </c>
      <c r="I59" s="418">
        <v>6.9632495164410058</v>
      </c>
      <c r="J59" s="419">
        <v>274.95</v>
      </c>
    </row>
    <row r="60" spans="1:10" x14ac:dyDescent="0.3">
      <c r="A60" s="404">
        <v>178</v>
      </c>
      <c r="B60" s="404" t="s">
        <v>372</v>
      </c>
      <c r="C60" s="404">
        <v>10</v>
      </c>
      <c r="D60" s="404">
        <v>5932</v>
      </c>
      <c r="E60" s="404">
        <v>19</v>
      </c>
      <c r="F60" s="404">
        <v>0</v>
      </c>
      <c r="G60" s="404">
        <v>131</v>
      </c>
      <c r="H60" s="419">
        <v>1163.19</v>
      </c>
      <c r="I60" s="418">
        <v>5.099768739414885</v>
      </c>
      <c r="J60" s="419">
        <v>1345.69</v>
      </c>
    </row>
    <row r="61" spans="1:10" x14ac:dyDescent="0.3">
      <c r="A61" s="404">
        <v>179</v>
      </c>
      <c r="B61" s="404" t="s">
        <v>371</v>
      </c>
      <c r="C61" s="404">
        <v>13</v>
      </c>
      <c r="D61" s="404">
        <v>143420</v>
      </c>
      <c r="E61" s="404">
        <v>296</v>
      </c>
      <c r="F61" s="404">
        <v>16</v>
      </c>
      <c r="G61" s="404">
        <v>7723</v>
      </c>
      <c r="H61" s="419">
        <v>1171.02</v>
      </c>
      <c r="I61" s="418">
        <v>122.47442400642176</v>
      </c>
      <c r="J61" s="419">
        <v>1466.35</v>
      </c>
    </row>
    <row r="62" spans="1:10" x14ac:dyDescent="0.3">
      <c r="A62" s="404">
        <v>181</v>
      </c>
      <c r="B62" s="404" t="s">
        <v>370</v>
      </c>
      <c r="C62" s="404">
        <v>4</v>
      </c>
      <c r="D62" s="404">
        <v>1707</v>
      </c>
      <c r="E62" s="404">
        <v>3</v>
      </c>
      <c r="F62" s="404">
        <v>0</v>
      </c>
      <c r="G62" s="404">
        <v>35</v>
      </c>
      <c r="H62" s="419">
        <v>214.63</v>
      </c>
      <c r="I62" s="418">
        <v>7.9532218236034105</v>
      </c>
      <c r="J62" s="419">
        <v>224.33</v>
      </c>
    </row>
    <row r="63" spans="1:10" x14ac:dyDescent="0.3">
      <c r="A63" s="404">
        <v>182</v>
      </c>
      <c r="B63" s="404" t="s">
        <v>369</v>
      </c>
      <c r="C63" s="404">
        <v>13</v>
      </c>
      <c r="D63" s="404">
        <v>19887</v>
      </c>
      <c r="E63" s="404">
        <v>31</v>
      </c>
      <c r="F63" s="404">
        <v>1</v>
      </c>
      <c r="G63" s="404">
        <v>448</v>
      </c>
      <c r="H63" s="419">
        <v>1571.37</v>
      </c>
      <c r="I63" s="418">
        <v>12.655835353863191</v>
      </c>
      <c r="J63" s="419">
        <v>1823.91</v>
      </c>
    </row>
    <row r="64" spans="1:10" x14ac:dyDescent="0.3">
      <c r="A64" s="404">
        <v>186</v>
      </c>
      <c r="B64" s="404" t="s">
        <v>368</v>
      </c>
      <c r="C64" s="404">
        <v>35</v>
      </c>
      <c r="D64" s="404">
        <v>44455</v>
      </c>
      <c r="E64" s="404">
        <v>459</v>
      </c>
      <c r="F64" s="404">
        <v>4</v>
      </c>
      <c r="G64" s="404">
        <v>2853</v>
      </c>
      <c r="H64" s="419">
        <v>37.54</v>
      </c>
      <c r="I64" s="418">
        <v>1184.2035162493341</v>
      </c>
      <c r="J64" s="419">
        <v>39.93</v>
      </c>
    </row>
    <row r="65" spans="1:10" x14ac:dyDescent="0.3">
      <c r="A65" s="404">
        <v>202</v>
      </c>
      <c r="B65" s="404" t="s">
        <v>367</v>
      </c>
      <c r="C65" s="404">
        <v>2</v>
      </c>
      <c r="D65" s="404">
        <v>34667</v>
      </c>
      <c r="E65" s="404">
        <v>1574</v>
      </c>
      <c r="F65" s="404">
        <v>0</v>
      </c>
      <c r="G65" s="404">
        <v>1847</v>
      </c>
      <c r="H65" s="419">
        <v>150.65</v>
      </c>
      <c r="I65" s="418">
        <v>230.11616329239959</v>
      </c>
      <c r="J65" s="419">
        <v>179.58</v>
      </c>
    </row>
    <row r="66" spans="1:10" x14ac:dyDescent="0.3">
      <c r="A66" s="404">
        <v>204</v>
      </c>
      <c r="B66" s="404" t="s">
        <v>366</v>
      </c>
      <c r="C66" s="404">
        <v>11</v>
      </c>
      <c r="D66" s="404">
        <v>2807</v>
      </c>
      <c r="E66" s="404">
        <v>2</v>
      </c>
      <c r="F66" s="404">
        <v>0</v>
      </c>
      <c r="G66" s="404">
        <v>47</v>
      </c>
      <c r="H66" s="419">
        <v>674.07</v>
      </c>
      <c r="I66" s="418">
        <v>4.164255937810613</v>
      </c>
      <c r="J66" s="419">
        <v>789.6</v>
      </c>
    </row>
    <row r="67" spans="1:10" x14ac:dyDescent="0.3">
      <c r="A67" s="404">
        <v>205</v>
      </c>
      <c r="B67" s="404" t="s">
        <v>365</v>
      </c>
      <c r="C67" s="404">
        <v>18</v>
      </c>
      <c r="D67" s="404">
        <v>36567</v>
      </c>
      <c r="E67" s="404">
        <v>42</v>
      </c>
      <c r="F67" s="404">
        <v>2</v>
      </c>
      <c r="G67" s="404">
        <v>1367</v>
      </c>
      <c r="H67" s="419">
        <v>1834.73</v>
      </c>
      <c r="I67" s="418">
        <v>19.930452982182665</v>
      </c>
      <c r="J67" s="419">
        <v>2263.98</v>
      </c>
    </row>
    <row r="68" spans="1:10" x14ac:dyDescent="0.3">
      <c r="A68" s="404">
        <v>208</v>
      </c>
      <c r="B68" s="404" t="s">
        <v>364</v>
      </c>
      <c r="C68" s="404">
        <v>17</v>
      </c>
      <c r="D68" s="404">
        <v>12400</v>
      </c>
      <c r="E68" s="404">
        <v>55</v>
      </c>
      <c r="F68" s="404">
        <v>1</v>
      </c>
      <c r="G68" s="404">
        <v>322</v>
      </c>
      <c r="H68" s="419">
        <v>924.09</v>
      </c>
      <c r="I68" s="418">
        <v>13.41860641279529</v>
      </c>
      <c r="J68" s="419">
        <v>2391.29</v>
      </c>
    </row>
    <row r="69" spans="1:10" x14ac:dyDescent="0.3">
      <c r="A69" s="404">
        <v>211</v>
      </c>
      <c r="B69" s="404" t="s">
        <v>363</v>
      </c>
      <c r="C69" s="404">
        <v>6</v>
      </c>
      <c r="D69" s="404">
        <v>32214</v>
      </c>
      <c r="E69" s="404">
        <v>76</v>
      </c>
      <c r="F69" s="404">
        <v>1</v>
      </c>
      <c r="G69" s="404">
        <v>847</v>
      </c>
      <c r="H69" s="419">
        <v>658.09</v>
      </c>
      <c r="I69" s="418">
        <v>48.950751416979436</v>
      </c>
      <c r="J69" s="419">
        <v>870.86</v>
      </c>
    </row>
    <row r="70" spans="1:10" x14ac:dyDescent="0.3">
      <c r="A70" s="404">
        <v>213</v>
      </c>
      <c r="B70" s="404" t="s">
        <v>362</v>
      </c>
      <c r="C70" s="404">
        <v>10</v>
      </c>
      <c r="D70" s="404">
        <v>5312</v>
      </c>
      <c r="E70" s="404">
        <v>6</v>
      </c>
      <c r="F70" s="404">
        <v>0</v>
      </c>
      <c r="G70" s="404">
        <v>81</v>
      </c>
      <c r="H70" s="419">
        <v>1068.8800000000001</v>
      </c>
      <c r="I70" s="418">
        <v>4.9696878976124532</v>
      </c>
      <c r="J70" s="419">
        <v>1326.75</v>
      </c>
    </row>
    <row r="71" spans="1:10" x14ac:dyDescent="0.3">
      <c r="A71" s="404">
        <v>214</v>
      </c>
      <c r="B71" s="404" t="s">
        <v>361</v>
      </c>
      <c r="C71" s="404">
        <v>4</v>
      </c>
      <c r="D71" s="404">
        <v>12758</v>
      </c>
      <c r="E71" s="404">
        <v>14</v>
      </c>
      <c r="F71" s="404">
        <v>0</v>
      </c>
      <c r="G71" s="404">
        <v>493</v>
      </c>
      <c r="H71" s="419">
        <v>1021.12</v>
      </c>
      <c r="I71" s="418">
        <v>12.494124099028518</v>
      </c>
      <c r="J71" s="419">
        <v>1037.8699999999999</v>
      </c>
    </row>
    <row r="72" spans="1:10" x14ac:dyDescent="0.3">
      <c r="A72" s="404">
        <v>216</v>
      </c>
      <c r="B72" s="404" t="s">
        <v>360</v>
      </c>
      <c r="C72" s="404">
        <v>13</v>
      </c>
      <c r="D72" s="404">
        <v>1323</v>
      </c>
      <c r="E72" s="404">
        <v>1</v>
      </c>
      <c r="F72" s="404">
        <v>0</v>
      </c>
      <c r="G72" s="404">
        <v>25</v>
      </c>
      <c r="H72" s="419">
        <v>445.01</v>
      </c>
      <c r="I72" s="418">
        <v>2.9729668996202334</v>
      </c>
      <c r="J72" s="419">
        <v>549.88</v>
      </c>
    </row>
    <row r="73" spans="1:10" x14ac:dyDescent="0.3">
      <c r="A73" s="404">
        <v>217</v>
      </c>
      <c r="B73" s="404" t="s">
        <v>359</v>
      </c>
      <c r="C73" s="404">
        <v>16</v>
      </c>
      <c r="D73" s="404">
        <v>5426</v>
      </c>
      <c r="E73" s="404">
        <v>19</v>
      </c>
      <c r="F73" s="404">
        <v>0</v>
      </c>
      <c r="G73" s="404">
        <v>101</v>
      </c>
      <c r="H73" s="419">
        <v>468.04</v>
      </c>
      <c r="I73" s="418">
        <v>11.593026237073754</v>
      </c>
      <c r="J73" s="419">
        <v>470.65</v>
      </c>
    </row>
    <row r="74" spans="1:10" x14ac:dyDescent="0.3">
      <c r="A74" s="404">
        <v>218</v>
      </c>
      <c r="B74" s="404" t="s">
        <v>358</v>
      </c>
      <c r="C74" s="404">
        <v>14</v>
      </c>
      <c r="D74" s="404">
        <v>1207</v>
      </c>
      <c r="E74" s="404">
        <v>21</v>
      </c>
      <c r="F74" s="404">
        <v>0</v>
      </c>
      <c r="G74" s="404">
        <v>10</v>
      </c>
      <c r="H74" s="419">
        <v>185.57</v>
      </c>
      <c r="I74" s="418">
        <v>6.504284097645094</v>
      </c>
      <c r="J74" s="419">
        <v>186.54</v>
      </c>
    </row>
    <row r="75" spans="1:10" x14ac:dyDescent="0.3">
      <c r="A75" s="404">
        <v>224</v>
      </c>
      <c r="B75" s="404" t="s">
        <v>357</v>
      </c>
      <c r="C75" s="404">
        <v>33</v>
      </c>
      <c r="D75" s="404">
        <v>8696</v>
      </c>
      <c r="E75" s="404">
        <v>66</v>
      </c>
      <c r="F75" s="404">
        <v>1</v>
      </c>
      <c r="G75" s="404">
        <v>554</v>
      </c>
      <c r="H75" s="419">
        <v>242.35</v>
      </c>
      <c r="I75" s="418">
        <v>35.881988859088096</v>
      </c>
      <c r="J75" s="419">
        <v>255.32</v>
      </c>
    </row>
    <row r="76" spans="1:10" x14ac:dyDescent="0.3">
      <c r="A76" s="404">
        <v>226</v>
      </c>
      <c r="B76" s="404" t="s">
        <v>356</v>
      </c>
      <c r="C76" s="404">
        <v>13</v>
      </c>
      <c r="D76" s="404">
        <v>3858</v>
      </c>
      <c r="E76" s="404">
        <v>3</v>
      </c>
      <c r="F76" s="404">
        <v>0</v>
      </c>
      <c r="G76" s="404">
        <v>50</v>
      </c>
      <c r="H76" s="419">
        <v>887.08</v>
      </c>
      <c r="I76" s="418">
        <v>4.349100419353384</v>
      </c>
      <c r="J76" s="419">
        <v>963.2</v>
      </c>
    </row>
    <row r="77" spans="1:10" x14ac:dyDescent="0.3">
      <c r="A77" s="404">
        <v>230</v>
      </c>
      <c r="B77" s="404" t="s">
        <v>355</v>
      </c>
      <c r="C77" s="404">
        <v>4</v>
      </c>
      <c r="D77" s="404">
        <v>2322</v>
      </c>
      <c r="E77" s="404">
        <v>2</v>
      </c>
      <c r="F77" s="404">
        <v>0</v>
      </c>
      <c r="G77" s="404">
        <v>79</v>
      </c>
      <c r="H77" s="419">
        <v>502.18</v>
      </c>
      <c r="I77" s="418">
        <v>4.6238400573499545</v>
      </c>
      <c r="J77" s="419">
        <v>519.9</v>
      </c>
    </row>
    <row r="78" spans="1:10" x14ac:dyDescent="0.3">
      <c r="A78" s="404">
        <v>231</v>
      </c>
      <c r="B78" s="404" t="s">
        <v>354</v>
      </c>
      <c r="C78" s="404">
        <v>15</v>
      </c>
      <c r="D78" s="404">
        <v>1278</v>
      </c>
      <c r="E78" s="404">
        <v>357</v>
      </c>
      <c r="F78" s="404">
        <v>0</v>
      </c>
      <c r="G78" s="404">
        <v>140</v>
      </c>
      <c r="H78" s="419">
        <v>10.63</v>
      </c>
      <c r="I78" s="418">
        <v>120.22577610536217</v>
      </c>
      <c r="J78" s="419">
        <v>175.36</v>
      </c>
    </row>
    <row r="79" spans="1:10" x14ac:dyDescent="0.3">
      <c r="A79" s="404">
        <v>232</v>
      </c>
      <c r="B79" s="404" t="s">
        <v>353</v>
      </c>
      <c r="C79" s="404">
        <v>14</v>
      </c>
      <c r="D79" s="404">
        <v>13007</v>
      </c>
      <c r="E79" s="404">
        <v>42</v>
      </c>
      <c r="F79" s="404">
        <v>0</v>
      </c>
      <c r="G79" s="404">
        <v>326</v>
      </c>
      <c r="H79" s="419">
        <v>1298.96</v>
      </c>
      <c r="I79" s="418">
        <v>10.013395331649935</v>
      </c>
      <c r="J79" s="419">
        <v>1315.55</v>
      </c>
    </row>
    <row r="80" spans="1:10" x14ac:dyDescent="0.3">
      <c r="A80" s="404">
        <v>233</v>
      </c>
      <c r="B80" s="404" t="s">
        <v>352</v>
      </c>
      <c r="C80" s="404">
        <v>14</v>
      </c>
      <c r="D80" s="404">
        <v>15514</v>
      </c>
      <c r="E80" s="404">
        <v>107</v>
      </c>
      <c r="F80" s="404">
        <v>0</v>
      </c>
      <c r="G80" s="404">
        <v>474</v>
      </c>
      <c r="H80" s="419">
        <v>1313.82</v>
      </c>
      <c r="I80" s="418">
        <v>11.80831468542114</v>
      </c>
      <c r="J80" s="419">
        <v>1328.38</v>
      </c>
    </row>
    <row r="81" spans="1:10" x14ac:dyDescent="0.3">
      <c r="A81" s="404">
        <v>235</v>
      </c>
      <c r="B81" s="404" t="s">
        <v>351</v>
      </c>
      <c r="C81" s="404">
        <v>33</v>
      </c>
      <c r="D81" s="404">
        <v>10178</v>
      </c>
      <c r="E81" s="404">
        <v>3215</v>
      </c>
      <c r="F81" s="404">
        <v>3</v>
      </c>
      <c r="G81" s="404">
        <v>917</v>
      </c>
      <c r="H81" s="419">
        <v>5.89</v>
      </c>
      <c r="I81" s="418">
        <v>1728.0135823429544</v>
      </c>
      <c r="J81" s="419">
        <v>6</v>
      </c>
    </row>
    <row r="82" spans="1:10" x14ac:dyDescent="0.3">
      <c r="A82" s="404">
        <v>236</v>
      </c>
      <c r="B82" s="404" t="s">
        <v>350</v>
      </c>
      <c r="C82" s="404">
        <v>16</v>
      </c>
      <c r="D82" s="404">
        <v>4228</v>
      </c>
      <c r="E82" s="404">
        <v>84</v>
      </c>
      <c r="F82" s="404">
        <v>1</v>
      </c>
      <c r="G82" s="404">
        <v>93</v>
      </c>
      <c r="H82" s="419">
        <v>353.91</v>
      </c>
      <c r="I82" s="418">
        <v>11.946540080811506</v>
      </c>
      <c r="J82" s="419">
        <v>361.12</v>
      </c>
    </row>
    <row r="83" spans="1:10" x14ac:dyDescent="0.3">
      <c r="A83" s="404">
        <v>239</v>
      </c>
      <c r="B83" s="404" t="s">
        <v>349</v>
      </c>
      <c r="C83" s="404">
        <v>11</v>
      </c>
      <c r="D83" s="404">
        <v>2155</v>
      </c>
      <c r="E83" s="404">
        <v>1</v>
      </c>
      <c r="F83" s="404">
        <v>0</v>
      </c>
      <c r="G83" s="404">
        <v>34</v>
      </c>
      <c r="H83" s="419">
        <v>482.91</v>
      </c>
      <c r="I83" s="418">
        <v>4.4625292497566829</v>
      </c>
      <c r="J83" s="419">
        <v>578.29999999999995</v>
      </c>
    </row>
    <row r="84" spans="1:10" x14ac:dyDescent="0.3">
      <c r="A84" s="404">
        <v>240</v>
      </c>
      <c r="B84" s="404" t="s">
        <v>348</v>
      </c>
      <c r="C84" s="404">
        <v>19</v>
      </c>
      <c r="D84" s="404">
        <v>20437</v>
      </c>
      <c r="E84" s="404">
        <v>37</v>
      </c>
      <c r="F84" s="404">
        <v>6</v>
      </c>
      <c r="G84" s="404">
        <v>943</v>
      </c>
      <c r="H84" s="419">
        <v>95.3</v>
      </c>
      <c r="I84" s="418">
        <v>214.44910807974816</v>
      </c>
      <c r="J84" s="419">
        <v>747.28</v>
      </c>
    </row>
    <row r="85" spans="1:10" x14ac:dyDescent="0.3">
      <c r="A85" s="404">
        <v>241</v>
      </c>
      <c r="B85" s="404" t="s">
        <v>347</v>
      </c>
      <c r="C85" s="404">
        <v>19</v>
      </c>
      <c r="D85" s="404">
        <v>7984</v>
      </c>
      <c r="E85" s="404">
        <v>12</v>
      </c>
      <c r="F85" s="404">
        <v>4</v>
      </c>
      <c r="G85" s="404">
        <v>68</v>
      </c>
      <c r="H85" s="419">
        <v>626.29</v>
      </c>
      <c r="I85" s="418">
        <v>12.748087946478469</v>
      </c>
      <c r="J85" s="419">
        <v>647.24</v>
      </c>
    </row>
    <row r="86" spans="1:10" x14ac:dyDescent="0.3">
      <c r="A86" s="404">
        <v>244</v>
      </c>
      <c r="B86" s="404" t="s">
        <v>346</v>
      </c>
      <c r="C86" s="404">
        <v>17</v>
      </c>
      <c r="D86" s="404">
        <v>18796</v>
      </c>
      <c r="E86" s="404">
        <v>36</v>
      </c>
      <c r="F86" s="404">
        <v>11</v>
      </c>
      <c r="G86" s="404">
        <v>236</v>
      </c>
      <c r="H86" s="419">
        <v>110.14</v>
      </c>
      <c r="I86" s="418">
        <v>170.65552932631198</v>
      </c>
      <c r="J86" s="419">
        <v>110.34</v>
      </c>
    </row>
    <row r="87" spans="1:10" x14ac:dyDescent="0.3">
      <c r="A87" s="404">
        <v>245</v>
      </c>
      <c r="B87" s="404" t="s">
        <v>345</v>
      </c>
      <c r="C87" s="404">
        <v>32</v>
      </c>
      <c r="D87" s="404">
        <v>37105</v>
      </c>
      <c r="E87" s="404">
        <v>454</v>
      </c>
      <c r="F87" s="404">
        <v>0</v>
      </c>
      <c r="G87" s="404">
        <v>4646</v>
      </c>
      <c r="H87" s="419">
        <v>30.63</v>
      </c>
      <c r="I87" s="418">
        <v>1211.3940581129611</v>
      </c>
      <c r="J87" s="419">
        <v>30.79</v>
      </c>
    </row>
    <row r="88" spans="1:10" x14ac:dyDescent="0.3">
      <c r="A88" s="404">
        <v>249</v>
      </c>
      <c r="B88" s="404" t="s">
        <v>344</v>
      </c>
      <c r="C88" s="404">
        <v>13</v>
      </c>
      <c r="D88" s="404">
        <v>9486</v>
      </c>
      <c r="E88" s="404">
        <v>20</v>
      </c>
      <c r="F88" s="404">
        <v>0</v>
      </c>
      <c r="G88" s="404">
        <v>198</v>
      </c>
      <c r="H88" s="419">
        <v>1257.96</v>
      </c>
      <c r="I88" s="418">
        <v>7.5407803109796809</v>
      </c>
      <c r="J88" s="419">
        <v>1430.57</v>
      </c>
    </row>
    <row r="89" spans="1:10" x14ac:dyDescent="0.3">
      <c r="A89" s="404">
        <v>250</v>
      </c>
      <c r="B89" s="404" t="s">
        <v>343</v>
      </c>
      <c r="C89" s="404">
        <v>6</v>
      </c>
      <c r="D89" s="404">
        <v>1822</v>
      </c>
      <c r="E89" s="404">
        <v>0</v>
      </c>
      <c r="F89" s="404">
        <v>0</v>
      </c>
      <c r="G89" s="404">
        <v>29</v>
      </c>
      <c r="H89" s="419">
        <v>357.21</v>
      </c>
      <c r="I89" s="418">
        <v>5.1006410794770582</v>
      </c>
      <c r="J89" s="419">
        <v>390.5</v>
      </c>
    </row>
    <row r="90" spans="1:10" x14ac:dyDescent="0.3">
      <c r="A90" s="404">
        <v>256</v>
      </c>
      <c r="B90" s="404" t="s">
        <v>342</v>
      </c>
      <c r="C90" s="404">
        <v>13</v>
      </c>
      <c r="D90" s="404">
        <v>1597</v>
      </c>
      <c r="E90" s="404">
        <v>1</v>
      </c>
      <c r="F90" s="404">
        <v>1</v>
      </c>
      <c r="G90" s="404">
        <v>8</v>
      </c>
      <c r="H90" s="419">
        <v>460.2</v>
      </c>
      <c r="I90" s="418">
        <v>3.4702303346371144</v>
      </c>
      <c r="J90" s="419">
        <v>495.73</v>
      </c>
    </row>
    <row r="91" spans="1:10" x14ac:dyDescent="0.3">
      <c r="A91" s="404">
        <v>257</v>
      </c>
      <c r="B91" s="404" t="s">
        <v>341</v>
      </c>
      <c r="C91" s="404">
        <v>33</v>
      </c>
      <c r="D91" s="404">
        <v>40082</v>
      </c>
      <c r="E91" s="404">
        <v>6405</v>
      </c>
      <c r="F91" s="404">
        <v>8</v>
      </c>
      <c r="G91" s="404">
        <v>3744</v>
      </c>
      <c r="H91" s="419">
        <v>366.23</v>
      </c>
      <c r="I91" s="418">
        <v>109.44488436228599</v>
      </c>
      <c r="J91" s="419">
        <v>1017.01</v>
      </c>
    </row>
    <row r="92" spans="1:10" x14ac:dyDescent="0.3">
      <c r="A92" s="404">
        <v>260</v>
      </c>
      <c r="B92" s="404" t="s">
        <v>340</v>
      </c>
      <c r="C92" s="404">
        <v>12</v>
      </c>
      <c r="D92" s="404">
        <v>9933</v>
      </c>
      <c r="E92" s="404">
        <v>2</v>
      </c>
      <c r="F92" s="404">
        <v>1</v>
      </c>
      <c r="G92" s="404">
        <v>502</v>
      </c>
      <c r="H92" s="419">
        <v>1253.6600000000001</v>
      </c>
      <c r="I92" s="418">
        <v>7.9232008678589088</v>
      </c>
      <c r="J92" s="419">
        <v>1724.38</v>
      </c>
    </row>
    <row r="93" spans="1:10" x14ac:dyDescent="0.3">
      <c r="A93" s="404">
        <v>261</v>
      </c>
      <c r="B93" s="404" t="s">
        <v>339</v>
      </c>
      <c r="C93" s="404">
        <v>19</v>
      </c>
      <c r="D93" s="404">
        <v>6436</v>
      </c>
      <c r="E93" s="404">
        <v>15</v>
      </c>
      <c r="F93" s="404">
        <v>20</v>
      </c>
      <c r="G93" s="404">
        <v>240</v>
      </c>
      <c r="H93" s="419">
        <v>8095.12</v>
      </c>
      <c r="I93" s="418">
        <v>0.79504689244878401</v>
      </c>
      <c r="J93" s="419">
        <v>8263</v>
      </c>
    </row>
    <row r="94" spans="1:10" x14ac:dyDescent="0.3">
      <c r="A94" s="404">
        <v>263</v>
      </c>
      <c r="B94" s="404" t="s">
        <v>338</v>
      </c>
      <c r="C94" s="404">
        <v>11</v>
      </c>
      <c r="D94" s="404">
        <v>7854</v>
      </c>
      <c r="E94" s="404">
        <v>1</v>
      </c>
      <c r="F94" s="404">
        <v>0</v>
      </c>
      <c r="G94" s="404">
        <v>113</v>
      </c>
      <c r="H94" s="419">
        <v>1328.15</v>
      </c>
      <c r="I94" s="418">
        <v>5.9134886872717685</v>
      </c>
      <c r="J94" s="419">
        <v>1422.9</v>
      </c>
    </row>
    <row r="95" spans="1:10" x14ac:dyDescent="0.3">
      <c r="A95" s="404">
        <v>265</v>
      </c>
      <c r="B95" s="404" t="s">
        <v>337</v>
      </c>
      <c r="C95" s="404">
        <v>13</v>
      </c>
      <c r="D95" s="404">
        <v>1107</v>
      </c>
      <c r="E95" s="404">
        <v>0</v>
      </c>
      <c r="F95" s="404">
        <v>0</v>
      </c>
      <c r="G95" s="404">
        <v>14</v>
      </c>
      <c r="H95" s="419">
        <v>483.97</v>
      </c>
      <c r="I95" s="418">
        <v>2.2873318594127734</v>
      </c>
      <c r="J95" s="419">
        <v>599.88</v>
      </c>
    </row>
    <row r="96" spans="1:10" x14ac:dyDescent="0.3">
      <c r="A96" s="404">
        <v>271</v>
      </c>
      <c r="B96" s="404" t="s">
        <v>336</v>
      </c>
      <c r="C96" s="404">
        <v>4</v>
      </c>
      <c r="D96" s="404">
        <v>7013</v>
      </c>
      <c r="E96" s="404">
        <v>13</v>
      </c>
      <c r="F96" s="404">
        <v>0</v>
      </c>
      <c r="G96" s="404">
        <v>218</v>
      </c>
      <c r="H96" s="419">
        <v>480.2</v>
      </c>
      <c r="I96" s="418">
        <v>14.60433152852978</v>
      </c>
      <c r="J96" s="419">
        <v>531.26</v>
      </c>
    </row>
    <row r="97" spans="1:10" x14ac:dyDescent="0.3">
      <c r="A97" s="404">
        <v>272</v>
      </c>
      <c r="B97" s="404" t="s">
        <v>335</v>
      </c>
      <c r="C97" s="404">
        <v>16</v>
      </c>
      <c r="D97" s="404">
        <v>47772</v>
      </c>
      <c r="E97" s="404">
        <v>5974</v>
      </c>
      <c r="F97" s="404">
        <v>0</v>
      </c>
      <c r="G97" s="404">
        <v>1756</v>
      </c>
      <c r="H97" s="419">
        <v>1445.95</v>
      </c>
      <c r="I97" s="418">
        <v>33.03848680798091</v>
      </c>
      <c r="J97" s="419">
        <v>2730.8</v>
      </c>
    </row>
    <row r="98" spans="1:10" x14ac:dyDescent="0.3">
      <c r="A98" s="404">
        <v>273</v>
      </c>
      <c r="B98" s="404" t="s">
        <v>334</v>
      </c>
      <c r="C98" s="404">
        <v>19</v>
      </c>
      <c r="D98" s="404">
        <v>3925</v>
      </c>
      <c r="E98" s="404">
        <v>28</v>
      </c>
      <c r="F98" s="404">
        <v>3</v>
      </c>
      <c r="G98" s="404">
        <v>59</v>
      </c>
      <c r="H98" s="419">
        <v>2559.21</v>
      </c>
      <c r="I98" s="418">
        <v>1.5336764079540171</v>
      </c>
      <c r="J98" s="419">
        <v>2617.87</v>
      </c>
    </row>
    <row r="99" spans="1:10" x14ac:dyDescent="0.3">
      <c r="A99" s="404">
        <v>275</v>
      </c>
      <c r="B99" s="404" t="s">
        <v>333</v>
      </c>
      <c r="C99" s="404">
        <v>13</v>
      </c>
      <c r="D99" s="404">
        <v>2593</v>
      </c>
      <c r="E99" s="404">
        <v>1</v>
      </c>
      <c r="F99" s="404">
        <v>0</v>
      </c>
      <c r="G99" s="404">
        <v>26</v>
      </c>
      <c r="H99" s="419">
        <v>512.94000000000005</v>
      </c>
      <c r="I99" s="418">
        <v>5.05517214489024</v>
      </c>
      <c r="J99" s="419">
        <v>680.85</v>
      </c>
    </row>
    <row r="100" spans="1:10" x14ac:dyDescent="0.3">
      <c r="A100" s="404">
        <v>276</v>
      </c>
      <c r="B100" s="404" t="s">
        <v>332</v>
      </c>
      <c r="C100" s="404">
        <v>12</v>
      </c>
      <c r="D100" s="404">
        <v>14857</v>
      </c>
      <c r="E100" s="404">
        <v>12</v>
      </c>
      <c r="F100" s="404">
        <v>0</v>
      </c>
      <c r="G100" s="404">
        <v>334</v>
      </c>
      <c r="H100" s="419">
        <v>799.2</v>
      </c>
      <c r="I100" s="418">
        <v>18.58983983983984</v>
      </c>
      <c r="J100" s="419">
        <v>1029.83</v>
      </c>
    </row>
    <row r="101" spans="1:10" x14ac:dyDescent="0.3">
      <c r="A101" s="404">
        <v>280</v>
      </c>
      <c r="B101" s="404" t="s">
        <v>331</v>
      </c>
      <c r="C101" s="404">
        <v>15</v>
      </c>
      <c r="D101" s="404">
        <v>2068</v>
      </c>
      <c r="E101" s="404">
        <v>1763</v>
      </c>
      <c r="F101" s="404">
        <v>0</v>
      </c>
      <c r="G101" s="404">
        <v>230</v>
      </c>
      <c r="H101" s="419">
        <v>236.03</v>
      </c>
      <c r="I101" s="418">
        <v>8.7615981019361939</v>
      </c>
      <c r="J101" s="419">
        <v>1424.7</v>
      </c>
    </row>
    <row r="102" spans="1:10" x14ac:dyDescent="0.3">
      <c r="A102" s="404">
        <v>284</v>
      </c>
      <c r="B102" s="404" t="s">
        <v>330</v>
      </c>
      <c r="C102" s="404">
        <v>2</v>
      </c>
      <c r="D102" s="404">
        <v>2292</v>
      </c>
      <c r="E102" s="404">
        <v>7</v>
      </c>
      <c r="F102" s="404">
        <v>0</v>
      </c>
      <c r="G102" s="404">
        <v>95</v>
      </c>
      <c r="H102" s="419">
        <v>191.5</v>
      </c>
      <c r="I102" s="418">
        <v>11.968668407310705</v>
      </c>
      <c r="J102" s="419">
        <v>192.41</v>
      </c>
    </row>
    <row r="103" spans="1:10" x14ac:dyDescent="0.3">
      <c r="A103" s="404">
        <v>285</v>
      </c>
      <c r="B103" s="404" t="s">
        <v>329</v>
      </c>
      <c r="C103" s="404">
        <v>8</v>
      </c>
      <c r="D103" s="404">
        <v>51668</v>
      </c>
      <c r="E103" s="404">
        <v>504</v>
      </c>
      <c r="F103" s="404">
        <v>2</v>
      </c>
      <c r="G103" s="404">
        <v>4849</v>
      </c>
      <c r="H103" s="419">
        <v>271.95</v>
      </c>
      <c r="I103" s="418">
        <v>189.99080713366428</v>
      </c>
      <c r="J103" s="419">
        <v>949.76</v>
      </c>
    </row>
    <row r="104" spans="1:10" x14ac:dyDescent="0.3">
      <c r="A104" s="404">
        <v>286</v>
      </c>
      <c r="B104" s="404" t="s">
        <v>328</v>
      </c>
      <c r="C104" s="404">
        <v>8</v>
      </c>
      <c r="D104" s="404">
        <v>81187</v>
      </c>
      <c r="E104" s="404">
        <v>285</v>
      </c>
      <c r="F104" s="404">
        <v>1</v>
      </c>
      <c r="G104" s="404">
        <v>3558</v>
      </c>
      <c r="H104" s="419">
        <v>2557.67</v>
      </c>
      <c r="I104" s="418">
        <v>31.742562566711108</v>
      </c>
      <c r="J104" s="419">
        <v>2883.29</v>
      </c>
    </row>
    <row r="105" spans="1:10" x14ac:dyDescent="0.3">
      <c r="A105" s="404">
        <v>287</v>
      </c>
      <c r="B105" s="404" t="s">
        <v>327</v>
      </c>
      <c r="C105" s="404">
        <v>15</v>
      </c>
      <c r="D105" s="404">
        <v>6404</v>
      </c>
      <c r="E105" s="404">
        <v>3481</v>
      </c>
      <c r="F105" s="404">
        <v>0</v>
      </c>
      <c r="G105" s="404">
        <v>276</v>
      </c>
      <c r="H105" s="419">
        <v>683.24</v>
      </c>
      <c r="I105" s="418">
        <v>9.3729875300040977</v>
      </c>
      <c r="J105" s="419">
        <v>1678.98</v>
      </c>
    </row>
    <row r="106" spans="1:10" x14ac:dyDescent="0.3">
      <c r="A106" s="404">
        <v>288</v>
      </c>
      <c r="B106" s="404" t="s">
        <v>326</v>
      </c>
      <c r="C106" s="404">
        <v>15</v>
      </c>
      <c r="D106" s="404">
        <v>6416</v>
      </c>
      <c r="E106" s="404">
        <v>4942</v>
      </c>
      <c r="F106" s="404">
        <v>0</v>
      </c>
      <c r="G106" s="404">
        <v>244</v>
      </c>
      <c r="H106" s="419">
        <v>712.91</v>
      </c>
      <c r="I106" s="418">
        <v>8.9997334866953764</v>
      </c>
      <c r="J106" s="419">
        <v>752.65</v>
      </c>
    </row>
    <row r="107" spans="1:10" x14ac:dyDescent="0.3">
      <c r="A107" s="404">
        <v>290</v>
      </c>
      <c r="B107" s="404" t="s">
        <v>325</v>
      </c>
      <c r="C107" s="404">
        <v>18</v>
      </c>
      <c r="D107" s="404">
        <v>8042</v>
      </c>
      <c r="E107" s="404">
        <v>4</v>
      </c>
      <c r="F107" s="404">
        <v>0</v>
      </c>
      <c r="G107" s="404">
        <v>186</v>
      </c>
      <c r="H107" s="419">
        <v>4806.43</v>
      </c>
      <c r="I107" s="418">
        <v>1.673175308909107</v>
      </c>
      <c r="J107" s="419">
        <v>5456.84</v>
      </c>
    </row>
    <row r="108" spans="1:10" x14ac:dyDescent="0.3">
      <c r="A108" s="404">
        <v>291</v>
      </c>
      <c r="B108" s="404" t="s">
        <v>324</v>
      </c>
      <c r="C108" s="404">
        <v>6</v>
      </c>
      <c r="D108" s="404">
        <v>2161</v>
      </c>
      <c r="E108" s="404">
        <v>4</v>
      </c>
      <c r="F108" s="404">
        <v>2</v>
      </c>
      <c r="G108" s="404">
        <v>22</v>
      </c>
      <c r="H108" s="419">
        <v>660.93</v>
      </c>
      <c r="I108" s="418">
        <v>3.269635210990574</v>
      </c>
      <c r="J108" s="419">
        <v>936.68</v>
      </c>
    </row>
    <row r="109" spans="1:10" x14ac:dyDescent="0.3">
      <c r="A109" s="404">
        <v>297</v>
      </c>
      <c r="B109" s="404" t="s">
        <v>323</v>
      </c>
      <c r="C109" s="404">
        <v>11</v>
      </c>
      <c r="D109" s="404">
        <v>120210</v>
      </c>
      <c r="E109" s="404">
        <v>130</v>
      </c>
      <c r="F109" s="404">
        <v>1</v>
      </c>
      <c r="G109" s="404">
        <v>5095</v>
      </c>
      <c r="H109" s="419">
        <v>3241.02</v>
      </c>
      <c r="I109" s="418">
        <v>37.090175315178556</v>
      </c>
      <c r="J109" s="419">
        <v>4326.3500000000004</v>
      </c>
    </row>
    <row r="110" spans="1:10" x14ac:dyDescent="0.3">
      <c r="A110" s="404">
        <v>300</v>
      </c>
      <c r="B110" s="404" t="s">
        <v>322</v>
      </c>
      <c r="C110" s="404">
        <v>14</v>
      </c>
      <c r="D110" s="404">
        <v>3534</v>
      </c>
      <c r="E110" s="404">
        <v>4</v>
      </c>
      <c r="F110" s="404">
        <v>0</v>
      </c>
      <c r="G110" s="404">
        <v>68</v>
      </c>
      <c r="H110" s="419">
        <v>462.14</v>
      </c>
      <c r="I110" s="418">
        <v>7.6470333665123125</v>
      </c>
      <c r="J110" s="419">
        <v>484.89</v>
      </c>
    </row>
    <row r="111" spans="1:10" x14ac:dyDescent="0.3">
      <c r="A111" s="404">
        <v>301</v>
      </c>
      <c r="B111" s="404" t="s">
        <v>321</v>
      </c>
      <c r="C111" s="404">
        <v>14</v>
      </c>
      <c r="D111" s="404">
        <v>20456</v>
      </c>
      <c r="E111" s="404">
        <v>88</v>
      </c>
      <c r="F111" s="404">
        <v>0</v>
      </c>
      <c r="G111" s="404">
        <v>343</v>
      </c>
      <c r="H111" s="419">
        <v>1724.63</v>
      </c>
      <c r="I111" s="418">
        <v>11.861094843531655</v>
      </c>
      <c r="J111" s="419">
        <v>1743.95</v>
      </c>
    </row>
    <row r="112" spans="1:10" x14ac:dyDescent="0.3">
      <c r="A112" s="404">
        <v>304</v>
      </c>
      <c r="B112" s="404" t="s">
        <v>320</v>
      </c>
      <c r="C112" s="404">
        <v>2</v>
      </c>
      <c r="D112" s="404">
        <v>962</v>
      </c>
      <c r="E112" s="404">
        <v>13</v>
      </c>
      <c r="F112" s="404">
        <v>0</v>
      </c>
      <c r="G112" s="404">
        <v>23</v>
      </c>
      <c r="H112" s="419">
        <v>165.78</v>
      </c>
      <c r="I112" s="418">
        <v>5.8028712751839784</v>
      </c>
      <c r="J112" s="419">
        <v>770.15</v>
      </c>
    </row>
    <row r="113" spans="1:10" x14ac:dyDescent="0.3">
      <c r="A113" s="404">
        <v>305</v>
      </c>
      <c r="B113" s="404" t="s">
        <v>319</v>
      </c>
      <c r="C113" s="404">
        <v>17</v>
      </c>
      <c r="D113" s="404">
        <v>15213</v>
      </c>
      <c r="E113" s="404">
        <v>39</v>
      </c>
      <c r="F113" s="404">
        <v>6</v>
      </c>
      <c r="G113" s="404">
        <v>396</v>
      </c>
      <c r="H113" s="419">
        <v>4978.5200000000004</v>
      </c>
      <c r="I113" s="418">
        <v>3.0557274049315857</v>
      </c>
      <c r="J113" s="419">
        <v>5808.9600000000009</v>
      </c>
    </row>
    <row r="114" spans="1:10" x14ac:dyDescent="0.3">
      <c r="A114" s="404">
        <v>309</v>
      </c>
      <c r="B114" s="404" t="s">
        <v>318</v>
      </c>
      <c r="C114" s="404">
        <v>12</v>
      </c>
      <c r="D114" s="404">
        <v>6552</v>
      </c>
      <c r="E114" s="404">
        <v>10</v>
      </c>
      <c r="F114" s="404">
        <v>0</v>
      </c>
      <c r="G114" s="404">
        <v>244</v>
      </c>
      <c r="H114" s="419">
        <v>445.82</v>
      </c>
      <c r="I114" s="418">
        <v>14.696514288277781</v>
      </c>
      <c r="J114" s="419">
        <v>584.05999999999995</v>
      </c>
    </row>
    <row r="115" spans="1:10" x14ac:dyDescent="0.3">
      <c r="A115" s="404">
        <v>312</v>
      </c>
      <c r="B115" s="404" t="s">
        <v>317</v>
      </c>
      <c r="C115" s="404">
        <v>13</v>
      </c>
      <c r="D115" s="404">
        <v>1288</v>
      </c>
      <c r="E115" s="404">
        <v>1</v>
      </c>
      <c r="F115" s="404">
        <v>0</v>
      </c>
      <c r="G115" s="404">
        <v>27</v>
      </c>
      <c r="H115" s="419">
        <v>448.2</v>
      </c>
      <c r="I115" s="418">
        <v>2.8737170905845604</v>
      </c>
      <c r="J115" s="419">
        <v>469.61</v>
      </c>
    </row>
    <row r="116" spans="1:10" x14ac:dyDescent="0.3">
      <c r="A116" s="404">
        <v>316</v>
      </c>
      <c r="B116" s="404" t="s">
        <v>316</v>
      </c>
      <c r="C116" s="404">
        <v>7</v>
      </c>
      <c r="D116" s="404">
        <v>4326</v>
      </c>
      <c r="E116" s="404">
        <v>18</v>
      </c>
      <c r="F116" s="404">
        <v>0</v>
      </c>
      <c r="G116" s="404">
        <v>153</v>
      </c>
      <c r="H116" s="419">
        <v>256.5</v>
      </c>
      <c r="I116" s="418">
        <v>16.865497076023392</v>
      </c>
      <c r="J116" s="419">
        <v>259.31</v>
      </c>
    </row>
    <row r="117" spans="1:10" x14ac:dyDescent="0.3">
      <c r="A117" s="404">
        <v>317</v>
      </c>
      <c r="B117" s="404" t="s">
        <v>315</v>
      </c>
      <c r="C117" s="404">
        <v>17</v>
      </c>
      <c r="D117" s="404">
        <v>2538</v>
      </c>
      <c r="E117" s="404">
        <v>2</v>
      </c>
      <c r="F117" s="404">
        <v>0</v>
      </c>
      <c r="G117" s="404">
        <v>31</v>
      </c>
      <c r="H117" s="419">
        <v>696.39</v>
      </c>
      <c r="I117" s="418">
        <v>3.6445095420669453</v>
      </c>
      <c r="J117" s="419">
        <v>700.93</v>
      </c>
    </row>
    <row r="118" spans="1:10" x14ac:dyDescent="0.3">
      <c r="A118" s="404">
        <v>320</v>
      </c>
      <c r="B118" s="404" t="s">
        <v>314</v>
      </c>
      <c r="C118" s="404">
        <v>19</v>
      </c>
      <c r="D118" s="404">
        <v>7191</v>
      </c>
      <c r="E118" s="404">
        <v>5</v>
      </c>
      <c r="F118" s="404">
        <v>2</v>
      </c>
      <c r="G118" s="404">
        <v>103</v>
      </c>
      <c r="H118" s="419">
        <v>3504.36</v>
      </c>
      <c r="I118" s="418">
        <v>2.0520152039174056</v>
      </c>
      <c r="J118" s="419">
        <v>3930.91</v>
      </c>
    </row>
    <row r="119" spans="1:10" x14ac:dyDescent="0.3">
      <c r="A119" s="404">
        <v>322</v>
      </c>
      <c r="B119" s="404" t="s">
        <v>313</v>
      </c>
      <c r="C119" s="404">
        <v>2</v>
      </c>
      <c r="D119" s="404">
        <v>6609</v>
      </c>
      <c r="E119" s="404">
        <v>4464</v>
      </c>
      <c r="F119" s="404">
        <v>0</v>
      </c>
      <c r="G119" s="404">
        <v>217</v>
      </c>
      <c r="H119" s="419">
        <v>686.85</v>
      </c>
      <c r="I119" s="418">
        <v>9.6221882507097618</v>
      </c>
      <c r="J119" s="419">
        <v>2801.01</v>
      </c>
    </row>
    <row r="120" spans="1:10" x14ac:dyDescent="0.3">
      <c r="A120" s="404">
        <v>398</v>
      </c>
      <c r="B120" s="404" t="s">
        <v>312</v>
      </c>
      <c r="C120" s="404">
        <v>7</v>
      </c>
      <c r="D120" s="404">
        <v>119984</v>
      </c>
      <c r="E120" s="404">
        <v>481</v>
      </c>
      <c r="F120" s="404">
        <v>21</v>
      </c>
      <c r="G120" s="404">
        <v>9012</v>
      </c>
      <c r="H120" s="419">
        <v>459.49</v>
      </c>
      <c r="I120" s="418">
        <v>261.12428997366646</v>
      </c>
      <c r="J120" s="419">
        <v>517.64</v>
      </c>
    </row>
    <row r="121" spans="1:10" x14ac:dyDescent="0.3">
      <c r="A121" s="404">
        <v>399</v>
      </c>
      <c r="B121" s="404" t="s">
        <v>311</v>
      </c>
      <c r="C121" s="404">
        <v>15</v>
      </c>
      <c r="D121" s="404">
        <v>7996</v>
      </c>
      <c r="E121" s="404">
        <v>87</v>
      </c>
      <c r="F121" s="404">
        <v>0</v>
      </c>
      <c r="G121" s="404">
        <v>133</v>
      </c>
      <c r="H121" s="419">
        <v>505.16</v>
      </c>
      <c r="I121" s="418">
        <v>15.828648349037929</v>
      </c>
      <c r="J121" s="419">
        <v>508.44</v>
      </c>
    </row>
    <row r="122" spans="1:10" x14ac:dyDescent="0.3">
      <c r="A122" s="404">
        <v>400</v>
      </c>
      <c r="B122" s="404" t="s">
        <v>310</v>
      </c>
      <c r="C122" s="404">
        <v>2</v>
      </c>
      <c r="D122" s="404">
        <v>8468</v>
      </c>
      <c r="E122" s="404">
        <v>34</v>
      </c>
      <c r="F122" s="404">
        <v>0</v>
      </c>
      <c r="G122" s="404">
        <v>684</v>
      </c>
      <c r="H122" s="419">
        <v>531.85</v>
      </c>
      <c r="I122" s="418">
        <v>15.921782457459809</v>
      </c>
      <c r="J122" s="419">
        <v>545.32000000000005</v>
      </c>
    </row>
    <row r="123" spans="1:10" x14ac:dyDescent="0.3">
      <c r="A123" s="404">
        <v>402</v>
      </c>
      <c r="B123" s="404" t="s">
        <v>309</v>
      </c>
      <c r="C123" s="404">
        <v>11</v>
      </c>
      <c r="D123" s="404">
        <v>9358</v>
      </c>
      <c r="E123" s="404">
        <v>10</v>
      </c>
      <c r="F123" s="404">
        <v>0</v>
      </c>
      <c r="G123" s="404">
        <v>187</v>
      </c>
      <c r="H123" s="419">
        <v>1096.7</v>
      </c>
      <c r="I123" s="418">
        <v>8.532871341296616</v>
      </c>
      <c r="J123" s="419">
        <v>1245.1600000000001</v>
      </c>
    </row>
    <row r="124" spans="1:10" x14ac:dyDescent="0.3">
      <c r="A124" s="404">
        <v>403</v>
      </c>
      <c r="B124" s="404" t="s">
        <v>308</v>
      </c>
      <c r="C124" s="404">
        <v>14</v>
      </c>
      <c r="D124" s="404">
        <v>2925</v>
      </c>
      <c r="E124" s="404">
        <v>13</v>
      </c>
      <c r="F124" s="404">
        <v>0</v>
      </c>
      <c r="G124" s="404">
        <v>131</v>
      </c>
      <c r="H124" s="419">
        <v>420.88</v>
      </c>
      <c r="I124" s="418">
        <v>6.9497243869986693</v>
      </c>
      <c r="J124" s="419">
        <v>523.73</v>
      </c>
    </row>
    <row r="125" spans="1:10" x14ac:dyDescent="0.3">
      <c r="A125" s="404">
        <v>405</v>
      </c>
      <c r="B125" s="404" t="s">
        <v>307</v>
      </c>
      <c r="C125" s="404">
        <v>9</v>
      </c>
      <c r="D125" s="404">
        <v>72662</v>
      </c>
      <c r="E125" s="404">
        <v>128</v>
      </c>
      <c r="F125" s="404">
        <v>2</v>
      </c>
      <c r="G125" s="404">
        <v>5695</v>
      </c>
      <c r="H125" s="419">
        <v>1433.79</v>
      </c>
      <c r="I125" s="418">
        <v>50.678272271392601</v>
      </c>
      <c r="J125" s="419">
        <v>1723.56</v>
      </c>
    </row>
    <row r="126" spans="1:10" x14ac:dyDescent="0.3">
      <c r="A126" s="404">
        <v>407</v>
      </c>
      <c r="B126" s="404" t="s">
        <v>306</v>
      </c>
      <c r="C126" s="404">
        <v>34</v>
      </c>
      <c r="D126" s="404">
        <v>2621</v>
      </c>
      <c r="E126" s="404">
        <v>782</v>
      </c>
      <c r="F126" s="404">
        <v>0</v>
      </c>
      <c r="G126" s="404">
        <v>150</v>
      </c>
      <c r="H126" s="419">
        <v>329.89</v>
      </c>
      <c r="I126" s="418">
        <v>7.9450725999575615</v>
      </c>
      <c r="J126" s="419">
        <v>339.31</v>
      </c>
    </row>
    <row r="127" spans="1:10" x14ac:dyDescent="0.3">
      <c r="A127" s="404">
        <v>408</v>
      </c>
      <c r="B127" s="404" t="s">
        <v>305</v>
      </c>
      <c r="C127" s="404">
        <v>14</v>
      </c>
      <c r="D127" s="404">
        <v>14221</v>
      </c>
      <c r="E127" s="404">
        <v>25</v>
      </c>
      <c r="F127" s="404">
        <v>0</v>
      </c>
      <c r="G127" s="404">
        <v>383</v>
      </c>
      <c r="H127" s="419">
        <v>737.15</v>
      </c>
      <c r="I127" s="418">
        <v>19.291867326866988</v>
      </c>
      <c r="J127" s="419">
        <v>750.78</v>
      </c>
    </row>
    <row r="128" spans="1:10" x14ac:dyDescent="0.3">
      <c r="A128" s="404">
        <v>410</v>
      </c>
      <c r="B128" s="404" t="s">
        <v>304</v>
      </c>
      <c r="C128" s="404">
        <v>13</v>
      </c>
      <c r="D128" s="404">
        <v>18823</v>
      </c>
      <c r="E128" s="404">
        <v>25</v>
      </c>
      <c r="F128" s="404">
        <v>2</v>
      </c>
      <c r="G128" s="404">
        <v>257</v>
      </c>
      <c r="H128" s="419">
        <v>648.5</v>
      </c>
      <c r="I128" s="418">
        <v>29.025443330763299</v>
      </c>
      <c r="J128" s="419">
        <v>825.59</v>
      </c>
    </row>
    <row r="129" spans="1:10" x14ac:dyDescent="0.3">
      <c r="A129" s="404">
        <v>416</v>
      </c>
      <c r="B129" s="404" t="s">
        <v>303</v>
      </c>
      <c r="C129" s="404">
        <v>9</v>
      </c>
      <c r="D129" s="404">
        <v>2964</v>
      </c>
      <c r="E129" s="404">
        <v>3</v>
      </c>
      <c r="F129" s="404">
        <v>0</v>
      </c>
      <c r="G129" s="404">
        <v>80</v>
      </c>
      <c r="H129" s="419">
        <v>217.91</v>
      </c>
      <c r="I129" s="418">
        <v>13.60194575742279</v>
      </c>
      <c r="J129" s="419">
        <v>262.48</v>
      </c>
    </row>
    <row r="130" spans="1:10" x14ac:dyDescent="0.3">
      <c r="A130" s="404">
        <v>418</v>
      </c>
      <c r="B130" s="404" t="s">
        <v>302</v>
      </c>
      <c r="C130" s="404">
        <v>6</v>
      </c>
      <c r="D130" s="404">
        <v>23828</v>
      </c>
      <c r="E130" s="404">
        <v>72</v>
      </c>
      <c r="F130" s="404">
        <v>0</v>
      </c>
      <c r="G130" s="404">
        <v>641</v>
      </c>
      <c r="H130" s="419">
        <v>269.58</v>
      </c>
      <c r="I130" s="418">
        <v>88.389346390681808</v>
      </c>
      <c r="J130" s="419">
        <v>307.06</v>
      </c>
    </row>
    <row r="131" spans="1:10" x14ac:dyDescent="0.3">
      <c r="A131" s="404">
        <v>420</v>
      </c>
      <c r="B131" s="404" t="s">
        <v>301</v>
      </c>
      <c r="C131" s="404">
        <v>11</v>
      </c>
      <c r="D131" s="404">
        <v>9402</v>
      </c>
      <c r="E131" s="404">
        <v>13</v>
      </c>
      <c r="F131" s="404">
        <v>0</v>
      </c>
      <c r="G131" s="404">
        <v>193</v>
      </c>
      <c r="H131" s="419">
        <v>1135.99</v>
      </c>
      <c r="I131" s="418">
        <v>8.2764813070537588</v>
      </c>
      <c r="J131" s="419">
        <v>1519.6400000000003</v>
      </c>
    </row>
    <row r="132" spans="1:10" x14ac:dyDescent="0.3">
      <c r="A132" s="404">
        <v>421</v>
      </c>
      <c r="B132" s="404" t="s">
        <v>300</v>
      </c>
      <c r="C132" s="404">
        <v>16</v>
      </c>
      <c r="D132" s="404">
        <v>722</v>
      </c>
      <c r="E132" s="404">
        <v>1</v>
      </c>
      <c r="F132" s="404">
        <v>0</v>
      </c>
      <c r="G132" s="404">
        <v>14</v>
      </c>
      <c r="H132" s="419">
        <v>480.07</v>
      </c>
      <c r="I132" s="418">
        <v>1.5039473410127691</v>
      </c>
      <c r="J132" s="419">
        <v>559.05999999999995</v>
      </c>
    </row>
    <row r="133" spans="1:10" x14ac:dyDescent="0.3">
      <c r="A133" s="404">
        <v>422</v>
      </c>
      <c r="B133" s="404" t="s">
        <v>299</v>
      </c>
      <c r="C133" s="404">
        <v>12</v>
      </c>
      <c r="D133" s="404">
        <v>10719</v>
      </c>
      <c r="E133" s="404">
        <v>10</v>
      </c>
      <c r="F133" s="404">
        <v>0</v>
      </c>
      <c r="G133" s="404">
        <v>439</v>
      </c>
      <c r="H133" s="419">
        <v>3417.88</v>
      </c>
      <c r="I133" s="418">
        <v>3.136154575350802</v>
      </c>
      <c r="J133" s="419">
        <v>4067.71</v>
      </c>
    </row>
    <row r="134" spans="1:10" x14ac:dyDescent="0.3">
      <c r="A134" s="404">
        <v>423</v>
      </c>
      <c r="B134" s="404" t="s">
        <v>298</v>
      </c>
      <c r="C134" s="404">
        <v>2</v>
      </c>
      <c r="D134" s="404">
        <v>20146</v>
      </c>
      <c r="E134" s="404">
        <v>287</v>
      </c>
      <c r="F134" s="404">
        <v>1</v>
      </c>
      <c r="G134" s="404">
        <v>709</v>
      </c>
      <c r="H134" s="419">
        <v>300.54000000000002</v>
      </c>
      <c r="I134" s="418">
        <v>67.032674519198764</v>
      </c>
      <c r="J134" s="419">
        <v>302.56</v>
      </c>
    </row>
    <row r="135" spans="1:10" x14ac:dyDescent="0.3">
      <c r="A135" s="404">
        <v>425</v>
      </c>
      <c r="B135" s="404" t="s">
        <v>297</v>
      </c>
      <c r="C135" s="404">
        <v>17</v>
      </c>
      <c r="D135" s="404">
        <v>10238</v>
      </c>
      <c r="E135" s="404">
        <v>11</v>
      </c>
      <c r="F135" s="404">
        <v>4</v>
      </c>
      <c r="G135" s="404">
        <v>80</v>
      </c>
      <c r="H135" s="419">
        <v>637.30999999999995</v>
      </c>
      <c r="I135" s="418">
        <v>16.064395663021138</v>
      </c>
      <c r="J135" s="419">
        <v>651.71</v>
      </c>
    </row>
    <row r="136" spans="1:10" x14ac:dyDescent="0.3">
      <c r="A136" s="404">
        <v>426</v>
      </c>
      <c r="B136" s="404" t="s">
        <v>296</v>
      </c>
      <c r="C136" s="404">
        <v>12</v>
      </c>
      <c r="D136" s="404">
        <v>11994</v>
      </c>
      <c r="E136" s="404">
        <v>8</v>
      </c>
      <c r="F136" s="404">
        <v>1</v>
      </c>
      <c r="G136" s="404">
        <v>212</v>
      </c>
      <c r="H136" s="419">
        <v>726.87</v>
      </c>
      <c r="I136" s="418">
        <v>16.500887366379132</v>
      </c>
      <c r="J136" s="419">
        <v>1161.23</v>
      </c>
    </row>
    <row r="137" spans="1:10" x14ac:dyDescent="0.3">
      <c r="A137" s="404">
        <v>430</v>
      </c>
      <c r="B137" s="404" t="s">
        <v>295</v>
      </c>
      <c r="C137" s="404">
        <v>2</v>
      </c>
      <c r="D137" s="404">
        <v>15770</v>
      </c>
      <c r="E137" s="404">
        <v>39</v>
      </c>
      <c r="F137" s="404">
        <v>0</v>
      </c>
      <c r="G137" s="404">
        <v>623</v>
      </c>
      <c r="H137" s="419">
        <v>848.13</v>
      </c>
      <c r="I137" s="418">
        <v>18.593847641281407</v>
      </c>
      <c r="J137" s="419">
        <v>851.93</v>
      </c>
    </row>
    <row r="138" spans="1:10" x14ac:dyDescent="0.3">
      <c r="A138" s="404">
        <v>433</v>
      </c>
      <c r="B138" s="404" t="s">
        <v>294</v>
      </c>
      <c r="C138" s="404">
        <v>5</v>
      </c>
      <c r="D138" s="404">
        <v>7853</v>
      </c>
      <c r="E138" s="404">
        <v>37</v>
      </c>
      <c r="F138" s="404">
        <v>0</v>
      </c>
      <c r="G138" s="404">
        <v>205</v>
      </c>
      <c r="H138" s="419">
        <v>597.69000000000005</v>
      </c>
      <c r="I138" s="418">
        <v>13.138918168281215</v>
      </c>
      <c r="J138" s="419">
        <v>655.97</v>
      </c>
    </row>
    <row r="139" spans="1:10" x14ac:dyDescent="0.3">
      <c r="A139" s="404">
        <v>434</v>
      </c>
      <c r="B139" s="404" t="s">
        <v>293</v>
      </c>
      <c r="C139" s="404">
        <v>34</v>
      </c>
      <c r="D139" s="404">
        <v>14745</v>
      </c>
      <c r="E139" s="404">
        <v>5904</v>
      </c>
      <c r="F139" s="404">
        <v>0</v>
      </c>
      <c r="G139" s="404">
        <v>670</v>
      </c>
      <c r="H139" s="419">
        <v>819.81</v>
      </c>
      <c r="I139" s="418">
        <v>17.985874775862701</v>
      </c>
      <c r="J139" s="419">
        <v>1751.52</v>
      </c>
    </row>
    <row r="140" spans="1:10" x14ac:dyDescent="0.3">
      <c r="A140" s="404">
        <v>435</v>
      </c>
      <c r="B140" s="404" t="s">
        <v>292</v>
      </c>
      <c r="C140" s="404">
        <v>13</v>
      </c>
      <c r="D140" s="404">
        <v>699</v>
      </c>
      <c r="E140" s="404">
        <v>0</v>
      </c>
      <c r="F140" s="404">
        <v>0</v>
      </c>
      <c r="G140" s="404">
        <v>10</v>
      </c>
      <c r="H140" s="419">
        <v>214.51</v>
      </c>
      <c r="I140" s="418">
        <v>3.2585893431541653</v>
      </c>
      <c r="J140" s="419">
        <v>313.25</v>
      </c>
    </row>
    <row r="141" spans="1:10" x14ac:dyDescent="0.3">
      <c r="A141" s="404">
        <v>436</v>
      </c>
      <c r="B141" s="404" t="s">
        <v>291</v>
      </c>
      <c r="C141" s="404">
        <v>17</v>
      </c>
      <c r="D141" s="404">
        <v>2036</v>
      </c>
      <c r="E141" s="404">
        <v>3</v>
      </c>
      <c r="F141" s="404">
        <v>0</v>
      </c>
      <c r="G141" s="404">
        <v>29</v>
      </c>
      <c r="H141" s="419">
        <v>214.12</v>
      </c>
      <c r="I141" s="418">
        <v>9.5086867177283771</v>
      </c>
      <c r="J141" s="419">
        <v>290.29000000000002</v>
      </c>
    </row>
    <row r="142" spans="1:10" x14ac:dyDescent="0.3">
      <c r="A142" s="404">
        <v>440</v>
      </c>
      <c r="B142" s="404" t="s">
        <v>290</v>
      </c>
      <c r="C142" s="404">
        <v>15</v>
      </c>
      <c r="D142" s="404">
        <v>5534</v>
      </c>
      <c r="E142" s="404">
        <v>5071</v>
      </c>
      <c r="F142" s="404">
        <v>0</v>
      </c>
      <c r="G142" s="404">
        <v>157</v>
      </c>
      <c r="H142" s="419">
        <v>142.46</v>
      </c>
      <c r="I142" s="418">
        <v>38.845991857363465</v>
      </c>
      <c r="J142" s="419">
        <v>853.28</v>
      </c>
    </row>
    <row r="143" spans="1:10" x14ac:dyDescent="0.3">
      <c r="A143" s="404">
        <v>441</v>
      </c>
      <c r="B143" s="404" t="s">
        <v>289</v>
      </c>
      <c r="C143" s="404">
        <v>9</v>
      </c>
      <c r="D143" s="404">
        <v>4543</v>
      </c>
      <c r="E143" s="404">
        <v>15</v>
      </c>
      <c r="F143" s="404">
        <v>0</v>
      </c>
      <c r="G143" s="404">
        <v>170</v>
      </c>
      <c r="H143" s="419">
        <v>750.06</v>
      </c>
      <c r="I143" s="418">
        <v>6.0568487854304998</v>
      </c>
      <c r="J143" s="419">
        <v>859.84</v>
      </c>
    </row>
    <row r="144" spans="1:10" x14ac:dyDescent="0.3">
      <c r="A144" s="404">
        <v>444</v>
      </c>
      <c r="B144" s="404" t="s">
        <v>288</v>
      </c>
      <c r="C144" s="404">
        <v>33</v>
      </c>
      <c r="D144" s="404">
        <v>45886</v>
      </c>
      <c r="E144" s="404">
        <v>1614</v>
      </c>
      <c r="F144" s="404">
        <v>4</v>
      </c>
      <c r="G144" s="404">
        <v>2231</v>
      </c>
      <c r="H144" s="419">
        <v>939.44</v>
      </c>
      <c r="I144" s="418">
        <v>48.84399216554543</v>
      </c>
      <c r="J144" s="419">
        <v>1109.73</v>
      </c>
    </row>
    <row r="145" spans="1:10" x14ac:dyDescent="0.3">
      <c r="A145" s="404">
        <v>445</v>
      </c>
      <c r="B145" s="404" t="s">
        <v>287</v>
      </c>
      <c r="C145" s="404">
        <v>2</v>
      </c>
      <c r="D145" s="404">
        <v>15105</v>
      </c>
      <c r="E145" s="404">
        <v>8321</v>
      </c>
      <c r="F145" s="404">
        <v>0</v>
      </c>
      <c r="G145" s="404">
        <v>498</v>
      </c>
      <c r="H145" s="419">
        <v>883.2</v>
      </c>
      <c r="I145" s="418">
        <v>17.102581521739129</v>
      </c>
      <c r="J145" s="419">
        <v>5548.14</v>
      </c>
    </row>
    <row r="146" spans="1:10" x14ac:dyDescent="0.3">
      <c r="A146" s="404">
        <v>475</v>
      </c>
      <c r="B146" s="404" t="s">
        <v>286</v>
      </c>
      <c r="C146" s="404">
        <v>15</v>
      </c>
      <c r="D146" s="404">
        <v>5451</v>
      </c>
      <c r="E146" s="404">
        <v>4650</v>
      </c>
      <c r="F146" s="404">
        <v>0</v>
      </c>
      <c r="G146" s="404">
        <v>272</v>
      </c>
      <c r="H146" s="419">
        <v>521.74</v>
      </c>
      <c r="I146" s="418">
        <v>10.447732587112355</v>
      </c>
      <c r="J146" s="419">
        <v>1954.94</v>
      </c>
    </row>
    <row r="147" spans="1:10" x14ac:dyDescent="0.3">
      <c r="A147" s="404">
        <v>480</v>
      </c>
      <c r="B147" s="404" t="s">
        <v>285</v>
      </c>
      <c r="C147" s="404">
        <v>2</v>
      </c>
      <c r="D147" s="404">
        <v>1999</v>
      </c>
      <c r="E147" s="404">
        <v>19</v>
      </c>
      <c r="F147" s="404">
        <v>0</v>
      </c>
      <c r="G147" s="404">
        <v>56</v>
      </c>
      <c r="H147" s="419">
        <v>195.31</v>
      </c>
      <c r="I147" s="418">
        <v>10.235011008140905</v>
      </c>
      <c r="J147" s="419">
        <v>195.99</v>
      </c>
    </row>
    <row r="148" spans="1:10" x14ac:dyDescent="0.3">
      <c r="A148" s="404">
        <v>481</v>
      </c>
      <c r="B148" s="404" t="s">
        <v>284</v>
      </c>
      <c r="C148" s="404">
        <v>2</v>
      </c>
      <c r="D148" s="404">
        <v>9543</v>
      </c>
      <c r="E148" s="404">
        <v>107</v>
      </c>
      <c r="F148" s="404">
        <v>0</v>
      </c>
      <c r="G148" s="404">
        <v>209</v>
      </c>
      <c r="H148" s="419">
        <v>174.87</v>
      </c>
      <c r="I148" s="418">
        <v>54.57196774746955</v>
      </c>
      <c r="J148" s="419">
        <v>204.01</v>
      </c>
    </row>
    <row r="149" spans="1:10" x14ac:dyDescent="0.3">
      <c r="A149" s="404">
        <v>483</v>
      </c>
      <c r="B149" s="404" t="s">
        <v>283</v>
      </c>
      <c r="C149" s="404">
        <v>17</v>
      </c>
      <c r="D149" s="404">
        <v>1078</v>
      </c>
      <c r="E149" s="404">
        <v>0</v>
      </c>
      <c r="F149" s="404">
        <v>0</v>
      </c>
      <c r="G149" s="404">
        <v>3</v>
      </c>
      <c r="H149" s="419">
        <v>229.97</v>
      </c>
      <c r="I149" s="418">
        <v>4.6875679436448232</v>
      </c>
      <c r="J149" s="419">
        <v>231.63</v>
      </c>
    </row>
    <row r="150" spans="1:10" x14ac:dyDescent="0.3">
      <c r="A150" s="404">
        <v>484</v>
      </c>
      <c r="B150" s="404" t="s">
        <v>282</v>
      </c>
      <c r="C150" s="404">
        <v>4</v>
      </c>
      <c r="D150" s="404">
        <v>3066</v>
      </c>
      <c r="E150" s="404">
        <v>13</v>
      </c>
      <c r="F150" s="404">
        <v>0</v>
      </c>
      <c r="G150" s="404">
        <v>51</v>
      </c>
      <c r="H150" s="419">
        <v>446.16</v>
      </c>
      <c r="I150" s="418">
        <v>6.8719741796664868</v>
      </c>
      <c r="J150" s="419">
        <v>1246.2400000000002</v>
      </c>
    </row>
    <row r="151" spans="1:10" x14ac:dyDescent="0.3">
      <c r="A151" s="404">
        <v>489</v>
      </c>
      <c r="B151" s="404" t="s">
        <v>281</v>
      </c>
      <c r="C151" s="404">
        <v>8</v>
      </c>
      <c r="D151" s="404">
        <v>1868</v>
      </c>
      <c r="E151" s="404">
        <v>6</v>
      </c>
      <c r="F151" s="404">
        <v>0</v>
      </c>
      <c r="G151" s="404">
        <v>99</v>
      </c>
      <c r="H151" s="419">
        <v>422.5</v>
      </c>
      <c r="I151" s="418">
        <v>4.4213017751479287</v>
      </c>
      <c r="J151" s="419">
        <v>440.37</v>
      </c>
    </row>
    <row r="152" spans="1:10" x14ac:dyDescent="0.3">
      <c r="A152" s="404">
        <v>491</v>
      </c>
      <c r="B152" s="404" t="s">
        <v>280</v>
      </c>
      <c r="C152" s="404">
        <v>10</v>
      </c>
      <c r="D152" s="404">
        <v>52583</v>
      </c>
      <c r="E152" s="404">
        <v>84</v>
      </c>
      <c r="F152" s="404">
        <v>2</v>
      </c>
      <c r="G152" s="404">
        <v>2193</v>
      </c>
      <c r="H152" s="419">
        <v>2548.19</v>
      </c>
      <c r="I152" s="418">
        <v>20.635431423873417</v>
      </c>
      <c r="J152" s="419">
        <v>3229.5700000000006</v>
      </c>
    </row>
    <row r="153" spans="1:10" x14ac:dyDescent="0.3">
      <c r="A153" s="404">
        <v>494</v>
      </c>
      <c r="B153" s="404" t="s">
        <v>279</v>
      </c>
      <c r="C153" s="404">
        <v>17</v>
      </c>
      <c r="D153" s="404">
        <v>8903</v>
      </c>
      <c r="E153" s="404">
        <v>8</v>
      </c>
      <c r="F153" s="404">
        <v>0</v>
      </c>
      <c r="G153" s="404">
        <v>119</v>
      </c>
      <c r="H153" s="419">
        <v>783.75</v>
      </c>
      <c r="I153" s="418">
        <v>11.359489633173844</v>
      </c>
      <c r="J153" s="419">
        <v>797.27</v>
      </c>
    </row>
    <row r="154" spans="1:10" x14ac:dyDescent="0.3">
      <c r="A154" s="404">
        <v>495</v>
      </c>
      <c r="B154" s="404" t="s">
        <v>278</v>
      </c>
      <c r="C154" s="404">
        <v>13</v>
      </c>
      <c r="D154" s="404">
        <v>1558</v>
      </c>
      <c r="E154" s="404">
        <v>1</v>
      </c>
      <c r="F154" s="404">
        <v>0</v>
      </c>
      <c r="G154" s="404">
        <v>22</v>
      </c>
      <c r="H154" s="419">
        <v>733.24</v>
      </c>
      <c r="I154" s="418">
        <v>2.1248158856581747</v>
      </c>
      <c r="J154" s="419">
        <v>765.63</v>
      </c>
    </row>
    <row r="155" spans="1:10" x14ac:dyDescent="0.3">
      <c r="A155" s="404">
        <v>498</v>
      </c>
      <c r="B155" s="404" t="s">
        <v>277</v>
      </c>
      <c r="C155" s="404">
        <v>19</v>
      </c>
      <c r="D155" s="404">
        <v>2297</v>
      </c>
      <c r="E155" s="404">
        <v>13</v>
      </c>
      <c r="F155" s="404">
        <v>6</v>
      </c>
      <c r="G155" s="404">
        <v>91</v>
      </c>
      <c r="H155" s="419">
        <v>1904.05</v>
      </c>
      <c r="I155" s="418">
        <v>1.2063758829862661</v>
      </c>
      <c r="J155" s="419">
        <v>2039.97</v>
      </c>
    </row>
    <row r="156" spans="1:10" x14ac:dyDescent="0.3">
      <c r="A156" s="404">
        <v>499</v>
      </c>
      <c r="B156" s="404" t="s">
        <v>276</v>
      </c>
      <c r="C156" s="404">
        <v>15</v>
      </c>
      <c r="D156" s="404">
        <v>19453</v>
      </c>
      <c r="E156" s="404">
        <v>13358</v>
      </c>
      <c r="F156" s="404">
        <v>1</v>
      </c>
      <c r="G156" s="404">
        <v>543</v>
      </c>
      <c r="H156" s="419">
        <v>849.16</v>
      </c>
      <c r="I156" s="418">
        <v>22.908521362287438</v>
      </c>
      <c r="J156" s="419">
        <v>3178.6</v>
      </c>
    </row>
    <row r="157" spans="1:10" x14ac:dyDescent="0.3">
      <c r="A157" s="404">
        <v>500</v>
      </c>
      <c r="B157" s="404" t="s">
        <v>275</v>
      </c>
      <c r="C157" s="404">
        <v>13</v>
      </c>
      <c r="D157" s="404">
        <v>10267</v>
      </c>
      <c r="E157" s="404">
        <v>12</v>
      </c>
      <c r="F157" s="404">
        <v>0</v>
      </c>
      <c r="G157" s="404">
        <v>153</v>
      </c>
      <c r="H157" s="419">
        <v>144.06</v>
      </c>
      <c r="I157" s="418">
        <v>71.268915729557122</v>
      </c>
      <c r="J157" s="419">
        <v>194.05</v>
      </c>
    </row>
    <row r="158" spans="1:10" x14ac:dyDescent="0.3">
      <c r="A158" s="404">
        <v>503</v>
      </c>
      <c r="B158" s="404" t="s">
        <v>274</v>
      </c>
      <c r="C158" s="404">
        <v>2</v>
      </c>
      <c r="D158" s="404">
        <v>7645</v>
      </c>
      <c r="E158" s="404">
        <v>63</v>
      </c>
      <c r="F158" s="404">
        <v>0</v>
      </c>
      <c r="G158" s="404">
        <v>185</v>
      </c>
      <c r="H158" s="419">
        <v>519.79999999999995</v>
      </c>
      <c r="I158" s="418">
        <v>14.707579838399386</v>
      </c>
      <c r="J158" s="419">
        <v>536.09</v>
      </c>
    </row>
    <row r="159" spans="1:10" x14ac:dyDescent="0.3">
      <c r="A159" s="404">
        <v>504</v>
      </c>
      <c r="B159" s="404" t="s">
        <v>273</v>
      </c>
      <c r="C159" s="404">
        <v>34</v>
      </c>
      <c r="D159" s="404">
        <v>1871</v>
      </c>
      <c r="E159" s="404">
        <v>174</v>
      </c>
      <c r="F159" s="404">
        <v>0</v>
      </c>
      <c r="G159" s="404">
        <v>84</v>
      </c>
      <c r="H159" s="419">
        <v>200.44</v>
      </c>
      <c r="I159" s="418">
        <v>9.3344641788066252</v>
      </c>
      <c r="J159" s="419">
        <v>206.35</v>
      </c>
    </row>
    <row r="160" spans="1:10" x14ac:dyDescent="0.3">
      <c r="A160" s="404">
        <v>505</v>
      </c>
      <c r="B160" s="404" t="s">
        <v>272</v>
      </c>
      <c r="C160" s="404">
        <v>35</v>
      </c>
      <c r="D160" s="404">
        <v>20783</v>
      </c>
      <c r="E160" s="404">
        <v>175</v>
      </c>
      <c r="F160" s="404">
        <v>5</v>
      </c>
      <c r="G160" s="404">
        <v>807</v>
      </c>
      <c r="H160" s="419">
        <v>580.85</v>
      </c>
      <c r="I160" s="418">
        <v>35.780321941981576</v>
      </c>
      <c r="J160" s="419">
        <v>596.11</v>
      </c>
    </row>
    <row r="161" spans="1:10" x14ac:dyDescent="0.3">
      <c r="A161" s="404">
        <v>507</v>
      </c>
      <c r="B161" s="404" t="s">
        <v>271</v>
      </c>
      <c r="C161" s="404">
        <v>10</v>
      </c>
      <c r="D161" s="404">
        <v>5676</v>
      </c>
      <c r="E161" s="404">
        <v>16</v>
      </c>
      <c r="F161" s="404">
        <v>0</v>
      </c>
      <c r="G161" s="404">
        <v>135</v>
      </c>
      <c r="H161" s="419">
        <v>980.9</v>
      </c>
      <c r="I161" s="418">
        <v>5.7865225813028855</v>
      </c>
      <c r="J161" s="419">
        <v>1210.98</v>
      </c>
    </row>
    <row r="162" spans="1:10" x14ac:dyDescent="0.3">
      <c r="A162" s="404">
        <v>508</v>
      </c>
      <c r="B162" s="404" t="s">
        <v>270</v>
      </c>
      <c r="C162" s="404">
        <v>6</v>
      </c>
      <c r="D162" s="404">
        <v>9673</v>
      </c>
      <c r="E162" s="404">
        <v>16</v>
      </c>
      <c r="F162" s="404">
        <v>1</v>
      </c>
      <c r="G162" s="404">
        <v>234</v>
      </c>
      <c r="H162" s="419">
        <v>534.85</v>
      </c>
      <c r="I162" s="418">
        <v>18.085444517154343</v>
      </c>
      <c r="J162" s="419">
        <v>657.08</v>
      </c>
    </row>
    <row r="163" spans="1:10" x14ac:dyDescent="0.3">
      <c r="A163" s="404">
        <v>529</v>
      </c>
      <c r="B163" s="404" t="s">
        <v>269</v>
      </c>
      <c r="C163" s="404">
        <v>2</v>
      </c>
      <c r="D163" s="404">
        <v>19427</v>
      </c>
      <c r="E163" s="404">
        <v>260</v>
      </c>
      <c r="F163" s="404">
        <v>1</v>
      </c>
      <c r="G163" s="404">
        <v>553</v>
      </c>
      <c r="H163" s="419">
        <v>312.52999999999997</v>
      </c>
      <c r="I163" s="418">
        <v>62.16043259847055</v>
      </c>
      <c r="J163" s="419">
        <v>687.99</v>
      </c>
    </row>
    <row r="164" spans="1:10" x14ac:dyDescent="0.3">
      <c r="A164" s="404">
        <v>531</v>
      </c>
      <c r="B164" s="404" t="s">
        <v>268</v>
      </c>
      <c r="C164" s="404">
        <v>4</v>
      </c>
      <c r="D164" s="404">
        <v>5256</v>
      </c>
      <c r="E164" s="404">
        <v>26</v>
      </c>
      <c r="F164" s="404">
        <v>0</v>
      </c>
      <c r="G164" s="404">
        <v>89</v>
      </c>
      <c r="H164" s="419">
        <v>182.9</v>
      </c>
      <c r="I164" s="418">
        <v>28.737014762165117</v>
      </c>
      <c r="J164" s="419">
        <v>184.88</v>
      </c>
    </row>
    <row r="165" spans="1:10" x14ac:dyDescent="0.3">
      <c r="A165" s="404">
        <v>535</v>
      </c>
      <c r="B165" s="404" t="s">
        <v>267</v>
      </c>
      <c r="C165" s="404">
        <v>17</v>
      </c>
      <c r="D165" s="404">
        <v>10500</v>
      </c>
      <c r="E165" s="404">
        <v>6</v>
      </c>
      <c r="F165" s="404">
        <v>0</v>
      </c>
      <c r="G165" s="404">
        <v>100</v>
      </c>
      <c r="H165" s="419">
        <v>526.66999999999996</v>
      </c>
      <c r="I165" s="418">
        <v>19.936582679856457</v>
      </c>
      <c r="J165" s="419">
        <v>536.87</v>
      </c>
    </row>
    <row r="166" spans="1:10" x14ac:dyDescent="0.3">
      <c r="A166" s="404">
        <v>536</v>
      </c>
      <c r="B166" s="404" t="s">
        <v>266</v>
      </c>
      <c r="C166" s="404">
        <v>6</v>
      </c>
      <c r="D166" s="404">
        <v>34476</v>
      </c>
      <c r="E166" s="404">
        <v>119</v>
      </c>
      <c r="F166" s="404">
        <v>3</v>
      </c>
      <c r="G166" s="404">
        <v>967</v>
      </c>
      <c r="H166" s="419">
        <v>288.29000000000002</v>
      </c>
      <c r="I166" s="418">
        <v>119.58791494675499</v>
      </c>
      <c r="J166" s="419">
        <v>347.82999999999993</v>
      </c>
    </row>
    <row r="167" spans="1:10" x14ac:dyDescent="0.3">
      <c r="A167" s="404">
        <v>538</v>
      </c>
      <c r="B167" s="404" t="s">
        <v>265</v>
      </c>
      <c r="C167" s="404">
        <v>2</v>
      </c>
      <c r="D167" s="404">
        <v>4693</v>
      </c>
      <c r="E167" s="404">
        <v>42</v>
      </c>
      <c r="F167" s="404">
        <v>1</v>
      </c>
      <c r="G167" s="404">
        <v>80</v>
      </c>
      <c r="H167" s="419">
        <v>198.93</v>
      </c>
      <c r="I167" s="418">
        <v>23.591212989493791</v>
      </c>
      <c r="J167" s="419">
        <v>199.56</v>
      </c>
    </row>
    <row r="168" spans="1:10" x14ac:dyDescent="0.3">
      <c r="A168" s="404">
        <v>541</v>
      </c>
      <c r="B168" s="404" t="s">
        <v>264</v>
      </c>
      <c r="C168" s="404">
        <v>12</v>
      </c>
      <c r="D168" s="404">
        <v>9501</v>
      </c>
      <c r="E168" s="404">
        <v>6</v>
      </c>
      <c r="F168" s="404">
        <v>0</v>
      </c>
      <c r="G168" s="404">
        <v>191</v>
      </c>
      <c r="H168" s="419">
        <v>2401.38</v>
      </c>
      <c r="I168" s="418">
        <v>3.9564750268595557</v>
      </c>
      <c r="J168" s="419">
        <v>2692.8599999999997</v>
      </c>
    </row>
    <row r="169" spans="1:10" x14ac:dyDescent="0.3">
      <c r="A169" s="404">
        <v>543</v>
      </c>
      <c r="B169" s="404" t="s">
        <v>263</v>
      </c>
      <c r="C169" s="404">
        <v>35</v>
      </c>
      <c r="D169" s="404">
        <v>43663</v>
      </c>
      <c r="E169" s="404">
        <v>538</v>
      </c>
      <c r="F169" s="404">
        <v>1</v>
      </c>
      <c r="G169" s="404">
        <v>2587</v>
      </c>
      <c r="H169" s="419">
        <v>361.87</v>
      </c>
      <c r="I169" s="418">
        <v>120.65935280625639</v>
      </c>
      <c r="J169" s="419">
        <v>367.26</v>
      </c>
    </row>
    <row r="170" spans="1:10" x14ac:dyDescent="0.3">
      <c r="A170" s="404">
        <v>545</v>
      </c>
      <c r="B170" s="404" t="s">
        <v>262</v>
      </c>
      <c r="C170" s="404">
        <v>15</v>
      </c>
      <c r="D170" s="404">
        <v>9558</v>
      </c>
      <c r="E170" s="404">
        <v>7403</v>
      </c>
      <c r="F170" s="404">
        <v>0</v>
      </c>
      <c r="G170" s="404">
        <v>1648</v>
      </c>
      <c r="H170" s="419">
        <v>977.74</v>
      </c>
      <c r="I170" s="418">
        <v>9.7756049665555267</v>
      </c>
      <c r="J170" s="419">
        <v>2334.14</v>
      </c>
    </row>
    <row r="171" spans="1:10" x14ac:dyDescent="0.3">
      <c r="A171" s="404">
        <v>560</v>
      </c>
      <c r="B171" s="404" t="s">
        <v>261</v>
      </c>
      <c r="C171" s="404">
        <v>7</v>
      </c>
      <c r="D171" s="404">
        <v>15882</v>
      </c>
      <c r="E171" s="404">
        <v>98</v>
      </c>
      <c r="F171" s="404">
        <v>3</v>
      </c>
      <c r="G171" s="404">
        <v>474</v>
      </c>
      <c r="H171" s="419">
        <v>785.26</v>
      </c>
      <c r="I171" s="418">
        <v>20.225148358505464</v>
      </c>
      <c r="J171" s="419">
        <v>814.01</v>
      </c>
    </row>
    <row r="172" spans="1:10" x14ac:dyDescent="0.3">
      <c r="A172" s="404">
        <v>561</v>
      </c>
      <c r="B172" s="404" t="s">
        <v>260</v>
      </c>
      <c r="C172" s="404">
        <v>2</v>
      </c>
      <c r="D172" s="404">
        <v>1334</v>
      </c>
      <c r="E172" s="404">
        <v>6</v>
      </c>
      <c r="F172" s="404">
        <v>0</v>
      </c>
      <c r="G172" s="404">
        <v>97</v>
      </c>
      <c r="H172" s="419">
        <v>117.64</v>
      </c>
      <c r="I172" s="418">
        <v>11.33968038082285</v>
      </c>
      <c r="J172" s="419">
        <v>117.72</v>
      </c>
    </row>
    <row r="173" spans="1:10" x14ac:dyDescent="0.3">
      <c r="A173" s="404">
        <v>562</v>
      </c>
      <c r="B173" s="404" t="s">
        <v>259</v>
      </c>
      <c r="C173" s="404">
        <v>6</v>
      </c>
      <c r="D173" s="404">
        <v>9008</v>
      </c>
      <c r="E173" s="404">
        <v>12</v>
      </c>
      <c r="F173" s="404">
        <v>1</v>
      </c>
      <c r="G173" s="404">
        <v>145</v>
      </c>
      <c r="H173" s="419">
        <v>799.65</v>
      </c>
      <c r="I173" s="418">
        <v>11.264928406177702</v>
      </c>
      <c r="J173" s="419">
        <v>960.08000000000015</v>
      </c>
    </row>
    <row r="174" spans="1:10" x14ac:dyDescent="0.3">
      <c r="A174" s="404">
        <v>563</v>
      </c>
      <c r="B174" s="404" t="s">
        <v>258</v>
      </c>
      <c r="C174" s="404">
        <v>17</v>
      </c>
      <c r="D174" s="404">
        <v>7155</v>
      </c>
      <c r="E174" s="404">
        <v>11</v>
      </c>
      <c r="F174" s="404">
        <v>0</v>
      </c>
      <c r="G174" s="404">
        <v>107</v>
      </c>
      <c r="H174" s="419">
        <v>587.84</v>
      </c>
      <c r="I174" s="418">
        <v>12.171679368535655</v>
      </c>
      <c r="J174" s="419">
        <v>597.54</v>
      </c>
    </row>
    <row r="175" spans="1:10" x14ac:dyDescent="0.3">
      <c r="A175" s="404">
        <v>564</v>
      </c>
      <c r="B175" s="404" t="s">
        <v>257</v>
      </c>
      <c r="C175" s="404">
        <v>17</v>
      </c>
      <c r="D175" s="404">
        <v>207327</v>
      </c>
      <c r="E175" s="404">
        <v>485</v>
      </c>
      <c r="F175" s="404">
        <v>143</v>
      </c>
      <c r="G175" s="404">
        <v>9387</v>
      </c>
      <c r="H175" s="419">
        <v>2971.14</v>
      </c>
      <c r="I175" s="418">
        <v>69.780286354732525</v>
      </c>
      <c r="J175" s="419">
        <v>3817.54</v>
      </c>
    </row>
    <row r="176" spans="1:10" x14ac:dyDescent="0.3">
      <c r="A176" s="404">
        <v>576</v>
      </c>
      <c r="B176" s="404" t="s">
        <v>256</v>
      </c>
      <c r="C176" s="404">
        <v>7</v>
      </c>
      <c r="D176" s="404">
        <v>2861</v>
      </c>
      <c r="E176" s="404">
        <v>10</v>
      </c>
      <c r="F176" s="404">
        <v>0</v>
      </c>
      <c r="G176" s="404">
        <v>44</v>
      </c>
      <c r="H176" s="419">
        <v>523.09</v>
      </c>
      <c r="I176" s="418">
        <v>5.469422087977212</v>
      </c>
      <c r="J176" s="419">
        <v>729.85</v>
      </c>
    </row>
    <row r="177" spans="1:10" x14ac:dyDescent="0.3">
      <c r="A177" s="404">
        <v>577</v>
      </c>
      <c r="B177" s="404" t="s">
        <v>255</v>
      </c>
      <c r="C177" s="404">
        <v>2</v>
      </c>
      <c r="D177" s="404">
        <v>10922</v>
      </c>
      <c r="E177" s="404">
        <v>117</v>
      </c>
      <c r="F177" s="404">
        <v>1</v>
      </c>
      <c r="G177" s="404">
        <v>324</v>
      </c>
      <c r="H177" s="419">
        <v>238.49</v>
      </c>
      <c r="I177" s="418">
        <v>45.796469453645855</v>
      </c>
      <c r="J177" s="419">
        <v>242.27</v>
      </c>
    </row>
    <row r="178" spans="1:10" x14ac:dyDescent="0.3">
      <c r="A178" s="404">
        <v>578</v>
      </c>
      <c r="B178" s="404" t="s">
        <v>254</v>
      </c>
      <c r="C178" s="404">
        <v>18</v>
      </c>
      <c r="D178" s="404">
        <v>3235</v>
      </c>
      <c r="E178" s="404">
        <v>2</v>
      </c>
      <c r="F178" s="404">
        <v>0</v>
      </c>
      <c r="G178" s="404">
        <v>34</v>
      </c>
      <c r="H178" s="419">
        <v>918.76</v>
      </c>
      <c r="I178" s="418">
        <v>3.5210501110191998</v>
      </c>
      <c r="J178" s="419">
        <v>1139.1099999999999</v>
      </c>
    </row>
    <row r="179" spans="1:10" x14ac:dyDescent="0.3">
      <c r="A179" s="404">
        <v>580</v>
      </c>
      <c r="B179" s="404" t="s">
        <v>253</v>
      </c>
      <c r="C179" s="404">
        <v>9</v>
      </c>
      <c r="D179" s="404">
        <v>4655</v>
      </c>
      <c r="E179" s="404">
        <v>9</v>
      </c>
      <c r="F179" s="404">
        <v>0</v>
      </c>
      <c r="G179" s="404">
        <v>105</v>
      </c>
      <c r="H179" s="419">
        <v>592.01</v>
      </c>
      <c r="I179" s="418">
        <v>7.8630428540058448</v>
      </c>
      <c r="J179" s="419">
        <v>760.71</v>
      </c>
    </row>
    <row r="180" spans="1:10" x14ac:dyDescent="0.3">
      <c r="A180" s="404">
        <v>581</v>
      </c>
      <c r="B180" s="404" t="s">
        <v>252</v>
      </c>
      <c r="C180" s="404">
        <v>6</v>
      </c>
      <c r="D180" s="404">
        <v>6352</v>
      </c>
      <c r="E180" s="404">
        <v>10</v>
      </c>
      <c r="F180" s="404">
        <v>0</v>
      </c>
      <c r="G180" s="404">
        <v>130</v>
      </c>
      <c r="H180" s="419">
        <v>852.72</v>
      </c>
      <c r="I180" s="418">
        <v>7.4491040435312881</v>
      </c>
      <c r="J180" s="419">
        <v>909.67</v>
      </c>
    </row>
    <row r="181" spans="1:10" x14ac:dyDescent="0.3">
      <c r="A181" s="404">
        <v>583</v>
      </c>
      <c r="B181" s="404" t="s">
        <v>251</v>
      </c>
      <c r="C181" s="404">
        <v>19</v>
      </c>
      <c r="D181" s="404">
        <v>931</v>
      </c>
      <c r="E181" s="404">
        <v>3</v>
      </c>
      <c r="F181" s="404">
        <v>0</v>
      </c>
      <c r="G181" s="404">
        <v>11</v>
      </c>
      <c r="H181" s="419">
        <v>1836.42</v>
      </c>
      <c r="I181" s="418">
        <v>0.50696463771904032</v>
      </c>
      <c r="J181" s="419">
        <v>1881.54</v>
      </c>
    </row>
    <row r="182" spans="1:10" x14ac:dyDescent="0.3">
      <c r="A182" s="404">
        <v>584</v>
      </c>
      <c r="B182" s="404" t="s">
        <v>250</v>
      </c>
      <c r="C182" s="404">
        <v>16</v>
      </c>
      <c r="D182" s="404">
        <v>2706</v>
      </c>
      <c r="E182" s="404">
        <v>12</v>
      </c>
      <c r="F182" s="404">
        <v>0</v>
      </c>
      <c r="G182" s="404">
        <v>22</v>
      </c>
      <c r="H182" s="419">
        <v>747.87</v>
      </c>
      <c r="I182" s="418">
        <v>3.6182759035661278</v>
      </c>
      <c r="J182" s="419">
        <v>775.19</v>
      </c>
    </row>
    <row r="183" spans="1:10" x14ac:dyDescent="0.3">
      <c r="A183" s="404">
        <v>588</v>
      </c>
      <c r="B183" s="404" t="s">
        <v>249</v>
      </c>
      <c r="C183" s="404">
        <v>10</v>
      </c>
      <c r="D183" s="404">
        <v>1654</v>
      </c>
      <c r="E183" s="404">
        <v>2</v>
      </c>
      <c r="F183" s="404">
        <v>0</v>
      </c>
      <c r="G183" s="404">
        <v>34</v>
      </c>
      <c r="H183" s="419">
        <v>374.43</v>
      </c>
      <c r="I183" s="418">
        <v>4.4173810859172606</v>
      </c>
      <c r="J183" s="419">
        <v>454.2</v>
      </c>
    </row>
    <row r="184" spans="1:10" x14ac:dyDescent="0.3">
      <c r="A184" s="404">
        <v>592</v>
      </c>
      <c r="B184" s="404" t="s">
        <v>248</v>
      </c>
      <c r="C184" s="404">
        <v>13</v>
      </c>
      <c r="D184" s="404">
        <v>3772</v>
      </c>
      <c r="E184" s="404">
        <v>6</v>
      </c>
      <c r="F184" s="404">
        <v>1</v>
      </c>
      <c r="G184" s="404">
        <v>59</v>
      </c>
      <c r="H184" s="419">
        <v>456.42</v>
      </c>
      <c r="I184" s="418">
        <v>8.2643179527628057</v>
      </c>
      <c r="J184" s="419">
        <v>495.41</v>
      </c>
    </row>
    <row r="185" spans="1:10" x14ac:dyDescent="0.3">
      <c r="A185" s="404">
        <v>593</v>
      </c>
      <c r="B185" s="404" t="s">
        <v>247</v>
      </c>
      <c r="C185" s="404">
        <v>10</v>
      </c>
      <c r="D185" s="404">
        <v>17375</v>
      </c>
      <c r="E185" s="404">
        <v>21</v>
      </c>
      <c r="F185" s="404">
        <v>0</v>
      </c>
      <c r="G185" s="404">
        <v>490</v>
      </c>
      <c r="H185" s="419">
        <v>1569.01</v>
      </c>
      <c r="I185" s="418">
        <v>11.07386186193842</v>
      </c>
      <c r="J185" s="419">
        <v>1836.23</v>
      </c>
    </row>
    <row r="186" spans="1:10" x14ac:dyDescent="0.3">
      <c r="A186" s="404">
        <v>595</v>
      </c>
      <c r="B186" s="404" t="s">
        <v>246</v>
      </c>
      <c r="C186" s="404">
        <v>11</v>
      </c>
      <c r="D186" s="404">
        <v>4321</v>
      </c>
      <c r="E186" s="404">
        <v>8</v>
      </c>
      <c r="F186" s="404">
        <v>0</v>
      </c>
      <c r="G186" s="404">
        <v>76</v>
      </c>
      <c r="H186" s="419">
        <v>1153.23</v>
      </c>
      <c r="I186" s="418">
        <v>3.7468674939084137</v>
      </c>
      <c r="J186" s="419">
        <v>1406.51</v>
      </c>
    </row>
    <row r="187" spans="1:10" x14ac:dyDescent="0.3">
      <c r="A187" s="404">
        <v>598</v>
      </c>
      <c r="B187" s="404" t="s">
        <v>245</v>
      </c>
      <c r="C187" s="404">
        <v>15</v>
      </c>
      <c r="D187" s="404">
        <v>19066</v>
      </c>
      <c r="E187" s="404">
        <v>10683</v>
      </c>
      <c r="F187" s="404">
        <v>2</v>
      </c>
      <c r="G187" s="404">
        <v>1907</v>
      </c>
      <c r="H187" s="419">
        <v>88.45</v>
      </c>
      <c r="I187" s="418">
        <v>215.5568117580554</v>
      </c>
      <c r="J187" s="419">
        <v>396.35</v>
      </c>
    </row>
    <row r="188" spans="1:10" x14ac:dyDescent="0.3">
      <c r="A188" s="404">
        <v>599</v>
      </c>
      <c r="B188" s="404" t="s">
        <v>244</v>
      </c>
      <c r="C188" s="404">
        <v>15</v>
      </c>
      <c r="D188" s="404">
        <v>11174</v>
      </c>
      <c r="E188" s="404">
        <v>9887</v>
      </c>
      <c r="F188" s="404">
        <v>0</v>
      </c>
      <c r="G188" s="404">
        <v>341</v>
      </c>
      <c r="H188" s="419">
        <v>794.26</v>
      </c>
      <c r="I188" s="418">
        <v>14.068441064638783</v>
      </c>
      <c r="J188" s="419">
        <v>826.05</v>
      </c>
    </row>
    <row r="189" spans="1:10" x14ac:dyDescent="0.3">
      <c r="A189" s="404">
        <v>601</v>
      </c>
      <c r="B189" s="404" t="s">
        <v>243</v>
      </c>
      <c r="C189" s="404">
        <v>13</v>
      </c>
      <c r="D189" s="404">
        <v>3931</v>
      </c>
      <c r="E189" s="404">
        <v>0</v>
      </c>
      <c r="F189" s="404">
        <v>0</v>
      </c>
      <c r="G189" s="404">
        <v>36</v>
      </c>
      <c r="H189" s="419">
        <v>1074.92</v>
      </c>
      <c r="I189" s="418">
        <v>3.6570163360994306</v>
      </c>
      <c r="J189" s="419">
        <v>1247.49</v>
      </c>
    </row>
    <row r="190" spans="1:10" x14ac:dyDescent="0.3">
      <c r="A190" s="404">
        <v>604</v>
      </c>
      <c r="B190" s="404" t="s">
        <v>242</v>
      </c>
      <c r="C190" s="404">
        <v>6</v>
      </c>
      <c r="D190" s="404">
        <v>19803</v>
      </c>
      <c r="E190" s="404">
        <v>72</v>
      </c>
      <c r="F190" s="404">
        <v>1</v>
      </c>
      <c r="G190" s="404">
        <v>753</v>
      </c>
      <c r="H190" s="419">
        <v>81.42</v>
      </c>
      <c r="I190" s="418">
        <v>243.22033898305085</v>
      </c>
      <c r="J190" s="419">
        <v>103.97</v>
      </c>
    </row>
    <row r="191" spans="1:10" x14ac:dyDescent="0.3">
      <c r="A191" s="404">
        <v>607</v>
      </c>
      <c r="B191" s="404" t="s">
        <v>241</v>
      </c>
      <c r="C191" s="404">
        <v>12</v>
      </c>
      <c r="D191" s="404">
        <v>4201</v>
      </c>
      <c r="E191" s="404">
        <v>4</v>
      </c>
      <c r="F191" s="404">
        <v>0</v>
      </c>
      <c r="G191" s="404">
        <v>40</v>
      </c>
      <c r="H191" s="419">
        <v>804.16</v>
      </c>
      <c r="I191" s="418">
        <v>5.2240847592518902</v>
      </c>
      <c r="J191" s="419">
        <v>958.32</v>
      </c>
    </row>
    <row r="192" spans="1:10" x14ac:dyDescent="0.3">
      <c r="A192" s="404">
        <v>608</v>
      </c>
      <c r="B192" s="404" t="s">
        <v>240</v>
      </c>
      <c r="C192" s="404">
        <v>4</v>
      </c>
      <c r="D192" s="404">
        <v>2063</v>
      </c>
      <c r="E192" s="404">
        <v>2</v>
      </c>
      <c r="F192" s="404">
        <v>0</v>
      </c>
      <c r="G192" s="404">
        <v>21</v>
      </c>
      <c r="H192" s="419">
        <v>301.18</v>
      </c>
      <c r="I192" s="418">
        <v>6.8497244172919851</v>
      </c>
      <c r="J192" s="419">
        <v>332.05</v>
      </c>
    </row>
    <row r="193" spans="1:10" x14ac:dyDescent="0.3">
      <c r="A193" s="404">
        <v>609</v>
      </c>
      <c r="B193" s="404" t="s">
        <v>239</v>
      </c>
      <c r="C193" s="404">
        <v>4</v>
      </c>
      <c r="D193" s="404">
        <v>83684</v>
      </c>
      <c r="E193" s="404">
        <v>466</v>
      </c>
      <c r="F193" s="404">
        <v>1</v>
      </c>
      <c r="G193" s="404">
        <v>3090</v>
      </c>
      <c r="H193" s="419">
        <v>1156.0999999999999</v>
      </c>
      <c r="I193" s="418">
        <v>72.384741804342184</v>
      </c>
      <c r="J193" s="419">
        <v>2062</v>
      </c>
    </row>
    <row r="194" spans="1:10" x14ac:dyDescent="0.3">
      <c r="A194" s="404">
        <v>611</v>
      </c>
      <c r="B194" s="404" t="s">
        <v>238</v>
      </c>
      <c r="C194" s="404">
        <v>35</v>
      </c>
      <c r="D194" s="404">
        <v>5070</v>
      </c>
      <c r="E194" s="404">
        <v>115</v>
      </c>
      <c r="F194" s="404">
        <v>0</v>
      </c>
      <c r="G194" s="404">
        <v>170</v>
      </c>
      <c r="H194" s="419">
        <v>146.52000000000001</v>
      </c>
      <c r="I194" s="418">
        <v>34.602784602784602</v>
      </c>
      <c r="J194" s="419">
        <v>150.09</v>
      </c>
    </row>
    <row r="195" spans="1:10" x14ac:dyDescent="0.3">
      <c r="A195" s="404">
        <v>614</v>
      </c>
      <c r="B195" s="404" t="s">
        <v>237</v>
      </c>
      <c r="C195" s="404">
        <v>19</v>
      </c>
      <c r="D195" s="404">
        <v>3117</v>
      </c>
      <c r="E195" s="404">
        <v>6</v>
      </c>
      <c r="F195" s="404">
        <v>1</v>
      </c>
      <c r="G195" s="404">
        <v>41</v>
      </c>
      <c r="H195" s="419">
        <v>3039.56</v>
      </c>
      <c r="I195" s="418">
        <v>1.0254773717248549</v>
      </c>
      <c r="J195" s="419">
        <v>3544.9</v>
      </c>
    </row>
    <row r="196" spans="1:10" x14ac:dyDescent="0.3">
      <c r="A196" s="404">
        <v>615</v>
      </c>
      <c r="B196" s="404" t="s">
        <v>236</v>
      </c>
      <c r="C196" s="404">
        <v>17</v>
      </c>
      <c r="D196" s="404">
        <v>7779</v>
      </c>
      <c r="E196" s="404">
        <v>8</v>
      </c>
      <c r="F196" s="404">
        <v>1</v>
      </c>
      <c r="G196" s="404">
        <v>188</v>
      </c>
      <c r="H196" s="419">
        <v>5638.35</v>
      </c>
      <c r="I196" s="418">
        <v>1.3796589427758119</v>
      </c>
      <c r="J196" s="419">
        <v>5867.27</v>
      </c>
    </row>
    <row r="197" spans="1:10" x14ac:dyDescent="0.3">
      <c r="A197" s="404">
        <v>616</v>
      </c>
      <c r="B197" s="404" t="s">
        <v>235</v>
      </c>
      <c r="C197" s="404">
        <v>34</v>
      </c>
      <c r="D197" s="404">
        <v>1833</v>
      </c>
      <c r="E197" s="404">
        <v>12</v>
      </c>
      <c r="F197" s="404">
        <v>0</v>
      </c>
      <c r="G197" s="404">
        <v>56</v>
      </c>
      <c r="H197" s="419">
        <v>145.09</v>
      </c>
      <c r="I197" s="418">
        <v>12.633537804121579</v>
      </c>
      <c r="J197" s="419">
        <v>145.94</v>
      </c>
    </row>
    <row r="198" spans="1:10" x14ac:dyDescent="0.3">
      <c r="A198" s="404">
        <v>619</v>
      </c>
      <c r="B198" s="404" t="s">
        <v>234</v>
      </c>
      <c r="C198" s="404">
        <v>6</v>
      </c>
      <c r="D198" s="404">
        <v>2785</v>
      </c>
      <c r="E198" s="404">
        <v>2</v>
      </c>
      <c r="F198" s="404">
        <v>0</v>
      </c>
      <c r="G198" s="404">
        <v>64</v>
      </c>
      <c r="H198" s="419">
        <v>361.1</v>
      </c>
      <c r="I198" s="418">
        <v>7.7125450013846573</v>
      </c>
      <c r="J198" s="419">
        <v>364.02</v>
      </c>
    </row>
    <row r="199" spans="1:10" x14ac:dyDescent="0.3">
      <c r="A199" s="404">
        <v>620</v>
      </c>
      <c r="B199" s="404" t="s">
        <v>233</v>
      </c>
      <c r="C199" s="404">
        <v>18</v>
      </c>
      <c r="D199" s="404">
        <v>2491</v>
      </c>
      <c r="E199" s="404">
        <v>4</v>
      </c>
      <c r="F199" s="404">
        <v>0</v>
      </c>
      <c r="G199" s="404">
        <v>42</v>
      </c>
      <c r="H199" s="419">
        <v>2461.1999999999998</v>
      </c>
      <c r="I199" s="418">
        <v>1.0121079148382903</v>
      </c>
      <c r="J199" s="419">
        <v>2598.69</v>
      </c>
    </row>
    <row r="200" spans="1:10" x14ac:dyDescent="0.3">
      <c r="A200" s="404">
        <v>623</v>
      </c>
      <c r="B200" s="404" t="s">
        <v>232</v>
      </c>
      <c r="C200" s="404">
        <v>10</v>
      </c>
      <c r="D200" s="404">
        <v>2137</v>
      </c>
      <c r="E200" s="404">
        <v>3</v>
      </c>
      <c r="F200" s="404">
        <v>0</v>
      </c>
      <c r="G200" s="404">
        <v>43</v>
      </c>
      <c r="H200" s="419">
        <v>794.18</v>
      </c>
      <c r="I200" s="418">
        <v>2.6908257573849759</v>
      </c>
      <c r="J200" s="419">
        <v>1237.75</v>
      </c>
    </row>
    <row r="201" spans="1:10" x14ac:dyDescent="0.3">
      <c r="A201" s="404">
        <v>624</v>
      </c>
      <c r="B201" s="404" t="s">
        <v>231</v>
      </c>
      <c r="C201" s="404">
        <v>8</v>
      </c>
      <c r="D201" s="404">
        <v>5125</v>
      </c>
      <c r="E201" s="404">
        <v>365</v>
      </c>
      <c r="F201" s="404">
        <v>0</v>
      </c>
      <c r="G201" s="404">
        <v>192</v>
      </c>
      <c r="H201" s="419">
        <v>324.63</v>
      </c>
      <c r="I201" s="418">
        <v>15.787203893663555</v>
      </c>
      <c r="J201" s="419">
        <v>780.96</v>
      </c>
    </row>
    <row r="202" spans="1:10" x14ac:dyDescent="0.3">
      <c r="A202" s="404">
        <v>625</v>
      </c>
      <c r="B202" s="404" t="s">
        <v>230</v>
      </c>
      <c r="C202" s="404">
        <v>17</v>
      </c>
      <c r="D202" s="404">
        <v>3051</v>
      </c>
      <c r="E202" s="404">
        <v>8</v>
      </c>
      <c r="F202" s="404">
        <v>0</v>
      </c>
      <c r="G202" s="404">
        <v>92</v>
      </c>
      <c r="H202" s="419">
        <v>543.11</v>
      </c>
      <c r="I202" s="418">
        <v>5.6176465172801091</v>
      </c>
      <c r="J202" s="419">
        <v>1365.09</v>
      </c>
    </row>
    <row r="203" spans="1:10" x14ac:dyDescent="0.3">
      <c r="A203" s="404">
        <v>626</v>
      </c>
      <c r="B203" s="404" t="s">
        <v>229</v>
      </c>
      <c r="C203" s="404">
        <v>17</v>
      </c>
      <c r="D203" s="404">
        <v>5033</v>
      </c>
      <c r="E203" s="404">
        <v>12</v>
      </c>
      <c r="F203" s="404">
        <v>0</v>
      </c>
      <c r="G203" s="404">
        <v>55</v>
      </c>
      <c r="H203" s="419">
        <v>1310.33</v>
      </c>
      <c r="I203" s="418">
        <v>3.8410171483519422</v>
      </c>
      <c r="J203" s="419">
        <v>1459.46</v>
      </c>
    </row>
    <row r="204" spans="1:10" x14ac:dyDescent="0.3">
      <c r="A204" s="404">
        <v>630</v>
      </c>
      <c r="B204" s="404" t="s">
        <v>228</v>
      </c>
      <c r="C204" s="404">
        <v>17</v>
      </c>
      <c r="D204" s="404">
        <v>1593</v>
      </c>
      <c r="E204" s="404">
        <v>1</v>
      </c>
      <c r="F204" s="404">
        <v>0</v>
      </c>
      <c r="G204" s="404">
        <v>40</v>
      </c>
      <c r="H204" s="419">
        <v>810.21</v>
      </c>
      <c r="I204" s="418">
        <v>1.9661569222794089</v>
      </c>
      <c r="J204" s="419">
        <v>847.48</v>
      </c>
    </row>
    <row r="205" spans="1:10" x14ac:dyDescent="0.3">
      <c r="A205" s="404">
        <v>631</v>
      </c>
      <c r="B205" s="404" t="s">
        <v>227</v>
      </c>
      <c r="C205" s="404">
        <v>2</v>
      </c>
      <c r="D205" s="404">
        <v>1994</v>
      </c>
      <c r="E205" s="404">
        <v>7</v>
      </c>
      <c r="F205" s="404">
        <v>0</v>
      </c>
      <c r="G205" s="404">
        <v>43</v>
      </c>
      <c r="H205" s="419">
        <v>143.51</v>
      </c>
      <c r="I205" s="418">
        <v>13.894502125287437</v>
      </c>
      <c r="J205" s="419">
        <v>291.75</v>
      </c>
    </row>
    <row r="206" spans="1:10" x14ac:dyDescent="0.3">
      <c r="A206" s="404">
        <v>635</v>
      </c>
      <c r="B206" s="404" t="s">
        <v>226</v>
      </c>
      <c r="C206" s="404">
        <v>6</v>
      </c>
      <c r="D206" s="404">
        <v>6415</v>
      </c>
      <c r="E206" s="404">
        <v>27</v>
      </c>
      <c r="F206" s="404">
        <v>0</v>
      </c>
      <c r="G206" s="404">
        <v>167</v>
      </c>
      <c r="H206" s="419">
        <v>560.70000000000005</v>
      </c>
      <c r="I206" s="418">
        <v>11.441055823078294</v>
      </c>
      <c r="J206" s="419">
        <v>738.14</v>
      </c>
    </row>
    <row r="207" spans="1:10" x14ac:dyDescent="0.3">
      <c r="A207" s="404">
        <v>636</v>
      </c>
      <c r="B207" s="404" t="s">
        <v>225</v>
      </c>
      <c r="C207" s="404">
        <v>2</v>
      </c>
      <c r="D207" s="404">
        <v>8229</v>
      </c>
      <c r="E207" s="404">
        <v>48</v>
      </c>
      <c r="F207" s="404">
        <v>3</v>
      </c>
      <c r="G207" s="404">
        <v>332</v>
      </c>
      <c r="H207" s="419">
        <v>749.94</v>
      </c>
      <c r="I207" s="418">
        <v>10.972877830226418</v>
      </c>
      <c r="J207" s="419">
        <v>773.69</v>
      </c>
    </row>
    <row r="208" spans="1:10" x14ac:dyDescent="0.3">
      <c r="A208" s="404">
        <v>638</v>
      </c>
      <c r="B208" s="404" t="s">
        <v>224</v>
      </c>
      <c r="C208" s="404">
        <v>34</v>
      </c>
      <c r="D208" s="404">
        <v>50619</v>
      </c>
      <c r="E208" s="404">
        <v>14554</v>
      </c>
      <c r="F208" s="404">
        <v>0</v>
      </c>
      <c r="G208" s="404">
        <v>3677</v>
      </c>
      <c r="H208" s="419">
        <v>654.54999999999995</v>
      </c>
      <c r="I208" s="418">
        <v>77.334046291345203</v>
      </c>
      <c r="J208" s="419">
        <v>2139.81</v>
      </c>
    </row>
    <row r="209" spans="1:10" x14ac:dyDescent="0.3">
      <c r="A209" s="404">
        <v>678</v>
      </c>
      <c r="B209" s="404" t="s">
        <v>223</v>
      </c>
      <c r="C209" s="404">
        <v>17</v>
      </c>
      <c r="D209" s="404">
        <v>24353</v>
      </c>
      <c r="E209" s="404">
        <v>15</v>
      </c>
      <c r="F209" s="404">
        <v>1</v>
      </c>
      <c r="G209" s="404">
        <v>739</v>
      </c>
      <c r="H209" s="419">
        <v>1015.34</v>
      </c>
      <c r="I209" s="418">
        <v>23.985069040912403</v>
      </c>
      <c r="J209" s="419">
        <v>1888.97</v>
      </c>
    </row>
    <row r="210" spans="1:10" x14ac:dyDescent="0.3">
      <c r="A210" s="404">
        <v>680</v>
      </c>
      <c r="B210" s="404" t="s">
        <v>222</v>
      </c>
      <c r="C210" s="404">
        <v>2</v>
      </c>
      <c r="D210" s="404">
        <v>24407</v>
      </c>
      <c r="E210" s="404">
        <v>334</v>
      </c>
      <c r="F210" s="404">
        <v>0</v>
      </c>
      <c r="G210" s="404">
        <v>2222</v>
      </c>
      <c r="H210" s="419">
        <v>48.76</v>
      </c>
      <c r="I210" s="418">
        <v>500.55373256767842</v>
      </c>
      <c r="J210" s="419">
        <v>50.06</v>
      </c>
    </row>
    <row r="211" spans="1:10" x14ac:dyDescent="0.3">
      <c r="A211" s="404">
        <v>681</v>
      </c>
      <c r="B211" s="404" t="s">
        <v>221</v>
      </c>
      <c r="C211" s="404">
        <v>10</v>
      </c>
      <c r="D211" s="404">
        <v>3364</v>
      </c>
      <c r="E211" s="404">
        <v>6</v>
      </c>
      <c r="F211" s="404">
        <v>0</v>
      </c>
      <c r="G211" s="404">
        <v>112</v>
      </c>
      <c r="H211" s="419">
        <v>559.29</v>
      </c>
      <c r="I211" s="418">
        <v>6.0147687246330168</v>
      </c>
      <c r="J211" s="419">
        <v>925.19</v>
      </c>
    </row>
    <row r="212" spans="1:10" x14ac:dyDescent="0.3">
      <c r="A212" s="404">
        <v>683</v>
      </c>
      <c r="B212" s="404" t="s">
        <v>220</v>
      </c>
      <c r="C212" s="404">
        <v>19</v>
      </c>
      <c r="D212" s="404">
        <v>3712</v>
      </c>
      <c r="E212" s="404">
        <v>3</v>
      </c>
      <c r="F212" s="404">
        <v>0</v>
      </c>
      <c r="G212" s="404">
        <v>37</v>
      </c>
      <c r="H212" s="419">
        <v>3453.41</v>
      </c>
      <c r="I212" s="418">
        <v>1.0748796117460713</v>
      </c>
      <c r="J212" s="419">
        <v>3694.79</v>
      </c>
    </row>
    <row r="213" spans="1:10" x14ac:dyDescent="0.3">
      <c r="A213" s="404">
        <v>684</v>
      </c>
      <c r="B213" s="404" t="s">
        <v>219</v>
      </c>
      <c r="C213" s="404">
        <v>4</v>
      </c>
      <c r="D213" s="404">
        <v>39040</v>
      </c>
      <c r="E213" s="404">
        <v>114</v>
      </c>
      <c r="F213" s="404">
        <v>0</v>
      </c>
      <c r="G213" s="404">
        <v>2687</v>
      </c>
      <c r="H213" s="419">
        <v>496.17</v>
      </c>
      <c r="I213" s="418">
        <v>78.682709555192773</v>
      </c>
      <c r="J213" s="419">
        <v>1110.1300000000001</v>
      </c>
    </row>
    <row r="214" spans="1:10" x14ac:dyDescent="0.3">
      <c r="A214" s="404">
        <v>686</v>
      </c>
      <c r="B214" s="404" t="s">
        <v>218</v>
      </c>
      <c r="C214" s="404">
        <v>11</v>
      </c>
      <c r="D214" s="404">
        <v>3053</v>
      </c>
      <c r="E214" s="404">
        <v>3</v>
      </c>
      <c r="F214" s="404">
        <v>0</v>
      </c>
      <c r="G214" s="404">
        <v>74</v>
      </c>
      <c r="H214" s="419">
        <v>538.96</v>
      </c>
      <c r="I214" s="418">
        <v>5.6646133293750927</v>
      </c>
      <c r="J214" s="419">
        <v>761.99</v>
      </c>
    </row>
    <row r="215" spans="1:10" x14ac:dyDescent="0.3">
      <c r="A215" s="404">
        <v>687</v>
      </c>
      <c r="B215" s="404" t="s">
        <v>217</v>
      </c>
      <c r="C215" s="404">
        <v>11</v>
      </c>
      <c r="D215" s="404">
        <v>1561</v>
      </c>
      <c r="E215" s="404">
        <v>0</v>
      </c>
      <c r="F215" s="404">
        <v>0</v>
      </c>
      <c r="G215" s="404">
        <v>18</v>
      </c>
      <c r="H215" s="419">
        <v>1150.6400000000001</v>
      </c>
      <c r="I215" s="418">
        <v>1.3566363067510254</v>
      </c>
      <c r="J215" s="419">
        <v>1235.25</v>
      </c>
    </row>
    <row r="216" spans="1:10" x14ac:dyDescent="0.3">
      <c r="A216" s="404">
        <v>689</v>
      </c>
      <c r="B216" s="404" t="s">
        <v>216</v>
      </c>
      <c r="C216" s="404">
        <v>9</v>
      </c>
      <c r="D216" s="404">
        <v>3146</v>
      </c>
      <c r="E216" s="404">
        <v>3</v>
      </c>
      <c r="F216" s="404">
        <v>0</v>
      </c>
      <c r="G216" s="404">
        <v>80</v>
      </c>
      <c r="H216" s="419">
        <v>351.51</v>
      </c>
      <c r="I216" s="418">
        <v>8.9499587493954653</v>
      </c>
      <c r="J216" s="419">
        <v>401.9</v>
      </c>
    </row>
    <row r="217" spans="1:10" x14ac:dyDescent="0.3">
      <c r="A217" s="404">
        <v>691</v>
      </c>
      <c r="B217" s="404" t="s">
        <v>215</v>
      </c>
      <c r="C217" s="404">
        <v>17</v>
      </c>
      <c r="D217" s="404">
        <v>2710</v>
      </c>
      <c r="E217" s="404">
        <v>4</v>
      </c>
      <c r="F217" s="404">
        <v>0</v>
      </c>
      <c r="G217" s="404">
        <v>8</v>
      </c>
      <c r="H217" s="419">
        <v>474.64</v>
      </c>
      <c r="I217" s="418">
        <v>5.7095904264284512</v>
      </c>
      <c r="J217" s="419">
        <v>503.34</v>
      </c>
    </row>
    <row r="218" spans="1:10" x14ac:dyDescent="0.3">
      <c r="A218" s="404">
        <v>694</v>
      </c>
      <c r="B218" s="404" t="s">
        <v>214</v>
      </c>
      <c r="C218" s="404">
        <v>5</v>
      </c>
      <c r="D218" s="404">
        <v>28710</v>
      </c>
      <c r="E218" s="404">
        <v>118</v>
      </c>
      <c r="F218" s="404">
        <v>2</v>
      </c>
      <c r="G218" s="404">
        <v>1514</v>
      </c>
      <c r="H218" s="419">
        <v>121.01</v>
      </c>
      <c r="I218" s="418">
        <v>237.25311957689445</v>
      </c>
      <c r="J218" s="419">
        <v>125.55</v>
      </c>
    </row>
    <row r="219" spans="1:10" x14ac:dyDescent="0.3">
      <c r="A219" s="404">
        <v>697</v>
      </c>
      <c r="B219" s="404" t="s">
        <v>213</v>
      </c>
      <c r="C219" s="404">
        <v>18</v>
      </c>
      <c r="D219" s="404">
        <v>1235</v>
      </c>
      <c r="E219" s="404">
        <v>0</v>
      </c>
      <c r="F219" s="404">
        <v>0</v>
      </c>
      <c r="G219" s="404">
        <v>17</v>
      </c>
      <c r="H219" s="419">
        <v>835.82</v>
      </c>
      <c r="I219" s="418">
        <v>1.4775908688473594</v>
      </c>
      <c r="J219" s="419">
        <v>897.94</v>
      </c>
    </row>
    <row r="220" spans="1:10" x14ac:dyDescent="0.3">
      <c r="A220" s="404">
        <v>698</v>
      </c>
      <c r="B220" s="404" t="s">
        <v>212</v>
      </c>
      <c r="C220" s="404">
        <v>19</v>
      </c>
      <c r="D220" s="404">
        <v>63528</v>
      </c>
      <c r="E220" s="404">
        <v>129</v>
      </c>
      <c r="F220" s="404">
        <v>179</v>
      </c>
      <c r="G220" s="404">
        <v>2267</v>
      </c>
      <c r="H220" s="419">
        <v>7581.51</v>
      </c>
      <c r="I220" s="418">
        <v>8.3793334045592491</v>
      </c>
      <c r="J220" s="419">
        <v>8016.75</v>
      </c>
    </row>
    <row r="221" spans="1:10" x14ac:dyDescent="0.3">
      <c r="A221" s="404">
        <v>700</v>
      </c>
      <c r="B221" s="404" t="s">
        <v>211</v>
      </c>
      <c r="C221" s="404">
        <v>9</v>
      </c>
      <c r="D221" s="404">
        <v>4922</v>
      </c>
      <c r="E221" s="404">
        <v>12</v>
      </c>
      <c r="F221" s="404">
        <v>0</v>
      </c>
      <c r="G221" s="404">
        <v>155</v>
      </c>
      <c r="H221" s="419">
        <v>942.28</v>
      </c>
      <c r="I221" s="418">
        <v>5.2235004457273844</v>
      </c>
      <c r="J221" s="419">
        <v>1219.8499999999999</v>
      </c>
    </row>
    <row r="222" spans="1:10" x14ac:dyDescent="0.3">
      <c r="A222" s="404">
        <v>702</v>
      </c>
      <c r="B222" s="404" t="s">
        <v>210</v>
      </c>
      <c r="C222" s="404">
        <v>6</v>
      </c>
      <c r="D222" s="404">
        <v>4215</v>
      </c>
      <c r="E222" s="404">
        <v>13</v>
      </c>
      <c r="F222" s="404">
        <v>0</v>
      </c>
      <c r="G222" s="404">
        <v>56</v>
      </c>
      <c r="H222" s="419">
        <v>776.98</v>
      </c>
      <c r="I222" s="418">
        <v>5.4248500604906171</v>
      </c>
      <c r="J222" s="419">
        <v>950.16000000000008</v>
      </c>
    </row>
    <row r="223" spans="1:10" x14ac:dyDescent="0.3">
      <c r="A223" s="404">
        <v>704</v>
      </c>
      <c r="B223" s="404" t="s">
        <v>209</v>
      </c>
      <c r="C223" s="404">
        <v>2</v>
      </c>
      <c r="D223" s="404">
        <v>6354</v>
      </c>
      <c r="E223" s="404">
        <v>106</v>
      </c>
      <c r="F223" s="404">
        <v>1</v>
      </c>
      <c r="G223" s="404">
        <v>157</v>
      </c>
      <c r="H223" s="419">
        <v>127.15</v>
      </c>
      <c r="I223" s="418">
        <v>49.972473456547384</v>
      </c>
      <c r="J223" s="419">
        <v>127.9</v>
      </c>
    </row>
    <row r="224" spans="1:10" x14ac:dyDescent="0.3">
      <c r="A224" s="404">
        <v>707</v>
      </c>
      <c r="B224" s="404" t="s">
        <v>208</v>
      </c>
      <c r="C224" s="404">
        <v>12</v>
      </c>
      <c r="D224" s="404">
        <v>2066</v>
      </c>
      <c r="E224" s="404">
        <v>2</v>
      </c>
      <c r="F224" s="404">
        <v>0</v>
      </c>
      <c r="G224" s="404">
        <v>71</v>
      </c>
      <c r="H224" s="419">
        <v>427.61</v>
      </c>
      <c r="I224" s="418">
        <v>4.8315053436542641</v>
      </c>
      <c r="J224" s="419">
        <v>699.68</v>
      </c>
    </row>
    <row r="225" spans="1:10" x14ac:dyDescent="0.3">
      <c r="A225" s="404">
        <v>710</v>
      </c>
      <c r="B225" s="404" t="s">
        <v>207</v>
      </c>
      <c r="C225" s="404">
        <v>33</v>
      </c>
      <c r="D225" s="404">
        <v>27528</v>
      </c>
      <c r="E225" s="404">
        <v>17689</v>
      </c>
      <c r="F225" s="404">
        <v>1</v>
      </c>
      <c r="G225" s="404">
        <v>1362</v>
      </c>
      <c r="H225" s="419">
        <v>1148.3399999999999</v>
      </c>
      <c r="I225" s="418">
        <v>23.971994357071949</v>
      </c>
      <c r="J225" s="419">
        <v>2354.2199999999998</v>
      </c>
    </row>
    <row r="226" spans="1:10" x14ac:dyDescent="0.3">
      <c r="A226" s="404">
        <v>729</v>
      </c>
      <c r="B226" s="404" t="s">
        <v>206</v>
      </c>
      <c r="C226" s="404">
        <v>13</v>
      </c>
      <c r="D226" s="404">
        <v>9208</v>
      </c>
      <c r="E226" s="404">
        <v>13</v>
      </c>
      <c r="F226" s="404">
        <v>0</v>
      </c>
      <c r="G226" s="404">
        <v>108</v>
      </c>
      <c r="H226" s="419">
        <v>1251.71</v>
      </c>
      <c r="I226" s="418">
        <v>7.3563365316247369</v>
      </c>
      <c r="J226" s="419">
        <v>1422.72</v>
      </c>
    </row>
    <row r="227" spans="1:10" x14ac:dyDescent="0.3">
      <c r="A227" s="404">
        <v>732</v>
      </c>
      <c r="B227" s="404" t="s">
        <v>205</v>
      </c>
      <c r="C227" s="404">
        <v>19</v>
      </c>
      <c r="D227" s="404">
        <v>3407</v>
      </c>
      <c r="E227" s="404">
        <v>11</v>
      </c>
      <c r="F227" s="404">
        <v>3</v>
      </c>
      <c r="G227" s="404">
        <v>67</v>
      </c>
      <c r="H227" s="419">
        <v>5729.65</v>
      </c>
      <c r="I227" s="418">
        <v>0.5946261988079552</v>
      </c>
      <c r="J227" s="419">
        <v>5872.68</v>
      </c>
    </row>
    <row r="228" spans="1:10" x14ac:dyDescent="0.3">
      <c r="A228" s="404">
        <v>734</v>
      </c>
      <c r="B228" s="404" t="s">
        <v>204</v>
      </c>
      <c r="C228" s="404">
        <v>2</v>
      </c>
      <c r="D228" s="404">
        <v>51562</v>
      </c>
      <c r="E228" s="404">
        <v>607</v>
      </c>
      <c r="F228" s="404">
        <v>2</v>
      </c>
      <c r="G228" s="404">
        <v>3332</v>
      </c>
      <c r="H228" s="419">
        <v>1987.21</v>
      </c>
      <c r="I228" s="418">
        <v>25.946930621323361</v>
      </c>
      <c r="J228" s="419">
        <v>2168.2800000000002</v>
      </c>
    </row>
    <row r="229" spans="1:10" x14ac:dyDescent="0.3">
      <c r="A229" s="404">
        <v>738</v>
      </c>
      <c r="B229" s="404" t="s">
        <v>203</v>
      </c>
      <c r="C229" s="404">
        <v>2</v>
      </c>
      <c r="D229" s="404">
        <v>2950</v>
      </c>
      <c r="E229" s="404">
        <v>80</v>
      </c>
      <c r="F229" s="404">
        <v>0</v>
      </c>
      <c r="G229" s="404">
        <v>89</v>
      </c>
      <c r="H229" s="419">
        <v>252.63</v>
      </c>
      <c r="I229" s="418">
        <v>11.677156315560305</v>
      </c>
      <c r="J229" s="419">
        <v>299.48</v>
      </c>
    </row>
    <row r="230" spans="1:10" x14ac:dyDescent="0.3">
      <c r="A230" s="404">
        <v>739</v>
      </c>
      <c r="B230" s="404" t="s">
        <v>202</v>
      </c>
      <c r="C230" s="404">
        <v>9</v>
      </c>
      <c r="D230" s="404">
        <v>3326</v>
      </c>
      <c r="E230" s="404">
        <v>7</v>
      </c>
      <c r="F230" s="404">
        <v>0</v>
      </c>
      <c r="G230" s="404">
        <v>45</v>
      </c>
      <c r="H230" s="419">
        <v>539.12</v>
      </c>
      <c r="I230" s="418">
        <v>6.1693129544442797</v>
      </c>
      <c r="J230" s="419">
        <v>690.56</v>
      </c>
    </row>
    <row r="231" spans="1:10" x14ac:dyDescent="0.3">
      <c r="A231" s="404">
        <v>740</v>
      </c>
      <c r="B231" s="404" t="s">
        <v>201</v>
      </c>
      <c r="C231" s="404">
        <v>10</v>
      </c>
      <c r="D231" s="404">
        <v>32662</v>
      </c>
      <c r="E231" s="404">
        <v>40</v>
      </c>
      <c r="F231" s="404">
        <v>1</v>
      </c>
      <c r="G231" s="404">
        <v>1262</v>
      </c>
      <c r="H231" s="419">
        <v>2238.17</v>
      </c>
      <c r="I231" s="418">
        <v>14.593172100421326</v>
      </c>
      <c r="J231" s="419">
        <v>3597.69</v>
      </c>
    </row>
    <row r="232" spans="1:10" x14ac:dyDescent="0.3">
      <c r="A232" s="404">
        <v>742</v>
      </c>
      <c r="B232" s="404" t="s">
        <v>200</v>
      </c>
      <c r="C232" s="404">
        <v>19</v>
      </c>
      <c r="D232" s="404">
        <v>1009</v>
      </c>
      <c r="E232" s="404">
        <v>2</v>
      </c>
      <c r="F232" s="404">
        <v>4</v>
      </c>
      <c r="G232" s="404">
        <v>5</v>
      </c>
      <c r="H232" s="419">
        <v>6439.65</v>
      </c>
      <c r="I232" s="418">
        <v>0.15668553415170081</v>
      </c>
      <c r="J232" s="419">
        <v>6496.51</v>
      </c>
    </row>
    <row r="233" spans="1:10" x14ac:dyDescent="0.3">
      <c r="A233" s="404">
        <v>743</v>
      </c>
      <c r="B233" s="404" t="s">
        <v>199</v>
      </c>
      <c r="C233" s="404">
        <v>14</v>
      </c>
      <c r="D233" s="404">
        <v>64130</v>
      </c>
      <c r="E233" s="404">
        <v>149</v>
      </c>
      <c r="F233" s="404">
        <v>3</v>
      </c>
      <c r="G233" s="404">
        <v>1834</v>
      </c>
      <c r="H233" s="419">
        <v>1431.78</v>
      </c>
      <c r="I233" s="418">
        <v>44.790400759893281</v>
      </c>
      <c r="J233" s="419">
        <v>1469.21</v>
      </c>
    </row>
    <row r="234" spans="1:10" x14ac:dyDescent="0.3">
      <c r="A234" s="404">
        <v>746</v>
      </c>
      <c r="B234" s="404" t="s">
        <v>198</v>
      </c>
      <c r="C234" s="404">
        <v>17</v>
      </c>
      <c r="D234" s="404">
        <v>4834</v>
      </c>
      <c r="E234" s="404">
        <v>9</v>
      </c>
      <c r="F234" s="404">
        <v>1</v>
      </c>
      <c r="G234" s="404">
        <v>74</v>
      </c>
      <c r="H234" s="419">
        <v>786.95</v>
      </c>
      <c r="I234" s="418">
        <v>6.1427028400787851</v>
      </c>
      <c r="J234" s="419">
        <v>800.4</v>
      </c>
    </row>
    <row r="235" spans="1:10" x14ac:dyDescent="0.3">
      <c r="A235" s="404">
        <v>747</v>
      </c>
      <c r="B235" s="404" t="s">
        <v>197</v>
      </c>
      <c r="C235" s="404">
        <v>4</v>
      </c>
      <c r="D235" s="404">
        <v>1385</v>
      </c>
      <c r="E235" s="404">
        <v>3</v>
      </c>
      <c r="F235" s="404">
        <v>0</v>
      </c>
      <c r="G235" s="404">
        <v>16</v>
      </c>
      <c r="H235" s="419">
        <v>463.3</v>
      </c>
      <c r="I235" s="418">
        <v>2.9894236995467298</v>
      </c>
      <c r="J235" s="419">
        <v>491.31</v>
      </c>
    </row>
    <row r="236" spans="1:10" x14ac:dyDescent="0.3">
      <c r="A236" s="404">
        <v>748</v>
      </c>
      <c r="B236" s="404" t="s">
        <v>196</v>
      </c>
      <c r="C236" s="404">
        <v>17</v>
      </c>
      <c r="D236" s="404">
        <v>5034</v>
      </c>
      <c r="E236" s="404">
        <v>2</v>
      </c>
      <c r="F236" s="404">
        <v>0</v>
      </c>
      <c r="G236" s="404">
        <v>77</v>
      </c>
      <c r="H236" s="419">
        <v>1054.07</v>
      </c>
      <c r="I236" s="418">
        <v>4.7757739049588741</v>
      </c>
      <c r="J236" s="419">
        <v>1653.8900000000003</v>
      </c>
    </row>
    <row r="237" spans="1:10" x14ac:dyDescent="0.3">
      <c r="A237" s="404">
        <v>749</v>
      </c>
      <c r="B237" s="404" t="s">
        <v>195</v>
      </c>
      <c r="C237" s="404">
        <v>11</v>
      </c>
      <c r="D237" s="404">
        <v>21251</v>
      </c>
      <c r="E237" s="404">
        <v>12</v>
      </c>
      <c r="F237" s="404">
        <v>1</v>
      </c>
      <c r="G237" s="404">
        <v>317</v>
      </c>
      <c r="H237" s="419">
        <v>400.97</v>
      </c>
      <c r="I237" s="418">
        <v>52.998977479611938</v>
      </c>
      <c r="J237" s="419">
        <v>507.81000000000006</v>
      </c>
    </row>
    <row r="238" spans="1:10" x14ac:dyDescent="0.3">
      <c r="A238" s="404">
        <v>751</v>
      </c>
      <c r="B238" s="404" t="s">
        <v>194</v>
      </c>
      <c r="C238" s="404">
        <v>19</v>
      </c>
      <c r="D238" s="404">
        <v>2950</v>
      </c>
      <c r="E238" s="404">
        <v>4</v>
      </c>
      <c r="F238" s="404">
        <v>0</v>
      </c>
      <c r="G238" s="404">
        <v>25</v>
      </c>
      <c r="H238" s="419">
        <v>1447.29</v>
      </c>
      <c r="I238" s="418">
        <v>2.0382922565622645</v>
      </c>
      <c r="J238" s="419">
        <v>2086.2800000000002</v>
      </c>
    </row>
    <row r="239" spans="1:10" x14ac:dyDescent="0.3">
      <c r="A239" s="404">
        <v>753</v>
      </c>
      <c r="B239" s="404" t="s">
        <v>193</v>
      </c>
      <c r="C239" s="404">
        <v>34</v>
      </c>
      <c r="D239" s="404">
        <v>21687</v>
      </c>
      <c r="E239" s="404">
        <v>6496</v>
      </c>
      <c r="F239" s="404">
        <v>3</v>
      </c>
      <c r="G239" s="404">
        <v>1243</v>
      </c>
      <c r="H239" s="419">
        <v>339.69</v>
      </c>
      <c r="I239" s="418">
        <v>63.84350437163296</v>
      </c>
      <c r="J239" s="419">
        <v>698.6</v>
      </c>
    </row>
    <row r="240" spans="1:10" x14ac:dyDescent="0.3">
      <c r="A240" s="404">
        <v>755</v>
      </c>
      <c r="B240" s="404" t="s">
        <v>192</v>
      </c>
      <c r="C240" s="404">
        <v>33</v>
      </c>
      <c r="D240" s="404">
        <v>6149</v>
      </c>
      <c r="E240" s="404">
        <v>1696</v>
      </c>
      <c r="F240" s="404">
        <v>0</v>
      </c>
      <c r="G240" s="404">
        <v>391</v>
      </c>
      <c r="H240" s="419">
        <v>241.11</v>
      </c>
      <c r="I240" s="418">
        <v>25.502882501762681</v>
      </c>
      <c r="J240" s="419">
        <v>266.12</v>
      </c>
    </row>
    <row r="241" spans="1:10" x14ac:dyDescent="0.3">
      <c r="A241" s="404">
        <v>758</v>
      </c>
      <c r="B241" s="404" t="s">
        <v>191</v>
      </c>
      <c r="C241" s="404">
        <v>19</v>
      </c>
      <c r="D241" s="404">
        <v>8266</v>
      </c>
      <c r="E241" s="404">
        <v>12</v>
      </c>
      <c r="F241" s="404">
        <v>131</v>
      </c>
      <c r="G241" s="404">
        <v>141</v>
      </c>
      <c r="H241" s="419">
        <v>11692.75</v>
      </c>
      <c r="I241" s="418">
        <v>0.7069337837548908</v>
      </c>
      <c r="J241" s="419">
        <v>12415.41</v>
      </c>
    </row>
    <row r="242" spans="1:10" x14ac:dyDescent="0.3">
      <c r="A242" s="404">
        <v>759</v>
      </c>
      <c r="B242" s="404" t="s">
        <v>190</v>
      </c>
      <c r="C242" s="404">
        <v>14</v>
      </c>
      <c r="D242" s="404">
        <v>2007</v>
      </c>
      <c r="E242" s="404">
        <v>2</v>
      </c>
      <c r="F242" s="404">
        <v>0</v>
      </c>
      <c r="G242" s="404">
        <v>25</v>
      </c>
      <c r="H242" s="419">
        <v>551.95000000000005</v>
      </c>
      <c r="I242" s="418">
        <v>3.6361989310625957</v>
      </c>
      <c r="J242" s="419">
        <v>574.22</v>
      </c>
    </row>
    <row r="243" spans="1:10" x14ac:dyDescent="0.3">
      <c r="A243" s="404">
        <v>761</v>
      </c>
      <c r="B243" s="404" t="s">
        <v>189</v>
      </c>
      <c r="C243" s="404">
        <v>2</v>
      </c>
      <c r="D243" s="404">
        <v>8646</v>
      </c>
      <c r="E243" s="404">
        <v>48</v>
      </c>
      <c r="F243" s="404">
        <v>0</v>
      </c>
      <c r="G243" s="404">
        <v>308</v>
      </c>
      <c r="H243" s="419">
        <v>667.98</v>
      </c>
      <c r="I243" s="418">
        <v>12.943501302434203</v>
      </c>
      <c r="J243" s="419">
        <v>697.68</v>
      </c>
    </row>
    <row r="244" spans="1:10" x14ac:dyDescent="0.3">
      <c r="A244" s="404">
        <v>762</v>
      </c>
      <c r="B244" s="404" t="s">
        <v>188</v>
      </c>
      <c r="C244" s="404">
        <v>11</v>
      </c>
      <c r="D244" s="404">
        <v>3841</v>
      </c>
      <c r="E244" s="404">
        <v>3</v>
      </c>
      <c r="F244" s="404">
        <v>0</v>
      </c>
      <c r="G244" s="404">
        <v>29</v>
      </c>
      <c r="H244" s="419">
        <v>1465.91</v>
      </c>
      <c r="I244" s="418">
        <v>2.6202154293237645</v>
      </c>
      <c r="J244" s="419">
        <v>1576.79</v>
      </c>
    </row>
    <row r="245" spans="1:10" x14ac:dyDescent="0.3">
      <c r="A245" s="404">
        <v>765</v>
      </c>
      <c r="B245" s="404" t="s">
        <v>187</v>
      </c>
      <c r="C245" s="404">
        <v>18</v>
      </c>
      <c r="D245" s="404">
        <v>10301</v>
      </c>
      <c r="E245" s="404">
        <v>16</v>
      </c>
      <c r="F245" s="404">
        <v>0</v>
      </c>
      <c r="G245" s="404">
        <v>329</v>
      </c>
      <c r="H245" s="419">
        <v>2648.74</v>
      </c>
      <c r="I245" s="418">
        <v>3.8890189297552804</v>
      </c>
      <c r="J245" s="419">
        <v>2951.86</v>
      </c>
    </row>
    <row r="246" spans="1:10" x14ac:dyDescent="0.3">
      <c r="A246" s="404">
        <v>768</v>
      </c>
      <c r="B246" s="404" t="s">
        <v>186</v>
      </c>
      <c r="C246" s="404">
        <v>10</v>
      </c>
      <c r="D246" s="404">
        <v>2482</v>
      </c>
      <c r="E246" s="404">
        <v>4</v>
      </c>
      <c r="F246" s="404">
        <v>0</v>
      </c>
      <c r="G246" s="404">
        <v>74</v>
      </c>
      <c r="H246" s="419">
        <v>584.54</v>
      </c>
      <c r="I246" s="418">
        <v>4.2460738358367269</v>
      </c>
      <c r="J246" s="419">
        <v>769.2</v>
      </c>
    </row>
    <row r="247" spans="1:10" x14ac:dyDescent="0.3">
      <c r="A247" s="404">
        <v>777</v>
      </c>
      <c r="B247" s="404" t="s">
        <v>185</v>
      </c>
      <c r="C247" s="404">
        <v>18</v>
      </c>
      <c r="D247" s="404">
        <v>7594</v>
      </c>
      <c r="E247" s="404">
        <v>8</v>
      </c>
      <c r="F247" s="404">
        <v>0</v>
      </c>
      <c r="G247" s="404">
        <v>224</v>
      </c>
      <c r="H247" s="419">
        <v>5270.32</v>
      </c>
      <c r="I247" s="418">
        <v>1.4408992243355243</v>
      </c>
      <c r="J247" s="419">
        <v>5857.59</v>
      </c>
    </row>
    <row r="248" spans="1:10" x14ac:dyDescent="0.3">
      <c r="A248" s="404">
        <v>778</v>
      </c>
      <c r="B248" s="404" t="s">
        <v>184</v>
      </c>
      <c r="C248" s="404">
        <v>11</v>
      </c>
      <c r="D248" s="404">
        <v>6931</v>
      </c>
      <c r="E248" s="404">
        <v>4</v>
      </c>
      <c r="F248" s="404">
        <v>0</v>
      </c>
      <c r="G248" s="404">
        <v>151</v>
      </c>
      <c r="H248" s="419">
        <v>713.56</v>
      </c>
      <c r="I248" s="418">
        <v>9.7132686809798763</v>
      </c>
      <c r="J248" s="419">
        <v>862.34</v>
      </c>
    </row>
    <row r="249" spans="1:10" x14ac:dyDescent="0.3">
      <c r="A249" s="404">
        <v>781</v>
      </c>
      <c r="B249" s="404" t="s">
        <v>183</v>
      </c>
      <c r="C249" s="404">
        <v>7</v>
      </c>
      <c r="D249" s="404">
        <v>3631</v>
      </c>
      <c r="E249" s="404">
        <v>6</v>
      </c>
      <c r="F249" s="404">
        <v>1</v>
      </c>
      <c r="G249" s="404">
        <v>71</v>
      </c>
      <c r="H249" s="419">
        <v>666.3</v>
      </c>
      <c r="I249" s="418">
        <v>5.4494972234729104</v>
      </c>
      <c r="J249" s="419">
        <v>936.18</v>
      </c>
    </row>
    <row r="250" spans="1:10" x14ac:dyDescent="0.3">
      <c r="A250" s="404">
        <v>783</v>
      </c>
      <c r="B250" s="404" t="s">
        <v>182</v>
      </c>
      <c r="C250" s="404">
        <v>4</v>
      </c>
      <c r="D250" s="404">
        <v>6646</v>
      </c>
      <c r="E250" s="404">
        <v>15</v>
      </c>
      <c r="F250" s="404">
        <v>0</v>
      </c>
      <c r="G250" s="404">
        <v>164</v>
      </c>
      <c r="H250" s="419">
        <v>406.89</v>
      </c>
      <c r="I250" s="418">
        <v>16.333652830003196</v>
      </c>
      <c r="J250" s="419">
        <v>527.71</v>
      </c>
    </row>
    <row r="251" spans="1:10" x14ac:dyDescent="0.3">
      <c r="A251" s="404">
        <v>785</v>
      </c>
      <c r="B251" s="404" t="s">
        <v>181</v>
      </c>
      <c r="C251" s="404">
        <v>17</v>
      </c>
      <c r="D251" s="404">
        <v>2737</v>
      </c>
      <c r="E251" s="404">
        <v>1</v>
      </c>
      <c r="F251" s="404">
        <v>0</v>
      </c>
      <c r="G251" s="404">
        <v>25</v>
      </c>
      <c r="H251" s="419">
        <v>1302.3800000000001</v>
      </c>
      <c r="I251" s="418">
        <v>2.1015371857675946</v>
      </c>
      <c r="J251" s="419">
        <v>1764.03</v>
      </c>
    </row>
    <row r="252" spans="1:10" x14ac:dyDescent="0.3">
      <c r="A252" s="404">
        <v>790</v>
      </c>
      <c r="B252" s="404" t="s">
        <v>180</v>
      </c>
      <c r="C252" s="404">
        <v>6</v>
      </c>
      <c r="D252" s="404">
        <v>24052</v>
      </c>
      <c r="E252" s="404">
        <v>38</v>
      </c>
      <c r="F252" s="404">
        <v>0</v>
      </c>
      <c r="G252" s="404">
        <v>647</v>
      </c>
      <c r="H252" s="419">
        <v>1429.16</v>
      </c>
      <c r="I252" s="418">
        <v>16.829466259900919</v>
      </c>
      <c r="J252" s="419">
        <v>1531.75</v>
      </c>
    </row>
    <row r="253" spans="1:10" x14ac:dyDescent="0.3">
      <c r="A253" s="404">
        <v>791</v>
      </c>
      <c r="B253" s="404" t="s">
        <v>179</v>
      </c>
      <c r="C253" s="404">
        <v>17</v>
      </c>
      <c r="D253" s="404">
        <v>5203</v>
      </c>
      <c r="E253" s="404">
        <v>4</v>
      </c>
      <c r="F253" s="404">
        <v>0</v>
      </c>
      <c r="G253" s="404">
        <v>40</v>
      </c>
      <c r="H253" s="419">
        <v>2173.37</v>
      </c>
      <c r="I253" s="418">
        <v>2.3939780157083241</v>
      </c>
      <c r="J253" s="419">
        <v>2229.1799999999998</v>
      </c>
    </row>
    <row r="254" spans="1:10" x14ac:dyDescent="0.3">
      <c r="A254" s="404">
        <v>831</v>
      </c>
      <c r="B254" s="404" t="s">
        <v>178</v>
      </c>
      <c r="C254" s="404">
        <v>9</v>
      </c>
      <c r="D254" s="404">
        <v>4628</v>
      </c>
      <c r="E254" s="404">
        <v>9</v>
      </c>
      <c r="F254" s="404">
        <v>0</v>
      </c>
      <c r="G254" s="404">
        <v>227</v>
      </c>
      <c r="H254" s="419">
        <v>344.69</v>
      </c>
      <c r="I254" s="418">
        <v>13.426557196321331</v>
      </c>
      <c r="J254" s="419">
        <v>761.95</v>
      </c>
    </row>
    <row r="255" spans="1:10" x14ac:dyDescent="0.3">
      <c r="A255" s="404">
        <v>832</v>
      </c>
      <c r="B255" s="404" t="s">
        <v>177</v>
      </c>
      <c r="C255" s="404">
        <v>17</v>
      </c>
      <c r="D255" s="404">
        <v>3916</v>
      </c>
      <c r="E255" s="404">
        <v>3</v>
      </c>
      <c r="F255" s="404">
        <v>0</v>
      </c>
      <c r="G255" s="404">
        <v>71</v>
      </c>
      <c r="H255" s="419">
        <v>2437.79</v>
      </c>
      <c r="I255" s="418">
        <v>1.6063729853678947</v>
      </c>
      <c r="J255" s="419">
        <v>2650.61</v>
      </c>
    </row>
    <row r="256" spans="1:10" x14ac:dyDescent="0.3">
      <c r="A256" s="404">
        <v>833</v>
      </c>
      <c r="B256" s="404" t="s">
        <v>176</v>
      </c>
      <c r="C256" s="404">
        <v>2</v>
      </c>
      <c r="D256" s="404">
        <v>1659</v>
      </c>
      <c r="E256" s="404">
        <v>12</v>
      </c>
      <c r="F256" s="404">
        <v>0</v>
      </c>
      <c r="G256" s="404">
        <v>83</v>
      </c>
      <c r="H256" s="419">
        <v>140.33000000000001</v>
      </c>
      <c r="I256" s="418">
        <v>11.822133542364426</v>
      </c>
      <c r="J256" s="419">
        <v>217.68</v>
      </c>
    </row>
    <row r="257" spans="1:10" x14ac:dyDescent="0.3">
      <c r="A257" s="404">
        <v>834</v>
      </c>
      <c r="B257" s="404" t="s">
        <v>175</v>
      </c>
      <c r="C257" s="404">
        <v>5</v>
      </c>
      <c r="D257" s="404">
        <v>6016</v>
      </c>
      <c r="E257" s="404">
        <v>21</v>
      </c>
      <c r="F257" s="404">
        <v>0</v>
      </c>
      <c r="G257" s="404">
        <v>106</v>
      </c>
      <c r="H257" s="419">
        <v>640.58000000000004</v>
      </c>
      <c r="I257" s="418">
        <v>9.3914889631271645</v>
      </c>
      <c r="J257" s="419">
        <v>715.15</v>
      </c>
    </row>
    <row r="258" spans="1:10" x14ac:dyDescent="0.3">
      <c r="A258" s="404">
        <v>837</v>
      </c>
      <c r="B258" s="404" t="s">
        <v>174</v>
      </c>
      <c r="C258" s="404">
        <v>6</v>
      </c>
      <c r="D258" s="404">
        <v>241009</v>
      </c>
      <c r="E258" s="404">
        <v>1276</v>
      </c>
      <c r="F258" s="404">
        <v>16</v>
      </c>
      <c r="G258" s="404">
        <v>19576</v>
      </c>
      <c r="H258" s="419">
        <v>524.94000000000005</v>
      </c>
      <c r="I258" s="418">
        <v>459.11723244561279</v>
      </c>
      <c r="J258" s="419">
        <v>689.59</v>
      </c>
    </row>
    <row r="259" spans="1:10" x14ac:dyDescent="0.3">
      <c r="A259" s="404">
        <v>844</v>
      </c>
      <c r="B259" s="404" t="s">
        <v>173</v>
      </c>
      <c r="C259" s="404">
        <v>11</v>
      </c>
      <c r="D259" s="404">
        <v>1503</v>
      </c>
      <c r="E259" s="404">
        <v>2</v>
      </c>
      <c r="F259" s="404">
        <v>0</v>
      </c>
      <c r="G259" s="404">
        <v>24</v>
      </c>
      <c r="H259" s="419">
        <v>347.75</v>
      </c>
      <c r="I259" s="418">
        <v>4.3220704529115741</v>
      </c>
      <c r="J259" s="419">
        <v>494.3</v>
      </c>
    </row>
    <row r="260" spans="1:10" x14ac:dyDescent="0.3">
      <c r="A260" s="404">
        <v>845</v>
      </c>
      <c r="B260" s="404" t="s">
        <v>172</v>
      </c>
      <c r="C260" s="404">
        <v>19</v>
      </c>
      <c r="D260" s="404">
        <v>2925</v>
      </c>
      <c r="E260" s="404">
        <v>3</v>
      </c>
      <c r="F260" s="404">
        <v>2</v>
      </c>
      <c r="G260" s="404">
        <v>44</v>
      </c>
      <c r="H260" s="419">
        <v>1559.86</v>
      </c>
      <c r="I260" s="418">
        <v>1.8751682843332096</v>
      </c>
      <c r="J260" s="419">
        <v>1592.02</v>
      </c>
    </row>
    <row r="261" spans="1:10" x14ac:dyDescent="0.3">
      <c r="A261" s="404">
        <v>846</v>
      </c>
      <c r="B261" s="404" t="s">
        <v>171</v>
      </c>
      <c r="C261" s="404">
        <v>14</v>
      </c>
      <c r="D261" s="404">
        <v>4994</v>
      </c>
      <c r="E261" s="404">
        <v>37</v>
      </c>
      <c r="F261" s="404">
        <v>0</v>
      </c>
      <c r="G261" s="404">
        <v>69</v>
      </c>
      <c r="H261" s="419">
        <v>554.66999999999996</v>
      </c>
      <c r="I261" s="418">
        <v>9.0035516613481903</v>
      </c>
      <c r="J261" s="419">
        <v>555.95000000000005</v>
      </c>
    </row>
    <row r="262" spans="1:10" x14ac:dyDescent="0.3">
      <c r="A262" s="404">
        <v>848</v>
      </c>
      <c r="B262" s="404" t="s">
        <v>170</v>
      </c>
      <c r="C262" s="404">
        <v>12</v>
      </c>
      <c r="D262" s="404">
        <v>4307</v>
      </c>
      <c r="E262" s="404">
        <v>5</v>
      </c>
      <c r="F262" s="404">
        <v>1</v>
      </c>
      <c r="G262" s="404">
        <v>216</v>
      </c>
      <c r="H262" s="419">
        <v>837.75</v>
      </c>
      <c r="I262" s="418">
        <v>5.141151894956729</v>
      </c>
      <c r="J262" s="419">
        <v>895.36</v>
      </c>
    </row>
    <row r="263" spans="1:10" x14ac:dyDescent="0.3">
      <c r="A263" s="404">
        <v>849</v>
      </c>
      <c r="B263" s="404" t="s">
        <v>169</v>
      </c>
      <c r="C263" s="404">
        <v>16</v>
      </c>
      <c r="D263" s="404">
        <v>2966</v>
      </c>
      <c r="E263" s="404">
        <v>5</v>
      </c>
      <c r="F263" s="404">
        <v>0</v>
      </c>
      <c r="G263" s="404">
        <v>47</v>
      </c>
      <c r="H263" s="419">
        <v>608.99</v>
      </c>
      <c r="I263" s="418">
        <v>4.8703591191973592</v>
      </c>
      <c r="J263" s="419">
        <v>616.89</v>
      </c>
    </row>
    <row r="264" spans="1:10" x14ac:dyDescent="0.3">
      <c r="A264" s="404">
        <v>850</v>
      </c>
      <c r="B264" s="404" t="s">
        <v>168</v>
      </c>
      <c r="C264" s="404">
        <v>13</v>
      </c>
      <c r="D264" s="404">
        <v>2401</v>
      </c>
      <c r="E264" s="404">
        <v>1</v>
      </c>
      <c r="F264" s="404">
        <v>0</v>
      </c>
      <c r="G264" s="404">
        <v>24</v>
      </c>
      <c r="H264" s="419">
        <v>361.45</v>
      </c>
      <c r="I264" s="418">
        <v>6.642689168626366</v>
      </c>
      <c r="J264" s="419">
        <v>413.94</v>
      </c>
    </row>
    <row r="265" spans="1:10" x14ac:dyDescent="0.3">
      <c r="A265" s="404">
        <v>851</v>
      </c>
      <c r="B265" s="404" t="s">
        <v>167</v>
      </c>
      <c r="C265" s="404">
        <v>19</v>
      </c>
      <c r="D265" s="404">
        <v>21467</v>
      </c>
      <c r="E265" s="404">
        <v>113</v>
      </c>
      <c r="F265" s="404">
        <v>13</v>
      </c>
      <c r="G265" s="404">
        <v>550</v>
      </c>
      <c r="H265" s="419">
        <v>1188.78</v>
      </c>
      <c r="I265" s="418">
        <v>18.058009051296288</v>
      </c>
      <c r="J265" s="419">
        <v>1348.83</v>
      </c>
    </row>
    <row r="266" spans="1:10" x14ac:dyDescent="0.3">
      <c r="A266" s="404">
        <v>853</v>
      </c>
      <c r="B266" s="404" t="s">
        <v>166</v>
      </c>
      <c r="C266" s="404">
        <v>2</v>
      </c>
      <c r="D266" s="404">
        <v>194391</v>
      </c>
      <c r="E266" s="404">
        <v>10657</v>
      </c>
      <c r="F266" s="404">
        <v>12</v>
      </c>
      <c r="G266" s="404">
        <v>23910</v>
      </c>
      <c r="H266" s="419">
        <v>245.66</v>
      </c>
      <c r="I266" s="418">
        <v>791.30098510135963</v>
      </c>
      <c r="J266" s="419">
        <v>306.35000000000002</v>
      </c>
    </row>
    <row r="267" spans="1:10" x14ac:dyDescent="0.3">
      <c r="A267" s="404">
        <v>854</v>
      </c>
      <c r="B267" s="404" t="s">
        <v>165</v>
      </c>
      <c r="C267" s="404">
        <v>19</v>
      </c>
      <c r="D267" s="404">
        <v>3304</v>
      </c>
      <c r="E267" s="404">
        <v>20</v>
      </c>
      <c r="F267" s="404">
        <v>1</v>
      </c>
      <c r="G267" s="404">
        <v>34</v>
      </c>
      <c r="H267" s="419">
        <v>1737.71</v>
      </c>
      <c r="I267" s="418">
        <v>1.901352930005582</v>
      </c>
      <c r="J267" s="419">
        <v>1864.66</v>
      </c>
    </row>
    <row r="268" spans="1:10" x14ac:dyDescent="0.3">
      <c r="A268" s="404">
        <v>857</v>
      </c>
      <c r="B268" s="404" t="s">
        <v>164</v>
      </c>
      <c r="C268" s="404">
        <v>11</v>
      </c>
      <c r="D268" s="404">
        <v>2433</v>
      </c>
      <c r="E268" s="404">
        <v>2</v>
      </c>
      <c r="F268" s="404">
        <v>1</v>
      </c>
      <c r="G268" s="404">
        <v>47</v>
      </c>
      <c r="H268" s="419">
        <v>543.17999999999995</v>
      </c>
      <c r="I268" s="418">
        <v>4.4791781729813325</v>
      </c>
      <c r="J268" s="419">
        <v>699.42</v>
      </c>
    </row>
    <row r="269" spans="1:10" x14ac:dyDescent="0.3">
      <c r="A269" s="404">
        <v>858</v>
      </c>
      <c r="B269" s="404" t="s">
        <v>163</v>
      </c>
      <c r="C269" s="404">
        <v>35</v>
      </c>
      <c r="D269" s="404">
        <v>38783</v>
      </c>
      <c r="E269" s="404">
        <v>578</v>
      </c>
      <c r="F269" s="404">
        <v>2</v>
      </c>
      <c r="G269" s="404">
        <v>2454</v>
      </c>
      <c r="H269" s="419">
        <v>219.54</v>
      </c>
      <c r="I269" s="418">
        <v>176.65573471804683</v>
      </c>
      <c r="J269" s="419">
        <v>225.46</v>
      </c>
    </row>
    <row r="270" spans="1:10" x14ac:dyDescent="0.3">
      <c r="A270" s="404">
        <v>859</v>
      </c>
      <c r="B270" s="404" t="s">
        <v>162</v>
      </c>
      <c r="C270" s="404">
        <v>17</v>
      </c>
      <c r="D270" s="404">
        <v>6603</v>
      </c>
      <c r="E270" s="404">
        <v>15</v>
      </c>
      <c r="F270" s="404">
        <v>1</v>
      </c>
      <c r="G270" s="404">
        <v>44</v>
      </c>
      <c r="H270" s="419">
        <v>491.81</v>
      </c>
      <c r="I270" s="418">
        <v>13.425916512474329</v>
      </c>
      <c r="J270" s="419">
        <v>494.86</v>
      </c>
    </row>
    <row r="271" spans="1:10" x14ac:dyDescent="0.3">
      <c r="A271" s="404">
        <v>886</v>
      </c>
      <c r="B271" s="404" t="s">
        <v>161</v>
      </c>
      <c r="C271" s="404">
        <v>4</v>
      </c>
      <c r="D271" s="404">
        <v>12735</v>
      </c>
      <c r="E271" s="404">
        <v>33</v>
      </c>
      <c r="F271" s="404">
        <v>1</v>
      </c>
      <c r="G271" s="404">
        <v>230</v>
      </c>
      <c r="H271" s="419">
        <v>400.63</v>
      </c>
      <c r="I271" s="418">
        <v>31.787434790205428</v>
      </c>
      <c r="J271" s="419">
        <v>422.51</v>
      </c>
    </row>
    <row r="272" spans="1:10" x14ac:dyDescent="0.3">
      <c r="A272" s="404">
        <v>887</v>
      </c>
      <c r="B272" s="404" t="s">
        <v>160</v>
      </c>
      <c r="C272" s="404">
        <v>6</v>
      </c>
      <c r="D272" s="404">
        <v>4644</v>
      </c>
      <c r="E272" s="404">
        <v>12</v>
      </c>
      <c r="F272" s="404">
        <v>0</v>
      </c>
      <c r="G272" s="404">
        <v>122</v>
      </c>
      <c r="H272" s="419">
        <v>475.41</v>
      </c>
      <c r="I272" s="418">
        <v>9.7684104246860599</v>
      </c>
      <c r="J272" s="419">
        <v>505.38</v>
      </c>
    </row>
    <row r="273" spans="1:10" x14ac:dyDescent="0.3">
      <c r="A273" s="404">
        <v>889</v>
      </c>
      <c r="B273" s="404" t="s">
        <v>159</v>
      </c>
      <c r="C273" s="404">
        <v>17</v>
      </c>
      <c r="D273" s="404">
        <v>2619</v>
      </c>
      <c r="E273" s="404">
        <v>0</v>
      </c>
      <c r="F273" s="404">
        <v>0</v>
      </c>
      <c r="G273" s="404">
        <v>48</v>
      </c>
      <c r="H273" s="419">
        <v>1671.72</v>
      </c>
      <c r="I273" s="418">
        <v>1.5666499174502906</v>
      </c>
      <c r="J273" s="419">
        <v>1736.72</v>
      </c>
    </row>
    <row r="274" spans="1:10" x14ac:dyDescent="0.3">
      <c r="A274" s="404">
        <v>890</v>
      </c>
      <c r="B274" s="404" t="s">
        <v>158</v>
      </c>
      <c r="C274" s="404">
        <v>19</v>
      </c>
      <c r="D274" s="404">
        <v>1219</v>
      </c>
      <c r="E274" s="404">
        <v>2</v>
      </c>
      <c r="F274" s="404">
        <v>511</v>
      </c>
      <c r="G274" s="404">
        <v>54</v>
      </c>
      <c r="H274" s="419">
        <v>5145.9799999999996</v>
      </c>
      <c r="I274" s="418">
        <v>0.23688393658739446</v>
      </c>
      <c r="J274" s="419">
        <v>5372</v>
      </c>
    </row>
    <row r="275" spans="1:10" x14ac:dyDescent="0.3">
      <c r="A275" s="404">
        <v>892</v>
      </c>
      <c r="B275" s="404" t="s">
        <v>157</v>
      </c>
      <c r="C275" s="404">
        <v>13</v>
      </c>
      <c r="D275" s="404">
        <v>3646</v>
      </c>
      <c r="E275" s="404">
        <v>5</v>
      </c>
      <c r="F275" s="404">
        <v>0</v>
      </c>
      <c r="G275" s="404">
        <v>41</v>
      </c>
      <c r="H275" s="419">
        <v>347.98</v>
      </c>
      <c r="I275" s="418">
        <v>10.477613655957239</v>
      </c>
      <c r="J275" s="419">
        <v>372.26</v>
      </c>
    </row>
    <row r="276" spans="1:10" x14ac:dyDescent="0.3">
      <c r="A276" s="404">
        <v>893</v>
      </c>
      <c r="B276" s="404" t="s">
        <v>156</v>
      </c>
      <c r="C276" s="404">
        <v>15</v>
      </c>
      <c r="D276" s="404">
        <v>7479</v>
      </c>
      <c r="E276" s="404">
        <v>6399</v>
      </c>
      <c r="F276" s="404">
        <v>0</v>
      </c>
      <c r="G276" s="404">
        <v>587</v>
      </c>
      <c r="H276" s="419">
        <v>732.7</v>
      </c>
      <c r="I276" s="418">
        <v>10.207451890268867</v>
      </c>
      <c r="J276" s="419">
        <v>1675.15</v>
      </c>
    </row>
    <row r="277" spans="1:10" x14ac:dyDescent="0.3">
      <c r="A277" s="404">
        <v>895</v>
      </c>
      <c r="B277" s="404" t="s">
        <v>155</v>
      </c>
      <c r="C277" s="404">
        <v>2</v>
      </c>
      <c r="D277" s="404">
        <v>15378</v>
      </c>
      <c r="E277" s="404">
        <v>60</v>
      </c>
      <c r="F277" s="404">
        <v>1</v>
      </c>
      <c r="G277" s="404">
        <v>1012</v>
      </c>
      <c r="H277" s="419">
        <v>502.93</v>
      </c>
      <c r="I277" s="418">
        <v>30.576819835762432</v>
      </c>
      <c r="J277" s="419">
        <v>1932.4299999999998</v>
      </c>
    </row>
    <row r="278" spans="1:10" x14ac:dyDescent="0.3">
      <c r="A278" s="404">
        <v>905</v>
      </c>
      <c r="B278" s="404" t="s">
        <v>154</v>
      </c>
      <c r="C278" s="404">
        <v>15</v>
      </c>
      <c r="D278" s="404">
        <v>67551</v>
      </c>
      <c r="E278" s="404">
        <v>15799</v>
      </c>
      <c r="F278" s="404">
        <v>5</v>
      </c>
      <c r="G278" s="404">
        <v>6261</v>
      </c>
      <c r="H278" s="419">
        <v>364.72</v>
      </c>
      <c r="I278" s="418">
        <v>185.2133143233165</v>
      </c>
      <c r="J278" s="419">
        <v>575.13</v>
      </c>
    </row>
    <row r="279" spans="1:10" x14ac:dyDescent="0.3">
      <c r="A279" s="404">
        <v>908</v>
      </c>
      <c r="B279" s="404" t="s">
        <v>153</v>
      </c>
      <c r="C279" s="404">
        <v>6</v>
      </c>
      <c r="D279" s="404">
        <v>20765</v>
      </c>
      <c r="E279" s="404">
        <v>40</v>
      </c>
      <c r="F279" s="404">
        <v>2</v>
      </c>
      <c r="G279" s="404">
        <v>702</v>
      </c>
      <c r="H279" s="419">
        <v>272.05</v>
      </c>
      <c r="I279" s="418">
        <v>76.327880904245546</v>
      </c>
      <c r="J279" s="419">
        <v>372.03</v>
      </c>
    </row>
    <row r="280" spans="1:10" x14ac:dyDescent="0.3">
      <c r="A280" s="404">
        <v>915</v>
      </c>
      <c r="B280" s="404" t="s">
        <v>152</v>
      </c>
      <c r="C280" s="404">
        <v>11</v>
      </c>
      <c r="D280" s="404">
        <v>20278</v>
      </c>
      <c r="E280" s="404">
        <v>42</v>
      </c>
      <c r="F280" s="404">
        <v>0</v>
      </c>
      <c r="G280" s="404">
        <v>658</v>
      </c>
      <c r="H280" s="419">
        <v>385.61</v>
      </c>
      <c r="I280" s="418">
        <v>52.58681050802624</v>
      </c>
      <c r="J280" s="419">
        <v>524.47</v>
      </c>
    </row>
    <row r="281" spans="1:10" x14ac:dyDescent="0.3">
      <c r="A281" s="404">
        <v>918</v>
      </c>
      <c r="B281" s="404" t="s">
        <v>151</v>
      </c>
      <c r="C281" s="404">
        <v>2</v>
      </c>
      <c r="D281" s="404">
        <v>2292</v>
      </c>
      <c r="E281" s="404">
        <v>16</v>
      </c>
      <c r="F281" s="404">
        <v>0</v>
      </c>
      <c r="G281" s="404">
        <v>67</v>
      </c>
      <c r="H281" s="419">
        <v>188.88</v>
      </c>
      <c r="I281" s="418">
        <v>12.13468869123253</v>
      </c>
      <c r="J281" s="419">
        <v>202.08</v>
      </c>
    </row>
    <row r="282" spans="1:10" x14ac:dyDescent="0.3">
      <c r="A282" s="404">
        <v>921</v>
      </c>
      <c r="B282" s="404" t="s">
        <v>150</v>
      </c>
      <c r="C282" s="404">
        <v>11</v>
      </c>
      <c r="D282" s="404">
        <v>1972</v>
      </c>
      <c r="E282" s="404">
        <v>4</v>
      </c>
      <c r="F282" s="404">
        <v>0</v>
      </c>
      <c r="G282" s="404">
        <v>31</v>
      </c>
      <c r="H282" s="419">
        <v>422.63</v>
      </c>
      <c r="I282" s="418">
        <v>4.6660199228639705</v>
      </c>
      <c r="J282" s="419">
        <v>569.79999999999995</v>
      </c>
    </row>
    <row r="283" spans="1:10" x14ac:dyDescent="0.3">
      <c r="A283" s="404">
        <v>922</v>
      </c>
      <c r="B283" s="404" t="s">
        <v>149</v>
      </c>
      <c r="C283" s="404">
        <v>6</v>
      </c>
      <c r="D283" s="404">
        <v>4367</v>
      </c>
      <c r="E283" s="404">
        <v>13</v>
      </c>
      <c r="F283" s="404">
        <v>0</v>
      </c>
      <c r="G283" s="404">
        <v>77</v>
      </c>
      <c r="H283" s="419">
        <v>301.04000000000002</v>
      </c>
      <c r="I283" s="418">
        <v>14.506377889981398</v>
      </c>
      <c r="J283" s="419">
        <v>353.94</v>
      </c>
    </row>
    <row r="284" spans="1:10" x14ac:dyDescent="0.3">
      <c r="A284" s="404">
        <v>924</v>
      </c>
      <c r="B284" s="404" t="s">
        <v>148</v>
      </c>
      <c r="C284" s="404">
        <v>16</v>
      </c>
      <c r="D284" s="404">
        <v>3065</v>
      </c>
      <c r="E284" s="404">
        <v>46</v>
      </c>
      <c r="F284" s="404">
        <v>0</v>
      </c>
      <c r="G284" s="404">
        <v>69</v>
      </c>
      <c r="H284" s="419">
        <v>502.13</v>
      </c>
      <c r="I284" s="418">
        <v>6.1039969728954651</v>
      </c>
      <c r="J284" s="419">
        <v>520.91</v>
      </c>
    </row>
    <row r="285" spans="1:10" x14ac:dyDescent="0.3">
      <c r="A285" s="404">
        <v>925</v>
      </c>
      <c r="B285" s="404" t="s">
        <v>147</v>
      </c>
      <c r="C285" s="404">
        <v>11</v>
      </c>
      <c r="D285" s="404">
        <v>3522</v>
      </c>
      <c r="E285" s="404">
        <v>5</v>
      </c>
      <c r="F285" s="404">
        <v>0</v>
      </c>
      <c r="G285" s="404">
        <v>109</v>
      </c>
      <c r="H285" s="419">
        <v>925.24</v>
      </c>
      <c r="I285" s="418">
        <v>3.8065799144005878</v>
      </c>
      <c r="J285" s="419">
        <v>973.35</v>
      </c>
    </row>
    <row r="286" spans="1:10" x14ac:dyDescent="0.3">
      <c r="A286" s="404">
        <v>927</v>
      </c>
      <c r="B286" s="404" t="s">
        <v>146</v>
      </c>
      <c r="C286" s="404">
        <v>33</v>
      </c>
      <c r="D286" s="404">
        <v>29160</v>
      </c>
      <c r="E286" s="404">
        <v>496</v>
      </c>
      <c r="F286" s="404">
        <v>1</v>
      </c>
      <c r="G286" s="404">
        <v>1763</v>
      </c>
      <c r="H286" s="419">
        <v>522.02</v>
      </c>
      <c r="I286" s="418">
        <v>55.85992873836252</v>
      </c>
      <c r="J286" s="419">
        <v>567.05999999999995</v>
      </c>
    </row>
    <row r="287" spans="1:10" x14ac:dyDescent="0.3">
      <c r="A287" s="404">
        <v>931</v>
      </c>
      <c r="B287" s="404" t="s">
        <v>145</v>
      </c>
      <c r="C287" s="404">
        <v>13</v>
      </c>
      <c r="D287" s="404">
        <v>6097</v>
      </c>
      <c r="E287" s="404">
        <v>11</v>
      </c>
      <c r="F287" s="404">
        <v>0</v>
      </c>
      <c r="G287" s="404">
        <v>96</v>
      </c>
      <c r="H287" s="419">
        <v>1248.54</v>
      </c>
      <c r="I287" s="418">
        <v>4.8833036987201055</v>
      </c>
      <c r="J287" s="419">
        <v>1589.12</v>
      </c>
    </row>
    <row r="288" spans="1:10" x14ac:dyDescent="0.3">
      <c r="A288" s="404">
        <v>934</v>
      </c>
      <c r="B288" s="404" t="s">
        <v>144</v>
      </c>
      <c r="C288" s="404">
        <v>14</v>
      </c>
      <c r="D288" s="404">
        <v>2784</v>
      </c>
      <c r="E288" s="404">
        <v>4</v>
      </c>
      <c r="F288" s="404">
        <v>0</v>
      </c>
      <c r="G288" s="404">
        <v>35</v>
      </c>
      <c r="H288" s="419">
        <v>287.32</v>
      </c>
      <c r="I288" s="418">
        <v>9.689544758457469</v>
      </c>
      <c r="J288" s="419">
        <v>328.79000000000008</v>
      </c>
    </row>
    <row r="289" spans="1:10" x14ac:dyDescent="0.3">
      <c r="A289" s="404">
        <v>935</v>
      </c>
      <c r="B289" s="404" t="s">
        <v>143</v>
      </c>
      <c r="C289" s="404">
        <v>8</v>
      </c>
      <c r="D289" s="404">
        <v>3087</v>
      </c>
      <c r="E289" s="404">
        <v>17</v>
      </c>
      <c r="F289" s="404">
        <v>0</v>
      </c>
      <c r="G289" s="404">
        <v>185</v>
      </c>
      <c r="H289" s="419">
        <v>371.99</v>
      </c>
      <c r="I289" s="418">
        <v>8.2986101776929484</v>
      </c>
      <c r="J289" s="419">
        <v>558.98</v>
      </c>
    </row>
    <row r="290" spans="1:10" x14ac:dyDescent="0.3">
      <c r="A290" s="404">
        <v>936</v>
      </c>
      <c r="B290" s="404" t="s">
        <v>142</v>
      </c>
      <c r="C290" s="404">
        <v>6</v>
      </c>
      <c r="D290" s="404">
        <v>6510</v>
      </c>
      <c r="E290" s="404">
        <v>7</v>
      </c>
      <c r="F290" s="404">
        <v>0</v>
      </c>
      <c r="G290" s="404">
        <v>136</v>
      </c>
      <c r="H290" s="419">
        <v>1162.68</v>
      </c>
      <c r="I290" s="418">
        <v>5.5991330374651662</v>
      </c>
      <c r="J290" s="419">
        <v>1299.08</v>
      </c>
    </row>
    <row r="291" spans="1:10" x14ac:dyDescent="0.3">
      <c r="A291" s="404">
        <v>946</v>
      </c>
      <c r="B291" s="404" t="s">
        <v>141</v>
      </c>
      <c r="C291" s="404">
        <v>15</v>
      </c>
      <c r="D291" s="404">
        <v>6388</v>
      </c>
      <c r="E291" s="404">
        <v>5205</v>
      </c>
      <c r="F291" s="404">
        <v>0</v>
      </c>
      <c r="G291" s="404">
        <v>374</v>
      </c>
      <c r="H291" s="419">
        <v>782.14</v>
      </c>
      <c r="I291" s="418">
        <v>8.1673357710895758</v>
      </c>
      <c r="J291" s="419">
        <v>1499.98</v>
      </c>
    </row>
    <row r="292" spans="1:10" x14ac:dyDescent="0.3">
      <c r="A292" s="404">
        <v>976</v>
      </c>
      <c r="B292" s="404" t="s">
        <v>140</v>
      </c>
      <c r="C292" s="404">
        <v>19</v>
      </c>
      <c r="D292" s="404">
        <v>3890</v>
      </c>
      <c r="E292" s="404">
        <v>27</v>
      </c>
      <c r="F292" s="404">
        <v>4</v>
      </c>
      <c r="G292" s="404">
        <v>99</v>
      </c>
      <c r="H292" s="419">
        <v>2028.04</v>
      </c>
      <c r="I292" s="418">
        <v>1.9181081241001163</v>
      </c>
      <c r="J292" s="419">
        <v>2212.4699999999998</v>
      </c>
    </row>
    <row r="293" spans="1:10" x14ac:dyDescent="0.3">
      <c r="A293" s="404">
        <v>977</v>
      </c>
      <c r="B293" s="404" t="s">
        <v>139</v>
      </c>
      <c r="C293" s="404">
        <v>17</v>
      </c>
      <c r="D293" s="404">
        <v>15304</v>
      </c>
      <c r="E293" s="404">
        <v>42</v>
      </c>
      <c r="F293" s="404">
        <v>1</v>
      </c>
      <c r="G293" s="404">
        <v>222</v>
      </c>
      <c r="H293" s="419">
        <v>569.73</v>
      </c>
      <c r="I293" s="418">
        <v>26.861846839731101</v>
      </c>
      <c r="J293" s="419">
        <v>573.41999999999996</v>
      </c>
    </row>
    <row r="294" spans="1:10" x14ac:dyDescent="0.3">
      <c r="A294" s="404">
        <v>980</v>
      </c>
      <c r="B294" s="404" t="s">
        <v>138</v>
      </c>
      <c r="C294" s="404">
        <v>6</v>
      </c>
      <c r="D294" s="404">
        <v>33352</v>
      </c>
      <c r="E294" s="404">
        <v>116</v>
      </c>
      <c r="F294" s="404">
        <v>0</v>
      </c>
      <c r="G294" s="404">
        <v>876</v>
      </c>
      <c r="H294" s="419">
        <v>1115.75</v>
      </c>
      <c r="I294" s="418">
        <v>29.892000896258121</v>
      </c>
      <c r="J294" s="419">
        <v>1324.14</v>
      </c>
    </row>
    <row r="295" spans="1:10" x14ac:dyDescent="0.3">
      <c r="A295" s="404">
        <v>981</v>
      </c>
      <c r="B295" s="404" t="s">
        <v>137</v>
      </c>
      <c r="C295" s="404">
        <v>5</v>
      </c>
      <c r="D295" s="404">
        <v>2314</v>
      </c>
      <c r="E295" s="404">
        <v>14</v>
      </c>
      <c r="F295" s="404">
        <v>0</v>
      </c>
      <c r="G295" s="404">
        <v>38</v>
      </c>
      <c r="H295" s="419">
        <v>182.76</v>
      </c>
      <c r="I295" s="418">
        <v>12.66141387612169</v>
      </c>
      <c r="J295" s="419">
        <v>183.25</v>
      </c>
    </row>
    <row r="296" spans="1:10" x14ac:dyDescent="0.3">
      <c r="A296" s="404">
        <v>989</v>
      </c>
      <c r="B296" s="404" t="s">
        <v>136</v>
      </c>
      <c r="C296" s="404">
        <v>14</v>
      </c>
      <c r="D296" s="404">
        <v>5522</v>
      </c>
      <c r="E296" s="404">
        <v>5</v>
      </c>
      <c r="F296" s="404">
        <v>0</v>
      </c>
      <c r="G296" s="404">
        <v>59</v>
      </c>
      <c r="H296" s="419">
        <v>805.82</v>
      </c>
      <c r="I296" s="418">
        <v>6.8526469931250151</v>
      </c>
      <c r="J296" s="419">
        <v>910.88</v>
      </c>
    </row>
    <row r="297" spans="1:10" x14ac:dyDescent="0.3">
      <c r="A297" s="404">
        <v>992</v>
      </c>
      <c r="B297" s="404" t="s">
        <v>135</v>
      </c>
      <c r="C297" s="404">
        <v>13</v>
      </c>
      <c r="D297" s="404">
        <v>18577</v>
      </c>
      <c r="E297" s="404">
        <v>19</v>
      </c>
      <c r="F297" s="404">
        <v>6</v>
      </c>
      <c r="G297" s="404">
        <v>341</v>
      </c>
      <c r="H297" s="419">
        <v>884.58</v>
      </c>
      <c r="I297" s="418">
        <v>21.000926993601482</v>
      </c>
      <c r="J297" s="419">
        <v>1138.3800000000001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N55"/>
  <sheetViews>
    <sheetView zoomScale="70" zoomScaleNormal="70" workbookViewId="0">
      <selection activeCell="A2" sqref="A2"/>
    </sheetView>
  </sheetViews>
  <sheetFormatPr defaultColWidth="8.375" defaultRowHeight="12.75" x14ac:dyDescent="0.25"/>
  <cols>
    <col min="1" max="1" width="22.875" style="233" customWidth="1"/>
    <col min="2" max="2" width="17.375" style="233" customWidth="1"/>
    <col min="3" max="3" width="19.125" style="233" customWidth="1"/>
    <col min="4" max="4" width="21.375" style="233" customWidth="1"/>
    <col min="5" max="5" width="18.625" style="233" customWidth="1"/>
    <col min="6" max="6" width="17.875" style="233" customWidth="1"/>
    <col min="7" max="7" width="22.625" style="233" customWidth="1"/>
    <col min="8" max="8" width="24" style="233" customWidth="1"/>
    <col min="9" max="9" width="19.125" style="233" customWidth="1"/>
    <col min="10" max="10" width="11.625" style="233" bestFit="1" customWidth="1"/>
    <col min="11" max="11" width="18.125" style="233" customWidth="1"/>
    <col min="12" max="12" width="19.125" style="233" bestFit="1" customWidth="1"/>
    <col min="13" max="13" width="18.625" style="233" customWidth="1"/>
    <col min="14" max="14" width="22.625" style="233" bestFit="1" customWidth="1"/>
    <col min="15" max="15" width="18.125" style="233" customWidth="1"/>
    <col min="16" max="16" width="12.125" style="233" bestFit="1" customWidth="1"/>
    <col min="17" max="17" width="17.625" style="233" bestFit="1" customWidth="1"/>
    <col min="18" max="18" width="13.625" style="233" bestFit="1" customWidth="1"/>
    <col min="19" max="19" width="11.875" style="233" bestFit="1" customWidth="1"/>
    <col min="20" max="20" width="16.125" style="233" bestFit="1" customWidth="1"/>
    <col min="21" max="21" width="14.375" style="233" bestFit="1" customWidth="1"/>
    <col min="22" max="22" width="14.875" style="233" bestFit="1" customWidth="1"/>
    <col min="23" max="23" width="12.125" style="233" bestFit="1" customWidth="1"/>
    <col min="24" max="24" width="14.5" style="233" bestFit="1" customWidth="1"/>
    <col min="25" max="16384" width="8.375" style="233"/>
  </cols>
  <sheetData>
    <row r="1" spans="1:40" ht="23.25" x14ac:dyDescent="0.35">
      <c r="A1" s="440" t="s">
        <v>520</v>
      </c>
    </row>
    <row r="2" spans="1:40" ht="15.75" x14ac:dyDescent="0.25">
      <c r="A2" s="555" t="s">
        <v>712</v>
      </c>
    </row>
    <row r="3" spans="1:40" s="197" customFormat="1" ht="15.75" x14ac:dyDescent="0.25">
      <c r="A3" s="196" t="s">
        <v>661</v>
      </c>
      <c r="D3" s="237"/>
      <c r="E3" s="237"/>
      <c r="F3" s="237"/>
      <c r="G3" s="237"/>
    </row>
    <row r="4" spans="1:40" s="197" customFormat="1" ht="31.5" x14ac:dyDescent="0.25">
      <c r="A4" s="228" t="s">
        <v>469</v>
      </c>
      <c r="B4" s="228" t="s">
        <v>134</v>
      </c>
      <c r="C4" s="267" t="s">
        <v>643</v>
      </c>
      <c r="D4" s="229" t="s">
        <v>512</v>
      </c>
      <c r="E4" s="229" t="s">
        <v>513</v>
      </c>
      <c r="F4" s="230" t="s">
        <v>464</v>
      </c>
      <c r="G4" s="229" t="s">
        <v>514</v>
      </c>
      <c r="H4" s="216"/>
      <c r="I4" s="216"/>
    </row>
    <row r="5" spans="1:40" s="197" customFormat="1" ht="15.75" x14ac:dyDescent="0.25">
      <c r="A5" s="268">
        <v>31</v>
      </c>
      <c r="B5" s="268" t="s">
        <v>131</v>
      </c>
      <c r="C5" s="234">
        <f>Määräytymistekijät!C4</f>
        <v>656920</v>
      </c>
      <c r="D5" s="269">
        <f t="shared" ref="D5:D26" si="0">M31</f>
        <v>35.682064902526101</v>
      </c>
      <c r="E5" s="269">
        <f t="shared" ref="E5:E26" si="1">N31</f>
        <v>45.842749241946301</v>
      </c>
      <c r="F5" s="269">
        <f>AVERAGE(D5:E5)</f>
        <v>40.762407072236201</v>
      </c>
      <c r="G5" s="270">
        <f t="shared" ref="G5:G26" si="2">F5/$F$28</f>
        <v>0.87387114899602281</v>
      </c>
      <c r="H5" s="271"/>
      <c r="I5" s="272"/>
    </row>
    <row r="6" spans="1:40" s="197" customFormat="1" ht="15.75" x14ac:dyDescent="0.25">
      <c r="A6" s="268">
        <v>32</v>
      </c>
      <c r="B6" s="268" t="s">
        <v>448</v>
      </c>
      <c r="C6" s="234">
        <f>Määräytymistekijät!C5</f>
        <v>274336</v>
      </c>
      <c r="D6" s="269">
        <f t="shared" si="0"/>
        <v>23.469007233833199</v>
      </c>
      <c r="E6" s="269">
        <f t="shared" si="1"/>
        <v>64.935059994193793</v>
      </c>
      <c r="F6" s="269">
        <f t="shared" ref="F6:F26" si="3">AVERAGE(D6:E6)</f>
        <v>44.202033614013494</v>
      </c>
      <c r="G6" s="270">
        <f t="shared" si="2"/>
        <v>0.94761042530650896</v>
      </c>
      <c r="H6" s="271"/>
      <c r="I6" s="272"/>
    </row>
    <row r="7" spans="1:40" s="197" customFormat="1" ht="15.75" x14ac:dyDescent="0.25">
      <c r="A7" s="268">
        <v>33</v>
      </c>
      <c r="B7" s="268" t="s">
        <v>129</v>
      </c>
      <c r="C7" s="234">
        <f>Määräytymistekijät!C6</f>
        <v>473838</v>
      </c>
      <c r="D7" s="269">
        <f t="shared" si="0"/>
        <v>41.271727287573903</v>
      </c>
      <c r="E7" s="269">
        <f t="shared" si="1"/>
        <v>41.046099504317198</v>
      </c>
      <c r="F7" s="269">
        <f t="shared" si="3"/>
        <v>41.158913395945547</v>
      </c>
      <c r="G7" s="270">
        <f t="shared" si="2"/>
        <v>0.88237151640734968</v>
      </c>
      <c r="H7" s="271"/>
      <c r="I7" s="272"/>
    </row>
    <row r="8" spans="1:40" s="197" customFormat="1" ht="15.75" x14ac:dyDescent="0.25">
      <c r="A8" s="268">
        <v>34</v>
      </c>
      <c r="B8" s="268" t="s">
        <v>128</v>
      </c>
      <c r="C8" s="234">
        <f>Määräytymistekijät!C7</f>
        <v>98254</v>
      </c>
      <c r="D8" s="269">
        <f t="shared" si="0"/>
        <v>48.321848674006802</v>
      </c>
      <c r="E8" s="269">
        <f t="shared" si="1"/>
        <v>42.319250353982198</v>
      </c>
      <c r="F8" s="269">
        <f t="shared" si="3"/>
        <v>45.3205495139945</v>
      </c>
      <c r="G8" s="270">
        <f t="shared" si="2"/>
        <v>0.97158935208957586</v>
      </c>
      <c r="H8" s="271"/>
      <c r="I8" s="272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</row>
    <row r="9" spans="1:40" s="197" customFormat="1" ht="15.75" x14ac:dyDescent="0.25">
      <c r="A9" s="268">
        <v>35</v>
      </c>
      <c r="B9" s="274" t="s">
        <v>127</v>
      </c>
      <c r="C9" s="214">
        <f>Määräytymistekijät!C8</f>
        <v>199330</v>
      </c>
      <c r="D9" s="275">
        <f t="shared" si="0"/>
        <v>40.558092636052599</v>
      </c>
      <c r="E9" s="275">
        <f t="shared" si="1"/>
        <v>56.394226048668799</v>
      </c>
      <c r="F9" s="275">
        <f t="shared" si="3"/>
        <v>48.476159342360702</v>
      </c>
      <c r="G9" s="276">
        <f t="shared" si="2"/>
        <v>1.0392398316505769</v>
      </c>
      <c r="H9" s="271"/>
      <c r="I9" s="272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</row>
    <row r="10" spans="1:40" s="197" customFormat="1" ht="15.75" x14ac:dyDescent="0.25">
      <c r="A10" s="268">
        <v>2</v>
      </c>
      <c r="B10" s="197" t="s">
        <v>126</v>
      </c>
      <c r="C10" s="234">
        <f>Määräytymistekijät!C9</f>
        <v>481403</v>
      </c>
      <c r="D10" s="269">
        <f t="shared" si="0"/>
        <v>42.356492216228403</v>
      </c>
      <c r="E10" s="269">
        <f t="shared" si="1"/>
        <v>42.914575109973697</v>
      </c>
      <c r="F10" s="269">
        <f t="shared" si="3"/>
        <v>42.63553366310105</v>
      </c>
      <c r="G10" s="270">
        <f t="shared" si="2"/>
        <v>0.9140275431773901</v>
      </c>
      <c r="H10" s="271"/>
      <c r="I10" s="272"/>
    </row>
    <row r="11" spans="1:40" s="197" customFormat="1" ht="15.75" x14ac:dyDescent="0.25">
      <c r="A11" s="268">
        <v>4</v>
      </c>
      <c r="B11" s="197" t="s">
        <v>125</v>
      </c>
      <c r="C11" s="234">
        <f>Määräytymistekijät!C10</f>
        <v>215416</v>
      </c>
      <c r="D11" s="269">
        <f t="shared" si="0"/>
        <v>76.649669320661403</v>
      </c>
      <c r="E11" s="269">
        <f t="shared" si="1"/>
        <v>29.4085008873313</v>
      </c>
      <c r="F11" s="269">
        <f t="shared" si="3"/>
        <v>53.029085103996351</v>
      </c>
      <c r="G11" s="270">
        <f t="shared" si="2"/>
        <v>1.1368461987025378</v>
      </c>
      <c r="H11" s="271"/>
      <c r="I11" s="272"/>
    </row>
    <row r="12" spans="1:40" s="197" customFormat="1" ht="15.75" x14ac:dyDescent="0.25">
      <c r="A12" s="268">
        <v>5</v>
      </c>
      <c r="B12" s="197" t="s">
        <v>124</v>
      </c>
      <c r="C12" s="234">
        <f>Määräytymistekijät!C11</f>
        <v>170577</v>
      </c>
      <c r="D12" s="269">
        <f t="shared" si="0"/>
        <v>36.407075784332498</v>
      </c>
      <c r="E12" s="269">
        <f t="shared" si="1"/>
        <v>46.678199190916501</v>
      </c>
      <c r="F12" s="269">
        <f t="shared" si="3"/>
        <v>41.542637487624503</v>
      </c>
      <c r="G12" s="270">
        <f t="shared" si="2"/>
        <v>0.890597856238035</v>
      </c>
      <c r="H12" s="271"/>
      <c r="I12" s="272"/>
    </row>
    <row r="13" spans="1:40" s="197" customFormat="1" ht="15.75" x14ac:dyDescent="0.25">
      <c r="A13" s="268">
        <v>6</v>
      </c>
      <c r="B13" s="197" t="s">
        <v>123</v>
      </c>
      <c r="C13" s="234">
        <f>Määräytymistekijät!C12</f>
        <v>522852</v>
      </c>
      <c r="D13" s="269">
        <f t="shared" si="0"/>
        <v>42.549649824983298</v>
      </c>
      <c r="E13" s="269">
        <f t="shared" si="1"/>
        <v>68.879477746995505</v>
      </c>
      <c r="F13" s="269">
        <f t="shared" si="3"/>
        <v>55.714563785989398</v>
      </c>
      <c r="G13" s="270">
        <f t="shared" si="2"/>
        <v>1.1944179298635271</v>
      </c>
      <c r="H13" s="271"/>
      <c r="I13" s="272"/>
    </row>
    <row r="14" spans="1:40" s="197" customFormat="1" ht="15.75" x14ac:dyDescent="0.25">
      <c r="A14" s="268">
        <v>7</v>
      </c>
      <c r="B14" s="197" t="s">
        <v>122</v>
      </c>
      <c r="C14" s="234">
        <f>Määräytymistekijät!C13</f>
        <v>205771</v>
      </c>
      <c r="D14" s="269">
        <f t="shared" si="0"/>
        <v>57.346326883942901</v>
      </c>
      <c r="E14" s="269">
        <f t="shared" si="1"/>
        <v>32.909885700563301</v>
      </c>
      <c r="F14" s="269">
        <f t="shared" si="3"/>
        <v>45.128106292253101</v>
      </c>
      <c r="G14" s="270">
        <f t="shared" si="2"/>
        <v>0.96746372283020388</v>
      </c>
      <c r="H14" s="271"/>
      <c r="I14" s="272"/>
    </row>
    <row r="15" spans="1:40" s="197" customFormat="1" ht="15.75" x14ac:dyDescent="0.25">
      <c r="A15" s="268">
        <v>8</v>
      </c>
      <c r="B15" s="197" t="s">
        <v>121</v>
      </c>
      <c r="C15" s="234">
        <f>Määräytymistekijät!C14</f>
        <v>162812</v>
      </c>
      <c r="D15" s="269">
        <f t="shared" si="0"/>
        <v>47.772270070428398</v>
      </c>
      <c r="E15" s="269">
        <f t="shared" si="1"/>
        <v>50.319471710199899</v>
      </c>
      <c r="F15" s="269">
        <f t="shared" si="3"/>
        <v>49.045870890314148</v>
      </c>
      <c r="G15" s="270">
        <f t="shared" si="2"/>
        <v>1.0514534009847949</v>
      </c>
      <c r="H15" s="271"/>
      <c r="I15" s="272"/>
    </row>
    <row r="16" spans="1:40" s="197" customFormat="1" ht="15.75" x14ac:dyDescent="0.25">
      <c r="A16" s="268">
        <v>9</v>
      </c>
      <c r="B16" s="197" t="s">
        <v>120</v>
      </c>
      <c r="C16" s="234">
        <f>Määräytymistekijät!C15</f>
        <v>126921</v>
      </c>
      <c r="D16" s="269">
        <f t="shared" si="0"/>
        <v>46.940581910834702</v>
      </c>
      <c r="E16" s="269">
        <f t="shared" si="1"/>
        <v>60.381263576070303</v>
      </c>
      <c r="F16" s="269">
        <f t="shared" si="3"/>
        <v>53.660922743452502</v>
      </c>
      <c r="G16" s="270">
        <f t="shared" si="2"/>
        <v>1.1503916373463356</v>
      </c>
      <c r="H16" s="271"/>
      <c r="I16" s="272"/>
    </row>
    <row r="17" spans="1:15" s="197" customFormat="1" ht="15.75" x14ac:dyDescent="0.25">
      <c r="A17" s="268">
        <v>10</v>
      </c>
      <c r="B17" s="197" t="s">
        <v>119</v>
      </c>
      <c r="C17" s="234">
        <f>Määräytymistekijät!C16</f>
        <v>132702</v>
      </c>
      <c r="D17" s="269">
        <f t="shared" si="0"/>
        <v>46.713008327877702</v>
      </c>
      <c r="E17" s="269">
        <f t="shared" si="1"/>
        <v>57.472173683578603</v>
      </c>
      <c r="F17" s="269">
        <f t="shared" si="3"/>
        <v>52.092591005728153</v>
      </c>
      <c r="G17" s="270">
        <f t="shared" si="2"/>
        <v>1.1167694850719772</v>
      </c>
      <c r="H17" s="271"/>
      <c r="I17" s="272"/>
    </row>
    <row r="18" spans="1:15" s="197" customFormat="1" ht="15.75" x14ac:dyDescent="0.25">
      <c r="A18" s="268">
        <v>11</v>
      </c>
      <c r="B18" s="197" t="s">
        <v>118</v>
      </c>
      <c r="C18" s="234">
        <f>Määräytymistekijät!C17</f>
        <v>248265</v>
      </c>
      <c r="D18" s="269">
        <f t="shared" si="0"/>
        <v>39.238254995288898</v>
      </c>
      <c r="E18" s="269">
        <f t="shared" si="1"/>
        <v>58.647023816627197</v>
      </c>
      <c r="F18" s="269">
        <f t="shared" si="3"/>
        <v>48.942639405958047</v>
      </c>
      <c r="G18" s="270">
        <f t="shared" si="2"/>
        <v>1.0492403075409518</v>
      </c>
      <c r="H18" s="271"/>
      <c r="I18" s="272"/>
    </row>
    <row r="19" spans="1:15" s="197" customFormat="1" ht="15.75" x14ac:dyDescent="0.25">
      <c r="A19" s="268">
        <v>12</v>
      </c>
      <c r="B19" s="197" t="s">
        <v>117</v>
      </c>
      <c r="C19" s="234">
        <f>Määräytymistekijät!C18</f>
        <v>163537</v>
      </c>
      <c r="D19" s="269">
        <f t="shared" si="0"/>
        <v>34.0482809422112</v>
      </c>
      <c r="E19" s="269">
        <f t="shared" si="1"/>
        <v>53.110606479812901</v>
      </c>
      <c r="F19" s="269">
        <f t="shared" si="3"/>
        <v>43.579443711012047</v>
      </c>
      <c r="G19" s="270">
        <f t="shared" si="2"/>
        <v>0.93426324114917869</v>
      </c>
      <c r="H19" s="271"/>
      <c r="I19" s="272"/>
    </row>
    <row r="20" spans="1:15" s="197" customFormat="1" ht="15.75" x14ac:dyDescent="0.25">
      <c r="A20" s="268">
        <v>13</v>
      </c>
      <c r="B20" s="197" t="s">
        <v>116</v>
      </c>
      <c r="C20" s="234">
        <f>Määräytymistekijät!C19</f>
        <v>272617</v>
      </c>
      <c r="D20" s="269">
        <f t="shared" si="0"/>
        <v>54.163283780756899</v>
      </c>
      <c r="E20" s="269">
        <f t="shared" si="1"/>
        <v>39.035714873467903</v>
      </c>
      <c r="F20" s="269">
        <f t="shared" si="3"/>
        <v>46.599499327112397</v>
      </c>
      <c r="G20" s="270">
        <f t="shared" si="2"/>
        <v>0.9990076873394298</v>
      </c>
      <c r="H20" s="271"/>
      <c r="I20" s="272"/>
    </row>
    <row r="21" spans="1:15" s="197" customFormat="1" ht="15.75" x14ac:dyDescent="0.25">
      <c r="A21" s="268">
        <v>14</v>
      </c>
      <c r="B21" s="197" t="s">
        <v>132</v>
      </c>
      <c r="C21" s="234">
        <f>Määräytymistekijät!C20</f>
        <v>192150</v>
      </c>
      <c r="D21" s="269">
        <f t="shared" si="0"/>
        <v>54.4317453431266</v>
      </c>
      <c r="E21" s="269">
        <f t="shared" si="1"/>
        <v>51.770256852642</v>
      </c>
      <c r="F21" s="269">
        <f t="shared" si="3"/>
        <v>53.1010010978843</v>
      </c>
      <c r="G21" s="270">
        <f t="shared" si="2"/>
        <v>1.1383879455404682</v>
      </c>
      <c r="H21" s="271"/>
      <c r="I21" s="272"/>
    </row>
    <row r="22" spans="1:15" s="197" customFormat="1" ht="15.75" x14ac:dyDescent="0.25">
      <c r="A22" s="268">
        <v>15</v>
      </c>
      <c r="B22" s="197" t="s">
        <v>114</v>
      </c>
      <c r="C22" s="234">
        <f>Määräytymistekijät!C21</f>
        <v>175816</v>
      </c>
      <c r="D22" s="269">
        <f t="shared" si="0"/>
        <v>46.705926961961502</v>
      </c>
      <c r="E22" s="269">
        <f t="shared" si="1"/>
        <v>55.8599935743567</v>
      </c>
      <c r="F22" s="269">
        <f t="shared" si="3"/>
        <v>51.282960268159101</v>
      </c>
      <c r="G22" s="270">
        <f t="shared" si="2"/>
        <v>1.0994124889149994</v>
      </c>
      <c r="H22" s="271"/>
      <c r="I22" s="272"/>
    </row>
    <row r="23" spans="1:15" s="197" customFormat="1" ht="15.75" x14ac:dyDescent="0.25">
      <c r="A23" s="268">
        <v>16</v>
      </c>
      <c r="B23" s="197" t="s">
        <v>113</v>
      </c>
      <c r="C23" s="234">
        <f>Määräytymistekijät!C22</f>
        <v>67988</v>
      </c>
      <c r="D23" s="269">
        <f t="shared" si="0"/>
        <v>36.025833624291003</v>
      </c>
      <c r="E23" s="269">
        <f t="shared" si="1"/>
        <v>31.7191711387797</v>
      </c>
      <c r="F23" s="269">
        <f t="shared" si="3"/>
        <v>33.872502381535355</v>
      </c>
      <c r="G23" s="270">
        <f t="shared" si="2"/>
        <v>0.72616424547911207</v>
      </c>
      <c r="I23" s="272"/>
    </row>
    <row r="24" spans="1:15" s="197" customFormat="1" ht="15.75" x14ac:dyDescent="0.25">
      <c r="A24" s="268">
        <v>17</v>
      </c>
      <c r="B24" s="197" t="s">
        <v>112</v>
      </c>
      <c r="C24" s="234">
        <f>Määräytymistekijät!C23</f>
        <v>413830</v>
      </c>
      <c r="D24" s="269">
        <f t="shared" si="0"/>
        <v>29.197558199639602</v>
      </c>
      <c r="E24" s="269">
        <f t="shared" si="1"/>
        <v>56.604999380397302</v>
      </c>
      <c r="F24" s="269">
        <f t="shared" si="3"/>
        <v>42.901278790018452</v>
      </c>
      <c r="G24" s="270">
        <f t="shared" si="2"/>
        <v>0.91972463066753429</v>
      </c>
      <c r="I24" s="272"/>
    </row>
    <row r="25" spans="1:15" s="197" customFormat="1" ht="15.75" x14ac:dyDescent="0.25">
      <c r="A25" s="268">
        <v>18</v>
      </c>
      <c r="B25" s="197" t="s">
        <v>111</v>
      </c>
      <c r="C25" s="234">
        <f>Määräytymistekijät!C24</f>
        <v>71664</v>
      </c>
      <c r="D25" s="269">
        <f t="shared" si="0"/>
        <v>53.4194454090471</v>
      </c>
      <c r="E25" s="269">
        <f t="shared" si="1"/>
        <v>35.1383455442176</v>
      </c>
      <c r="F25" s="269">
        <f t="shared" si="3"/>
        <v>44.27889547663235</v>
      </c>
      <c r="G25" s="270">
        <f t="shared" si="2"/>
        <v>0.94925820248712744</v>
      </c>
      <c r="I25" s="272"/>
    </row>
    <row r="26" spans="1:15" s="197" customFormat="1" ht="15.75" x14ac:dyDescent="0.25">
      <c r="A26" s="268">
        <v>19</v>
      </c>
      <c r="B26" s="197" t="s">
        <v>110</v>
      </c>
      <c r="C26" s="234">
        <f>Määräytymistekijät!C25</f>
        <v>176665</v>
      </c>
      <c r="D26" s="269">
        <f t="shared" si="0"/>
        <v>53.765343675313602</v>
      </c>
      <c r="E26" s="269">
        <f t="shared" si="1"/>
        <v>66.346472742560294</v>
      </c>
      <c r="F26" s="269">
        <f t="shared" si="3"/>
        <v>60.055908208936948</v>
      </c>
      <c r="G26" s="270">
        <f t="shared" si="2"/>
        <v>1.2874883815752132</v>
      </c>
      <c r="I26" s="272"/>
    </row>
    <row r="27" spans="1:15" s="197" customFormat="1" ht="15.75" x14ac:dyDescent="0.25">
      <c r="B27" s="216" t="s">
        <v>56</v>
      </c>
      <c r="C27" s="277">
        <f>Määräytymistekijät!C26</f>
        <v>5503664</v>
      </c>
      <c r="D27" s="217"/>
      <c r="E27" s="217" t="s">
        <v>427</v>
      </c>
      <c r="F27" s="217">
        <f>AVERAGE(F5:F26)</f>
        <v>47.153795571739032</v>
      </c>
      <c r="G27" s="270">
        <f>F27/$F$27</f>
        <v>1</v>
      </c>
      <c r="H27" s="234"/>
      <c r="I27" s="234"/>
    </row>
    <row r="28" spans="1:15" s="197" customFormat="1" ht="15.75" x14ac:dyDescent="0.25">
      <c r="C28" s="216"/>
      <c r="D28" s="264"/>
      <c r="E28" s="264" t="s">
        <v>450</v>
      </c>
      <c r="F28" s="278">
        <f>SUMPRODUCT(C5:C26,F5:F26)/C27</f>
        <v>46.64578653165001</v>
      </c>
      <c r="G28" s="237"/>
    </row>
    <row r="29" spans="1:15" s="197" customFormat="1" ht="15.75" x14ac:dyDescent="0.25">
      <c r="C29" s="234"/>
    </row>
    <row r="30" spans="1:15" s="197" customFormat="1" ht="15.75" x14ac:dyDescent="0.25">
      <c r="A30" s="279" t="s">
        <v>469</v>
      </c>
      <c r="B30" s="279" t="s">
        <v>134</v>
      </c>
      <c r="C30" s="279" t="s">
        <v>463</v>
      </c>
      <c r="D30" s="279" t="s">
        <v>462</v>
      </c>
      <c r="E30" s="279" t="s">
        <v>461</v>
      </c>
      <c r="F30" s="279" t="s">
        <v>460</v>
      </c>
      <c r="G30" s="279" t="s">
        <v>459</v>
      </c>
      <c r="H30" s="279" t="s">
        <v>458</v>
      </c>
      <c r="I30" s="279" t="s">
        <v>457</v>
      </c>
      <c r="J30" s="279" t="s">
        <v>456</v>
      </c>
      <c r="K30" s="279" t="s">
        <v>455</v>
      </c>
      <c r="L30" s="279" t="s">
        <v>454</v>
      </c>
      <c r="M30" s="280" t="s">
        <v>453</v>
      </c>
      <c r="N30" s="280" t="s">
        <v>452</v>
      </c>
      <c r="O30" s="279" t="s">
        <v>451</v>
      </c>
    </row>
    <row r="31" spans="1:15" s="197" customFormat="1" ht="15.75" x14ac:dyDescent="0.25">
      <c r="A31" s="268">
        <v>31</v>
      </c>
      <c r="B31" s="268" t="s">
        <v>131</v>
      </c>
      <c r="C31" s="281">
        <v>1.5723738032436999E-2</v>
      </c>
      <c r="D31" s="281">
        <v>24.324324324324401</v>
      </c>
      <c r="E31" s="281">
        <v>9.2261785808341799</v>
      </c>
      <c r="F31" s="281">
        <v>100</v>
      </c>
      <c r="G31" s="281">
        <v>44.844097869439501</v>
      </c>
      <c r="H31" s="281">
        <v>36.340272273385601</v>
      </c>
      <c r="I31" s="281">
        <v>61.892735426238303</v>
      </c>
      <c r="J31" s="281">
        <v>57.7926820572564</v>
      </c>
      <c r="K31" s="281">
        <v>15.395374395594899</v>
      </c>
      <c r="L31" s="281">
        <v>57.7926820572564</v>
      </c>
      <c r="M31" s="282">
        <v>35.682064902526101</v>
      </c>
      <c r="N31" s="282">
        <v>45.842749241946301</v>
      </c>
      <c r="O31" s="281">
        <v>40.762407072236201</v>
      </c>
    </row>
    <row r="32" spans="1:15" s="197" customFormat="1" ht="15.75" x14ac:dyDescent="0.25">
      <c r="A32" s="268">
        <v>32</v>
      </c>
      <c r="B32" s="268" t="s">
        <v>448</v>
      </c>
      <c r="C32" s="281">
        <v>8.8130236851515498E-2</v>
      </c>
      <c r="D32" s="281">
        <v>21.621621621621401</v>
      </c>
      <c r="E32" s="281">
        <v>0.79427870672777201</v>
      </c>
      <c r="F32" s="281">
        <v>94.841005603965399</v>
      </c>
      <c r="G32" s="281">
        <v>0</v>
      </c>
      <c r="H32" s="281">
        <v>30.954635884440801</v>
      </c>
      <c r="I32" s="281">
        <v>77.607913008183402</v>
      </c>
      <c r="J32" s="281">
        <v>82.031592791326005</v>
      </c>
      <c r="K32" s="281">
        <v>52.049565495692697</v>
      </c>
      <c r="L32" s="281">
        <v>82.031592791326005</v>
      </c>
      <c r="M32" s="282">
        <v>23.469007233833199</v>
      </c>
      <c r="N32" s="282">
        <v>64.935059994193793</v>
      </c>
      <c r="O32" s="281">
        <v>44.202033614013502</v>
      </c>
    </row>
    <row r="33" spans="1:15" s="197" customFormat="1" ht="15.75" x14ac:dyDescent="0.25">
      <c r="A33" s="268">
        <v>33</v>
      </c>
      <c r="B33" s="268" t="s">
        <v>129</v>
      </c>
      <c r="C33" s="281">
        <v>3.88119516343464</v>
      </c>
      <c r="D33" s="281">
        <v>68.918918918918706</v>
      </c>
      <c r="E33" s="281">
        <v>4.2194541481885599</v>
      </c>
      <c r="F33" s="281">
        <v>94.503546123120998</v>
      </c>
      <c r="G33" s="281">
        <v>34.835522084206502</v>
      </c>
      <c r="H33" s="281">
        <v>28.269214568265099</v>
      </c>
      <c r="I33" s="281">
        <v>14.7784746449324</v>
      </c>
      <c r="J33" s="281">
        <v>53.103410794225901</v>
      </c>
      <c r="K33" s="281">
        <v>55.9759867199365</v>
      </c>
      <c r="L33" s="281">
        <v>53.103410794225901</v>
      </c>
      <c r="M33" s="282">
        <v>41.271727287573903</v>
      </c>
      <c r="N33" s="282">
        <v>41.046099504317198</v>
      </c>
      <c r="O33" s="281">
        <v>41.158913395945497</v>
      </c>
    </row>
    <row r="34" spans="1:15" s="197" customFormat="1" ht="15.75" x14ac:dyDescent="0.25">
      <c r="A34" s="268">
        <v>34</v>
      </c>
      <c r="B34" s="268" t="s">
        <v>128</v>
      </c>
      <c r="C34" s="281">
        <v>26.8738713920572</v>
      </c>
      <c r="D34" s="281">
        <v>43.243243243243299</v>
      </c>
      <c r="E34" s="281">
        <v>0.80833210437785996</v>
      </c>
      <c r="F34" s="281">
        <v>90.431126739906702</v>
      </c>
      <c r="G34" s="281">
        <v>80.252669890448999</v>
      </c>
      <c r="H34" s="281">
        <v>12.9785948375423</v>
      </c>
      <c r="I34" s="281">
        <v>97.336380091742498</v>
      </c>
      <c r="J34" s="281">
        <v>46.618514879917598</v>
      </c>
      <c r="K34" s="281">
        <v>8.0442470807908499</v>
      </c>
      <c r="L34" s="281">
        <v>46.618514879917598</v>
      </c>
      <c r="M34" s="282">
        <v>48.321848674006802</v>
      </c>
      <c r="N34" s="282">
        <v>42.319250353982198</v>
      </c>
      <c r="O34" s="281">
        <v>45.3205495139945</v>
      </c>
    </row>
    <row r="35" spans="1:15" s="197" customFormat="1" ht="15.75" x14ac:dyDescent="0.25">
      <c r="A35" s="268">
        <v>35</v>
      </c>
      <c r="B35" s="268" t="s">
        <v>127</v>
      </c>
      <c r="C35" s="281">
        <v>20.3186803172513</v>
      </c>
      <c r="D35" s="281">
        <v>44.594594594594597</v>
      </c>
      <c r="E35" s="281">
        <v>6.1925534665418702</v>
      </c>
      <c r="F35" s="281">
        <v>94.195776549286805</v>
      </c>
      <c r="G35" s="281">
        <v>37.488858252588301</v>
      </c>
      <c r="H35" s="281">
        <v>100</v>
      </c>
      <c r="I35" s="281">
        <v>72.703544772571803</v>
      </c>
      <c r="J35" s="281">
        <v>27.008820953424699</v>
      </c>
      <c r="K35" s="281">
        <v>55.2499435639225</v>
      </c>
      <c r="L35" s="281">
        <v>27.008820953424699</v>
      </c>
      <c r="M35" s="282">
        <v>40.558092636052599</v>
      </c>
      <c r="N35" s="282">
        <v>56.394226048668799</v>
      </c>
      <c r="O35" s="281">
        <v>48.476159342360702</v>
      </c>
    </row>
    <row r="36" spans="1:15" s="197" customFormat="1" ht="15.75" x14ac:dyDescent="0.25">
      <c r="A36" s="268">
        <v>2</v>
      </c>
      <c r="B36" s="268" t="s">
        <v>126</v>
      </c>
      <c r="C36" s="281">
        <v>9.0245917407621494</v>
      </c>
      <c r="D36" s="281">
        <v>58.108108108108098</v>
      </c>
      <c r="E36" s="281">
        <v>9.7869291129938905</v>
      </c>
      <c r="F36" s="281">
        <v>96.910182269411393</v>
      </c>
      <c r="G36" s="281">
        <v>37.952649849866702</v>
      </c>
      <c r="H36" s="281">
        <v>22.7082519565868</v>
      </c>
      <c r="I36" s="281">
        <v>28.851787361145899</v>
      </c>
      <c r="J36" s="281">
        <v>50.410454034889398</v>
      </c>
      <c r="K36" s="281">
        <v>62.191928162356703</v>
      </c>
      <c r="L36" s="281">
        <v>50.410454034889398</v>
      </c>
      <c r="M36" s="282">
        <v>42.356492216228403</v>
      </c>
      <c r="N36" s="282">
        <v>42.914575109973697</v>
      </c>
      <c r="O36" s="281">
        <v>42.6355336631011</v>
      </c>
    </row>
    <row r="37" spans="1:15" s="197" customFormat="1" ht="15.75" x14ac:dyDescent="0.25">
      <c r="A37" s="268">
        <v>4</v>
      </c>
      <c r="B37" s="268" t="s">
        <v>125</v>
      </c>
      <c r="C37" s="281">
        <v>100</v>
      </c>
      <c r="D37" s="281">
        <v>85.135135135135002</v>
      </c>
      <c r="E37" s="281">
        <v>40.258507884986898</v>
      </c>
      <c r="F37" s="281">
        <v>68.246218944667703</v>
      </c>
      <c r="G37" s="281">
        <v>89.608484638517595</v>
      </c>
      <c r="H37" s="281">
        <v>45.8887390966959</v>
      </c>
      <c r="I37" s="281">
        <v>11.595746726529701</v>
      </c>
      <c r="J37" s="281">
        <v>0</v>
      </c>
      <c r="K37" s="281">
        <v>89.558018613430804</v>
      </c>
      <c r="L37" s="281">
        <v>0</v>
      </c>
      <c r="M37" s="282">
        <v>76.649669320661403</v>
      </c>
      <c r="N37" s="282">
        <v>29.4085008873313</v>
      </c>
      <c r="O37" s="281">
        <v>53.029085103996401</v>
      </c>
    </row>
    <row r="38" spans="1:15" s="197" customFormat="1" ht="15.75" x14ac:dyDescent="0.25">
      <c r="A38" s="268">
        <v>5</v>
      </c>
      <c r="B38" s="268" t="s">
        <v>124</v>
      </c>
      <c r="C38" s="281">
        <v>3.9116465855825502</v>
      </c>
      <c r="D38" s="281">
        <v>77.027027027027103</v>
      </c>
      <c r="E38" s="281">
        <v>10.0701162687494</v>
      </c>
      <c r="F38" s="281">
        <v>84.450367220644907</v>
      </c>
      <c r="G38" s="281">
        <v>6.5762218196583397</v>
      </c>
      <c r="H38" s="281">
        <v>9.8440976536017306</v>
      </c>
      <c r="I38" s="281">
        <v>42.537754442213902</v>
      </c>
      <c r="J38" s="281">
        <v>60.608533474916499</v>
      </c>
      <c r="K38" s="281">
        <v>59.7920769089339</v>
      </c>
      <c r="L38" s="281">
        <v>60.608533474916499</v>
      </c>
      <c r="M38" s="282">
        <v>36.407075784332498</v>
      </c>
      <c r="N38" s="282">
        <v>46.678199190916501</v>
      </c>
      <c r="O38" s="281">
        <v>41.542637487624503</v>
      </c>
    </row>
    <row r="39" spans="1:15" s="197" customFormat="1" ht="15.75" x14ac:dyDescent="0.25">
      <c r="A39" s="268">
        <v>6</v>
      </c>
      <c r="B39" s="268" t="s">
        <v>123</v>
      </c>
      <c r="C39" s="281">
        <v>4.6115936868835297</v>
      </c>
      <c r="D39" s="281">
        <v>74.324324324324394</v>
      </c>
      <c r="E39" s="281">
        <v>16.749502271556199</v>
      </c>
      <c r="F39" s="281">
        <v>86.439287684554202</v>
      </c>
      <c r="G39" s="281">
        <v>30.623541157598101</v>
      </c>
      <c r="H39" s="281">
        <v>55.6243142419303</v>
      </c>
      <c r="I39" s="281">
        <v>58.306957773966502</v>
      </c>
      <c r="J39" s="281">
        <v>82.342125613423093</v>
      </c>
      <c r="K39" s="281">
        <v>65.781865492234303</v>
      </c>
      <c r="L39" s="281">
        <v>82.342125613423093</v>
      </c>
      <c r="M39" s="282">
        <v>42.549649824983298</v>
      </c>
      <c r="N39" s="282">
        <v>68.879477746995505</v>
      </c>
      <c r="O39" s="281">
        <v>55.714563785989398</v>
      </c>
    </row>
    <row r="40" spans="1:15" s="197" customFormat="1" ht="15.75" x14ac:dyDescent="0.25">
      <c r="A40" s="268">
        <v>7</v>
      </c>
      <c r="B40" s="268" t="s">
        <v>122</v>
      </c>
      <c r="C40" s="281">
        <v>94.674710257608695</v>
      </c>
      <c r="D40" s="281">
        <v>39.1891891891892</v>
      </c>
      <c r="E40" s="281">
        <v>20.540088027845002</v>
      </c>
      <c r="F40" s="281">
        <v>81.007489609776101</v>
      </c>
      <c r="G40" s="281">
        <v>51.320157335295399</v>
      </c>
      <c r="H40" s="281">
        <v>32.837785481104902</v>
      </c>
      <c r="I40" s="281">
        <v>75.671178126138898</v>
      </c>
      <c r="J40" s="281">
        <v>28.020232447786299</v>
      </c>
      <c r="K40" s="281">
        <v>0</v>
      </c>
      <c r="L40" s="281">
        <v>28.020232447786299</v>
      </c>
      <c r="M40" s="282">
        <v>57.346326883942901</v>
      </c>
      <c r="N40" s="282">
        <v>32.909885700563301</v>
      </c>
      <c r="O40" s="281">
        <v>45.128106292253101</v>
      </c>
    </row>
    <row r="41" spans="1:15" s="197" customFormat="1" ht="15.75" x14ac:dyDescent="0.25">
      <c r="A41" s="268">
        <v>8</v>
      </c>
      <c r="B41" s="268" t="s">
        <v>121</v>
      </c>
      <c r="C41" s="281">
        <v>0.12807012541461099</v>
      </c>
      <c r="D41" s="281">
        <v>94.594594594594597</v>
      </c>
      <c r="E41" s="281">
        <v>10.475687024190901</v>
      </c>
      <c r="F41" s="281">
        <v>88.255774100285294</v>
      </c>
      <c r="G41" s="281">
        <v>45.4072245076567</v>
      </c>
      <c r="H41" s="281">
        <v>23.848903960040001</v>
      </c>
      <c r="I41" s="281">
        <v>33.619052071572298</v>
      </c>
      <c r="J41" s="281">
        <v>64.326854232470197</v>
      </c>
      <c r="K41" s="281">
        <v>65.475694054446706</v>
      </c>
      <c r="L41" s="281">
        <v>64.326854232470197</v>
      </c>
      <c r="M41" s="282">
        <v>47.772270070428398</v>
      </c>
      <c r="N41" s="282">
        <v>50.319471710199899</v>
      </c>
      <c r="O41" s="281">
        <v>49.045870890314198</v>
      </c>
    </row>
    <row r="42" spans="1:15" s="197" customFormat="1" ht="15.75" x14ac:dyDescent="0.25">
      <c r="A42" s="268">
        <v>9</v>
      </c>
      <c r="B42" s="268" t="s">
        <v>120</v>
      </c>
      <c r="C42" s="281">
        <v>0</v>
      </c>
      <c r="D42" s="281">
        <v>83.783783783783704</v>
      </c>
      <c r="E42" s="281">
        <v>0</v>
      </c>
      <c r="F42" s="281">
        <v>83.472675066864994</v>
      </c>
      <c r="G42" s="281">
        <v>67.446450703524903</v>
      </c>
      <c r="H42" s="281">
        <v>20.4177968952913</v>
      </c>
      <c r="I42" s="281">
        <v>100</v>
      </c>
      <c r="J42" s="281">
        <v>86.106272008623307</v>
      </c>
      <c r="K42" s="281">
        <v>9.2759769678136692</v>
      </c>
      <c r="L42" s="281">
        <v>86.106272008623307</v>
      </c>
      <c r="M42" s="282">
        <v>46.940581910834702</v>
      </c>
      <c r="N42" s="282">
        <v>60.381263576070303</v>
      </c>
      <c r="O42" s="281">
        <v>53.660922743452502</v>
      </c>
    </row>
    <row r="43" spans="1:15" s="197" customFormat="1" ht="15.75" x14ac:dyDescent="0.25">
      <c r="A43" s="268">
        <v>10</v>
      </c>
      <c r="B43" s="268" t="s">
        <v>119</v>
      </c>
      <c r="C43" s="281">
        <v>25.572731625616299</v>
      </c>
      <c r="D43" s="281">
        <v>72.972972972972897</v>
      </c>
      <c r="E43" s="281">
        <v>7.1464157541731002</v>
      </c>
      <c r="F43" s="281">
        <v>79.783567305385802</v>
      </c>
      <c r="G43" s="281">
        <v>48.0893539812404</v>
      </c>
      <c r="H43" s="281">
        <v>10.152347698752999</v>
      </c>
      <c r="I43" s="281">
        <v>49.999792048962298</v>
      </c>
      <c r="J43" s="281">
        <v>89.902781427617398</v>
      </c>
      <c r="K43" s="281">
        <v>47.403165814942703</v>
      </c>
      <c r="L43" s="281">
        <v>89.902781427617398</v>
      </c>
      <c r="M43" s="282">
        <v>46.713008327877702</v>
      </c>
      <c r="N43" s="282">
        <v>57.472173683578603</v>
      </c>
      <c r="O43" s="281">
        <v>52.092591005728103</v>
      </c>
    </row>
    <row r="44" spans="1:15" s="197" customFormat="1" ht="15.75" x14ac:dyDescent="0.25">
      <c r="A44" s="268">
        <v>11</v>
      </c>
      <c r="B44" s="268" t="s">
        <v>118</v>
      </c>
      <c r="C44" s="281">
        <v>33.648293626649</v>
      </c>
      <c r="D44" s="281">
        <v>55.405405405405197</v>
      </c>
      <c r="E44" s="281">
        <v>11.967782896444</v>
      </c>
      <c r="F44" s="281">
        <v>76.401272328720296</v>
      </c>
      <c r="G44" s="281">
        <v>18.768520719226199</v>
      </c>
      <c r="H44" s="281">
        <v>28.9489974806948</v>
      </c>
      <c r="I44" s="281">
        <v>45.794704191864597</v>
      </c>
      <c r="J44" s="281">
        <v>86.551919280526604</v>
      </c>
      <c r="K44" s="281">
        <v>45.387578849523301</v>
      </c>
      <c r="L44" s="281">
        <v>86.551919280526604</v>
      </c>
      <c r="M44" s="282">
        <v>39.238254995288898</v>
      </c>
      <c r="N44" s="282">
        <v>58.647023816627197</v>
      </c>
      <c r="O44" s="281">
        <v>48.942639405958097</v>
      </c>
    </row>
    <row r="45" spans="1:15" s="197" customFormat="1" ht="15.75" x14ac:dyDescent="0.25">
      <c r="A45" s="268">
        <v>12</v>
      </c>
      <c r="B45" s="268" t="s">
        <v>117</v>
      </c>
      <c r="C45" s="281">
        <v>3.08439635286387</v>
      </c>
      <c r="D45" s="281">
        <v>63.513513513513502</v>
      </c>
      <c r="E45" s="281">
        <v>5.4287881371648902E-2</v>
      </c>
      <c r="F45" s="281">
        <v>81.895690111278498</v>
      </c>
      <c r="G45" s="281">
        <v>21.693516852028701</v>
      </c>
      <c r="H45" s="281">
        <v>14.381343482424001</v>
      </c>
      <c r="I45" s="281">
        <v>45.279552310515498</v>
      </c>
      <c r="J45" s="281">
        <v>72.215724218975794</v>
      </c>
      <c r="K45" s="281">
        <v>61.460688168173697</v>
      </c>
      <c r="L45" s="281">
        <v>72.215724218975794</v>
      </c>
      <c r="M45" s="282">
        <v>34.0482809422112</v>
      </c>
      <c r="N45" s="282">
        <v>53.110606479812901</v>
      </c>
      <c r="O45" s="281">
        <v>43.579443711012097</v>
      </c>
    </row>
    <row r="46" spans="1:15" s="197" customFormat="1" ht="15.75" x14ac:dyDescent="0.25">
      <c r="A46" s="268">
        <v>13</v>
      </c>
      <c r="B46" s="268" t="s">
        <v>116</v>
      </c>
      <c r="C46" s="281">
        <v>37.517278235489002</v>
      </c>
      <c r="D46" s="281">
        <v>100</v>
      </c>
      <c r="E46" s="281">
        <v>7.1695369720660702</v>
      </c>
      <c r="F46" s="281">
        <v>92.737003238720803</v>
      </c>
      <c r="G46" s="281">
        <v>33.392600457508401</v>
      </c>
      <c r="H46" s="281">
        <v>32.226849372603901</v>
      </c>
      <c r="I46" s="281">
        <v>42.559153745370203</v>
      </c>
      <c r="J46" s="281">
        <v>38.624046665605498</v>
      </c>
      <c r="K46" s="281">
        <v>43.144477918154301</v>
      </c>
      <c r="L46" s="281">
        <v>38.624046665605498</v>
      </c>
      <c r="M46" s="282">
        <v>54.163283780756899</v>
      </c>
      <c r="N46" s="282">
        <v>39.035714873467903</v>
      </c>
      <c r="O46" s="281">
        <v>46.599499327112397</v>
      </c>
    </row>
    <row r="47" spans="1:15" s="197" customFormat="1" ht="15.75" x14ac:dyDescent="0.25">
      <c r="A47" s="268">
        <v>14</v>
      </c>
      <c r="B47" s="268" t="s">
        <v>132</v>
      </c>
      <c r="C47" s="281">
        <v>3.4549695441919899</v>
      </c>
      <c r="D47" s="281">
        <v>87.837837837837696</v>
      </c>
      <c r="E47" s="281">
        <v>53.471559692893898</v>
      </c>
      <c r="F47" s="281">
        <v>64.728852849355107</v>
      </c>
      <c r="G47" s="281">
        <v>62.665506791354503</v>
      </c>
      <c r="H47" s="281">
        <v>19.137215174682002</v>
      </c>
      <c r="I47" s="281">
        <v>76.601181708476204</v>
      </c>
      <c r="J47" s="281">
        <v>43.813000406731099</v>
      </c>
      <c r="K47" s="281">
        <v>75.486886566589604</v>
      </c>
      <c r="L47" s="281">
        <v>43.813000406731099</v>
      </c>
      <c r="M47" s="282">
        <v>54.4317453431266</v>
      </c>
      <c r="N47" s="282">
        <v>51.770256852642</v>
      </c>
      <c r="O47" s="281">
        <v>53.1010010978843</v>
      </c>
    </row>
    <row r="48" spans="1:15" s="197" customFormat="1" ht="15.75" x14ac:dyDescent="0.25">
      <c r="A48" s="268">
        <v>15</v>
      </c>
      <c r="B48" s="268" t="s">
        <v>114</v>
      </c>
      <c r="C48" s="281">
        <v>2.2360806539395002</v>
      </c>
      <c r="D48" s="281">
        <v>40.540540540540398</v>
      </c>
      <c r="E48" s="281">
        <v>8.1724406325510408</v>
      </c>
      <c r="F48" s="281">
        <v>82.580572982776502</v>
      </c>
      <c r="G48" s="281">
        <v>100</v>
      </c>
      <c r="H48" s="281">
        <v>3.3072920539024699</v>
      </c>
      <c r="I48" s="281">
        <v>67.739452922349301</v>
      </c>
      <c r="J48" s="281">
        <v>73.832246598010201</v>
      </c>
      <c r="K48" s="281">
        <v>60.588729699511497</v>
      </c>
      <c r="L48" s="281">
        <v>73.832246598010201</v>
      </c>
      <c r="M48" s="282">
        <v>46.705926961961502</v>
      </c>
      <c r="N48" s="282">
        <v>55.8599935743567</v>
      </c>
      <c r="O48" s="281">
        <v>51.282960268159101</v>
      </c>
    </row>
    <row r="49" spans="1:15" s="197" customFormat="1" ht="15.75" x14ac:dyDescent="0.25">
      <c r="A49" s="268">
        <v>16</v>
      </c>
      <c r="B49" s="268" t="s">
        <v>113</v>
      </c>
      <c r="C49" s="281">
        <v>0.80154590516687796</v>
      </c>
      <c r="D49" s="281">
        <v>87.837837837837696</v>
      </c>
      <c r="E49" s="281">
        <v>29.7571602514668</v>
      </c>
      <c r="F49" s="281">
        <v>0</v>
      </c>
      <c r="G49" s="281">
        <v>61.732624126983602</v>
      </c>
      <c r="H49" s="281">
        <v>0</v>
      </c>
      <c r="I49" s="281">
        <v>0</v>
      </c>
      <c r="J49" s="281">
        <v>48.937389541220803</v>
      </c>
      <c r="K49" s="281">
        <v>60.7210766114571</v>
      </c>
      <c r="L49" s="281">
        <v>48.937389541220803</v>
      </c>
      <c r="M49" s="282">
        <v>36.025833624291003</v>
      </c>
      <c r="N49" s="282">
        <v>31.7191711387797</v>
      </c>
      <c r="O49" s="281">
        <v>33.872502381535398</v>
      </c>
    </row>
    <row r="50" spans="1:15" s="197" customFormat="1" ht="15.75" x14ac:dyDescent="0.25">
      <c r="A50" s="268">
        <v>17</v>
      </c>
      <c r="B50" s="268" t="s">
        <v>112</v>
      </c>
      <c r="C50" s="281">
        <v>3.3899503384732901</v>
      </c>
      <c r="D50" s="281">
        <v>35.135135135135002</v>
      </c>
      <c r="E50" s="281">
        <v>13.2768329290359</v>
      </c>
      <c r="F50" s="281">
        <v>73.906349367046701</v>
      </c>
      <c r="G50" s="281">
        <v>20.279523228506999</v>
      </c>
      <c r="H50" s="281">
        <v>17.633352566675601</v>
      </c>
      <c r="I50" s="281">
        <v>52.300818771135603</v>
      </c>
      <c r="J50" s="281">
        <v>72.573052026013002</v>
      </c>
      <c r="K50" s="281">
        <v>67.9447215121494</v>
      </c>
      <c r="L50" s="281">
        <v>72.573052026013002</v>
      </c>
      <c r="M50" s="282">
        <v>29.197558199639602</v>
      </c>
      <c r="N50" s="282">
        <v>56.604999380397302</v>
      </c>
      <c r="O50" s="281">
        <v>42.901278790018502</v>
      </c>
    </row>
    <row r="51" spans="1:15" s="197" customFormat="1" ht="15.75" x14ac:dyDescent="0.25">
      <c r="A51" s="268">
        <v>18</v>
      </c>
      <c r="B51" s="268" t="s">
        <v>111</v>
      </c>
      <c r="C51" s="281">
        <v>14.7860865434253</v>
      </c>
      <c r="D51" s="281">
        <v>0</v>
      </c>
      <c r="E51" s="281">
        <v>100</v>
      </c>
      <c r="F51" s="281">
        <v>90.472983278582703</v>
      </c>
      <c r="G51" s="281">
        <v>61.838157223227398</v>
      </c>
      <c r="H51" s="281">
        <v>26.016423652273001</v>
      </c>
      <c r="I51" s="281">
        <v>38.743271306645802</v>
      </c>
      <c r="J51" s="281">
        <v>12.2777421190043</v>
      </c>
      <c r="K51" s="281">
        <v>86.376548524160597</v>
      </c>
      <c r="L51" s="281">
        <v>12.2777421190043</v>
      </c>
      <c r="M51" s="282">
        <v>53.4194454090471</v>
      </c>
      <c r="N51" s="282">
        <v>35.1383455442176</v>
      </c>
      <c r="O51" s="281">
        <v>44.2788954766324</v>
      </c>
    </row>
    <row r="52" spans="1:15" s="197" customFormat="1" ht="15.75" x14ac:dyDescent="0.25">
      <c r="A52" s="268">
        <v>19</v>
      </c>
      <c r="B52" s="268" t="s">
        <v>110</v>
      </c>
      <c r="C52" s="281">
        <v>10.6816877247827</v>
      </c>
      <c r="D52" s="281">
        <v>79.729729729729797</v>
      </c>
      <c r="E52" s="281">
        <v>18.9443144324309</v>
      </c>
      <c r="F52" s="281">
        <v>80.663601352233897</v>
      </c>
      <c r="G52" s="281">
        <v>78.807385137390696</v>
      </c>
      <c r="H52" s="281">
        <v>31.202746656773702</v>
      </c>
      <c r="I52" s="281">
        <v>0.52961705602781695</v>
      </c>
      <c r="J52" s="281">
        <v>100</v>
      </c>
      <c r="K52" s="281">
        <v>100</v>
      </c>
      <c r="L52" s="281">
        <v>100</v>
      </c>
      <c r="M52" s="282">
        <v>53.765343675313602</v>
      </c>
      <c r="N52" s="282">
        <v>66.346472742560294</v>
      </c>
      <c r="O52" s="281">
        <v>60.055908208936998</v>
      </c>
    </row>
    <row r="53" spans="1:15" x14ac:dyDescent="0.25">
      <c r="H53" s="283"/>
      <c r="I53" s="283"/>
    </row>
    <row r="55" spans="1:15" x14ac:dyDescent="0.25">
      <c r="H55" s="284"/>
      <c r="I55" s="284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A28"/>
  <sheetViews>
    <sheetView zoomScale="70" zoomScaleNormal="70" workbookViewId="0">
      <selection activeCell="D34" sqref="D34"/>
    </sheetView>
  </sheetViews>
  <sheetFormatPr defaultRowHeight="14.25" x14ac:dyDescent="0.2"/>
  <cols>
    <col min="1" max="1" width="19.375" customWidth="1"/>
    <col min="2" max="2" width="14.875" customWidth="1"/>
    <col min="3" max="3" width="16.125" customWidth="1"/>
    <col min="4" max="4" width="16.625" customWidth="1"/>
    <col min="5" max="6" width="16.875" customWidth="1"/>
    <col min="7" max="7" width="16.5" customWidth="1"/>
    <col min="8" max="9" width="16.625" customWidth="1"/>
    <col min="10" max="10" width="10" customWidth="1"/>
    <col min="11" max="11" width="21.625" customWidth="1"/>
    <col min="12" max="12" width="21.125" customWidth="1"/>
    <col min="13" max="13" width="22.125" customWidth="1"/>
    <col min="14" max="14" width="10.875" customWidth="1"/>
    <col min="15" max="15" width="26.5" customWidth="1"/>
    <col min="16" max="16" width="29.625" customWidth="1"/>
    <col min="17" max="17" width="24" customWidth="1"/>
    <col min="18" max="18" width="18.125" customWidth="1"/>
    <col min="21" max="21" width="12.125" bestFit="1" customWidth="1"/>
    <col min="25" max="25" width="8.625" bestFit="1" customWidth="1"/>
    <col min="26" max="27" width="9.125" bestFit="1" customWidth="1"/>
  </cols>
  <sheetData>
    <row r="1" spans="1:27" ht="23.25" x14ac:dyDescent="0.35">
      <c r="A1" s="551" t="s">
        <v>709</v>
      </c>
      <c r="B1" s="552"/>
      <c r="C1" s="552"/>
      <c r="D1" s="552"/>
      <c r="E1" s="552"/>
      <c r="F1" s="552"/>
      <c r="G1" s="463"/>
      <c r="H1" s="552"/>
    </row>
    <row r="2" spans="1:27" ht="15.75" x14ac:dyDescent="0.25">
      <c r="A2" s="553" t="s">
        <v>710</v>
      </c>
      <c r="B2" s="552"/>
      <c r="C2" s="552"/>
      <c r="D2" s="552"/>
      <c r="E2" s="552"/>
      <c r="F2" s="552"/>
      <c r="G2" s="463"/>
      <c r="H2" s="552"/>
    </row>
    <row r="3" spans="1:27" ht="15.75" x14ac:dyDescent="0.25">
      <c r="A3" s="554" t="s">
        <v>711</v>
      </c>
      <c r="B3" s="552"/>
      <c r="C3" s="552"/>
      <c r="D3" s="552"/>
      <c r="E3" s="552"/>
      <c r="F3" s="552"/>
      <c r="G3" s="463"/>
      <c r="H3" s="552"/>
    </row>
    <row r="4" spans="1:27" ht="47.25" x14ac:dyDescent="0.25">
      <c r="A4" s="229" t="s">
        <v>469</v>
      </c>
      <c r="B4" s="229" t="s">
        <v>134</v>
      </c>
      <c r="C4" s="229" t="s">
        <v>443</v>
      </c>
      <c r="D4" s="266" t="s">
        <v>533</v>
      </c>
      <c r="E4" s="266" t="s">
        <v>525</v>
      </c>
      <c r="F4" s="266" t="s">
        <v>526</v>
      </c>
      <c r="G4" s="266" t="s">
        <v>527</v>
      </c>
      <c r="H4" s="266" t="s">
        <v>528</v>
      </c>
      <c r="I4" s="266" t="s">
        <v>529</v>
      </c>
      <c r="J4" s="266" t="s">
        <v>0</v>
      </c>
      <c r="K4" s="266" t="s">
        <v>622</v>
      </c>
      <c r="L4" s="266" t="s">
        <v>623</v>
      </c>
      <c r="M4" s="266" t="s">
        <v>624</v>
      </c>
      <c r="N4" s="266" t="s">
        <v>575</v>
      </c>
      <c r="O4" s="266" t="s">
        <v>530</v>
      </c>
      <c r="P4" s="266" t="s">
        <v>531</v>
      </c>
      <c r="Q4" s="266" t="s">
        <v>532</v>
      </c>
      <c r="R4" s="266" t="s">
        <v>576</v>
      </c>
      <c r="S4" s="5"/>
    </row>
    <row r="5" spans="1:27" ht="15.75" x14ac:dyDescent="0.25">
      <c r="A5" s="259">
        <v>31</v>
      </c>
      <c r="B5" s="202" t="s">
        <v>131</v>
      </c>
      <c r="C5" s="214">
        <f>Määräytymistekijät!C4</f>
        <v>656920</v>
      </c>
      <c r="D5" s="457">
        <v>0.58859411593104249</v>
      </c>
      <c r="E5" s="457">
        <v>0.19745668830747204</v>
      </c>
      <c r="F5" s="457">
        <v>0.21394919576148561</v>
      </c>
      <c r="G5" s="458">
        <v>0.88783997297286987</v>
      </c>
      <c r="H5" s="458">
        <v>0.73748373985290527</v>
      </c>
      <c r="I5" s="458">
        <v>0.81884938478469849</v>
      </c>
      <c r="J5" s="260">
        <v>0.82764309999999996</v>
      </c>
      <c r="K5" s="260">
        <f t="shared" ref="K5:K26" si="0">G5*($C5/$C$27)</f>
        <v>0.10597300908001246</v>
      </c>
      <c r="L5" s="260">
        <f t="shared" ref="L5:L26" si="1">H5*($C5/$C$27)</f>
        <v>8.8026416289978926E-2</v>
      </c>
      <c r="M5" s="260">
        <f t="shared" ref="M5:M26" si="2">I5*($C5/$C$27)</f>
        <v>9.7738259067552846E-2</v>
      </c>
      <c r="N5" s="260">
        <f t="shared" ref="N5:N26" si="3">C5/$C$27*J5</f>
        <v>9.8787881173705364E-2</v>
      </c>
      <c r="O5" s="261">
        <f>G5/$K$27</f>
        <v>0.88790246414515983</v>
      </c>
      <c r="P5" s="261">
        <f>H5/$L$27</f>
        <v>0.73750353653139678</v>
      </c>
      <c r="Q5" s="261">
        <f>I5/$M$27</f>
        <v>0.8189413336572593</v>
      </c>
      <c r="R5" s="260">
        <f t="shared" ref="R5:R27" si="4">J5/$N$27</f>
        <v>0.82851912915268289</v>
      </c>
      <c r="S5" s="5"/>
      <c r="Y5" s="6"/>
      <c r="Z5" s="6"/>
      <c r="AA5" s="6"/>
    </row>
    <row r="6" spans="1:27" ht="15.75" x14ac:dyDescent="0.25">
      <c r="A6" s="259">
        <v>32</v>
      </c>
      <c r="B6" s="202" t="s">
        <v>130</v>
      </c>
      <c r="C6" s="214">
        <f>Määräytymistekijät!C5</f>
        <v>274336</v>
      </c>
      <c r="D6" s="457">
        <v>0.58859411593104249</v>
      </c>
      <c r="E6" s="457">
        <v>0.19745668830747204</v>
      </c>
      <c r="F6" s="457">
        <v>0.21394919576148561</v>
      </c>
      <c r="G6" s="458">
        <v>0.86359524726867676</v>
      </c>
      <c r="H6" s="458">
        <v>0.55040872097015303</v>
      </c>
      <c r="I6" s="458">
        <v>0.8141324520111084</v>
      </c>
      <c r="J6" s="260">
        <v>0.78488650000000004</v>
      </c>
      <c r="K6" s="260">
        <f t="shared" si="0"/>
        <v>4.3046825851777965E-2</v>
      </c>
      <c r="L6" s="260">
        <f t="shared" si="1"/>
        <v>2.7435709533879232E-2</v>
      </c>
      <c r="M6" s="260">
        <f t="shared" si="2"/>
        <v>4.0581300085710072E-2</v>
      </c>
      <c r="N6" s="260">
        <f t="shared" si="3"/>
        <v>3.9123504426142292E-2</v>
      </c>
      <c r="O6" s="261">
        <f t="shared" ref="O6:O26" si="5">G6/$K$27</f>
        <v>0.86365603196077068</v>
      </c>
      <c r="P6" s="261">
        <f t="shared" ref="P6:P26" si="6">H6/$L$27</f>
        <v>0.55042349589182138</v>
      </c>
      <c r="Q6" s="261">
        <f t="shared" ref="Q6:Q26" si="7">I6/$M$27</f>
        <v>0.81422387121770312</v>
      </c>
      <c r="R6" s="260">
        <f t="shared" si="4"/>
        <v>0.7857172728966112</v>
      </c>
      <c r="S6" s="5"/>
      <c r="Y6" s="6"/>
      <c r="Z6" s="6"/>
      <c r="AA6" s="6"/>
    </row>
    <row r="7" spans="1:27" ht="15.75" x14ac:dyDescent="0.25">
      <c r="A7" s="259">
        <v>33</v>
      </c>
      <c r="B7" s="202" t="s">
        <v>129</v>
      </c>
      <c r="C7" s="214">
        <f>Määräytymistekijät!C6</f>
        <v>473838</v>
      </c>
      <c r="D7" s="457">
        <v>0.58859411593104249</v>
      </c>
      <c r="E7" s="457">
        <v>0.19745668830747204</v>
      </c>
      <c r="F7" s="457">
        <v>0.21394919576148561</v>
      </c>
      <c r="G7" s="458">
        <v>0.84651011228561401</v>
      </c>
      <c r="H7" s="458">
        <v>0.61154252290725708</v>
      </c>
      <c r="I7" s="458">
        <v>0.7599186897277832</v>
      </c>
      <c r="J7" s="260">
        <v>0.76909830000000001</v>
      </c>
      <c r="K7" s="260">
        <f t="shared" si="0"/>
        <v>7.2880295487731589E-2</v>
      </c>
      <c r="L7" s="260">
        <f t="shared" si="1"/>
        <v>5.2650758834356326E-2</v>
      </c>
      <c r="M7" s="260">
        <f t="shared" si="2"/>
        <v>6.5425206208669956E-2</v>
      </c>
      <c r="N7" s="260">
        <f t="shared" si="3"/>
        <v>6.6215524834982664E-2</v>
      </c>
      <c r="O7" s="261">
        <f t="shared" si="5"/>
        <v>0.8465696944297868</v>
      </c>
      <c r="P7" s="261">
        <f t="shared" si="6"/>
        <v>0.61155893887693302</v>
      </c>
      <c r="Q7" s="261">
        <f t="shared" si="7"/>
        <v>0.76000402125279465</v>
      </c>
      <c r="R7" s="260">
        <f t="shared" si="4"/>
        <v>0.7699123616795801</v>
      </c>
      <c r="S7" s="5"/>
      <c r="Y7" s="6"/>
      <c r="Z7" s="6"/>
      <c r="AA7" s="6"/>
    </row>
    <row r="8" spans="1:27" ht="15.75" x14ac:dyDescent="0.25">
      <c r="A8" s="259">
        <v>34</v>
      </c>
      <c r="B8" s="202" t="s">
        <v>128</v>
      </c>
      <c r="C8" s="214">
        <f>Määräytymistekijät!C7</f>
        <v>98254</v>
      </c>
      <c r="D8" s="457">
        <v>0.58859411593104249</v>
      </c>
      <c r="E8" s="457">
        <v>0.19745668830747204</v>
      </c>
      <c r="F8" s="457">
        <v>0.21394919576148561</v>
      </c>
      <c r="G8" s="458">
        <v>0.95669889450073242</v>
      </c>
      <c r="H8" s="458">
        <v>0.89782541990280151</v>
      </c>
      <c r="I8" s="458">
        <v>0.84635919332504272</v>
      </c>
      <c r="J8" s="260">
        <v>0.91719649999999997</v>
      </c>
      <c r="K8" s="260">
        <f t="shared" si="0"/>
        <v>1.7079438930188137E-2</v>
      </c>
      <c r="L8" s="260">
        <f t="shared" si="1"/>
        <v>1.6028401953158813E-2</v>
      </c>
      <c r="M8" s="260">
        <f t="shared" si="2"/>
        <v>1.5109602653969927E-2</v>
      </c>
      <c r="N8" s="260">
        <f t="shared" si="3"/>
        <v>1.6374223591956193E-2</v>
      </c>
      <c r="O8" s="261">
        <f t="shared" si="5"/>
        <v>0.95676623235132019</v>
      </c>
      <c r="P8" s="261">
        <f t="shared" si="6"/>
        <v>0.89784952072051294</v>
      </c>
      <c r="Q8" s="261">
        <f t="shared" si="7"/>
        <v>0.84645423128324815</v>
      </c>
      <c r="R8" s="260">
        <f t="shared" si="4"/>
        <v>0.9181673180648624</v>
      </c>
      <c r="S8" s="5"/>
      <c r="Y8" s="6"/>
      <c r="Z8" s="6"/>
      <c r="AA8" s="6"/>
    </row>
    <row r="9" spans="1:27" ht="15.75" x14ac:dyDescent="0.25">
      <c r="A9" s="262">
        <v>35</v>
      </c>
      <c r="B9" s="211" t="s">
        <v>127</v>
      </c>
      <c r="C9" s="214">
        <f>Määräytymistekijät!C8</f>
        <v>199330</v>
      </c>
      <c r="D9" s="457">
        <v>0.58859411593104249</v>
      </c>
      <c r="E9" s="457">
        <v>0.19745668830747204</v>
      </c>
      <c r="F9" s="457">
        <v>0.21394919576148561</v>
      </c>
      <c r="G9" s="458">
        <v>0.89680206775665283</v>
      </c>
      <c r="H9" s="458">
        <v>0.70962774753570557</v>
      </c>
      <c r="I9" s="458">
        <v>0.83766031265258789</v>
      </c>
      <c r="J9" s="434">
        <v>0.86331729999999995</v>
      </c>
      <c r="K9" s="260">
        <f t="shared" si="0"/>
        <v>3.2480099832753892E-2</v>
      </c>
      <c r="L9" s="260">
        <f t="shared" si="1"/>
        <v>2.5701078211949748E-2</v>
      </c>
      <c r="M9" s="260">
        <f t="shared" si="2"/>
        <v>3.0338122043976588E-2</v>
      </c>
      <c r="N9" s="260">
        <f t="shared" si="3"/>
        <v>3.1267358873833868E-2</v>
      </c>
      <c r="O9" s="261">
        <f t="shared" si="5"/>
        <v>0.89686518973159446</v>
      </c>
      <c r="P9" s="261">
        <f t="shared" si="6"/>
        <v>0.7096467964605937</v>
      </c>
      <c r="Q9" s="261">
        <f t="shared" si="7"/>
        <v>0.83775437381055973</v>
      </c>
      <c r="R9" s="260">
        <f t="shared" si="4"/>
        <v>0.86423108895421885</v>
      </c>
      <c r="S9" s="5"/>
      <c r="Y9" s="6"/>
      <c r="Z9" s="6"/>
      <c r="AA9" s="6"/>
    </row>
    <row r="10" spans="1:27" ht="15.75" x14ac:dyDescent="0.25">
      <c r="A10" s="237">
        <v>2</v>
      </c>
      <c r="B10" s="237" t="s">
        <v>126</v>
      </c>
      <c r="C10" s="214">
        <f>Määräytymistekijät!C9</f>
        <v>481403</v>
      </c>
      <c r="D10" s="457">
        <v>0.58859411593104249</v>
      </c>
      <c r="E10" s="457">
        <v>0.19745668830747204</v>
      </c>
      <c r="F10" s="457">
        <v>0.21394919576148561</v>
      </c>
      <c r="G10" s="458">
        <v>1.0141532421112061</v>
      </c>
      <c r="H10" s="458">
        <v>1.0710905790328979</v>
      </c>
      <c r="I10" s="458">
        <v>1.0085439682006836</v>
      </c>
      <c r="J10" s="260">
        <v>1.0354410000000001</v>
      </c>
      <c r="K10" s="260">
        <f t="shared" si="0"/>
        <v>8.8707525243557919E-2</v>
      </c>
      <c r="L10" s="260">
        <f t="shared" si="1"/>
        <v>9.368780834334621E-2</v>
      </c>
      <c r="M10" s="260">
        <f t="shared" si="2"/>
        <v>8.821688459246671E-2</v>
      </c>
      <c r="N10" s="260">
        <f t="shared" si="3"/>
        <v>9.0569555794648815E-2</v>
      </c>
      <c r="O10" s="261">
        <f t="shared" si="5"/>
        <v>1.014224623922017</v>
      </c>
      <c r="P10" s="261">
        <f t="shared" si="6"/>
        <v>1.071119330901831</v>
      </c>
      <c r="Q10" s="261">
        <f t="shared" si="7"/>
        <v>1.0086572179417559</v>
      </c>
      <c r="R10" s="260">
        <f t="shared" si="4"/>
        <v>1.0365369754293647</v>
      </c>
      <c r="S10" s="5"/>
      <c r="Y10" s="6"/>
      <c r="Z10" s="6"/>
      <c r="AA10" s="6"/>
    </row>
    <row r="11" spans="1:27" ht="15.75" x14ac:dyDescent="0.25">
      <c r="A11" s="237">
        <v>4</v>
      </c>
      <c r="B11" s="237" t="s">
        <v>125</v>
      </c>
      <c r="C11" s="214">
        <f>Määräytymistekijät!C10</f>
        <v>215416</v>
      </c>
      <c r="D11" s="457">
        <v>0.58859411593104249</v>
      </c>
      <c r="E11" s="457">
        <v>0.19745668830747204</v>
      </c>
      <c r="F11" s="457">
        <v>0.21394919576148561</v>
      </c>
      <c r="G11" s="458">
        <v>1.060998797416687</v>
      </c>
      <c r="H11" s="458">
        <v>1.1739513874053955</v>
      </c>
      <c r="I11" s="458">
        <v>1.0987997055053711</v>
      </c>
      <c r="J11" s="260">
        <v>1.1071390000000001</v>
      </c>
      <c r="K11" s="260">
        <f t="shared" si="0"/>
        <v>4.1527992432734459E-2</v>
      </c>
      <c r="L11" s="260">
        <f t="shared" si="1"/>
        <v>4.5949009981227175E-2</v>
      </c>
      <c r="M11" s="260">
        <f t="shared" si="2"/>
        <v>4.3007537771409199E-2</v>
      </c>
      <c r="N11" s="260">
        <f t="shared" si="3"/>
        <v>4.3333941683940017E-2</v>
      </c>
      <c r="O11" s="261">
        <f t="shared" si="5"/>
        <v>1.0610734764812337</v>
      </c>
      <c r="P11" s="261">
        <f t="shared" si="6"/>
        <v>1.1739829004231412</v>
      </c>
      <c r="Q11" s="261">
        <f t="shared" si="7"/>
        <v>1.0989230900935123</v>
      </c>
      <c r="R11" s="260">
        <f t="shared" si="4"/>
        <v>1.1083108650709133</v>
      </c>
      <c r="S11" s="5"/>
      <c r="Y11" s="6"/>
      <c r="Z11" s="6"/>
      <c r="AA11" s="6"/>
    </row>
    <row r="12" spans="1:27" ht="15.75" x14ac:dyDescent="0.25">
      <c r="A12" s="237">
        <v>5</v>
      </c>
      <c r="B12" s="237" t="s">
        <v>124</v>
      </c>
      <c r="C12" s="214">
        <f>Määräytymistekijät!C11</f>
        <v>170577</v>
      </c>
      <c r="D12" s="457">
        <v>0.58859411593104249</v>
      </c>
      <c r="E12" s="457">
        <v>0.19745668830747204</v>
      </c>
      <c r="F12" s="457">
        <v>0.21394919576148561</v>
      </c>
      <c r="G12" s="458">
        <v>1.0506315231323242</v>
      </c>
      <c r="H12" s="458">
        <v>1.1156589984893799</v>
      </c>
      <c r="I12" s="458">
        <v>1.0130890607833862</v>
      </c>
      <c r="J12" s="260">
        <v>1.06454</v>
      </c>
      <c r="K12" s="260">
        <f t="shared" si="0"/>
        <v>3.2562593450716187E-2</v>
      </c>
      <c r="L12" s="260">
        <f t="shared" si="1"/>
        <v>3.4578012935623063E-2</v>
      </c>
      <c r="M12" s="260">
        <f t="shared" si="2"/>
        <v>3.1399026670459476E-2</v>
      </c>
      <c r="N12" s="260">
        <f t="shared" si="3"/>
        <v>3.2993663781073844E-2</v>
      </c>
      <c r="O12" s="261">
        <f t="shared" si="5"/>
        <v>1.0507054724897804</v>
      </c>
      <c r="P12" s="261">
        <f t="shared" si="6"/>
        <v>1.1156889467327185</v>
      </c>
      <c r="Q12" s="261">
        <f t="shared" si="7"/>
        <v>1.0132028208944319</v>
      </c>
      <c r="R12" s="260">
        <f t="shared" si="4"/>
        <v>1.0656667756285254</v>
      </c>
      <c r="S12" s="5"/>
      <c r="Y12" s="6"/>
      <c r="Z12" s="6"/>
      <c r="AA12" s="6"/>
    </row>
    <row r="13" spans="1:27" ht="15.75" x14ac:dyDescent="0.25">
      <c r="A13" s="237">
        <v>6</v>
      </c>
      <c r="B13" s="237" t="s">
        <v>123</v>
      </c>
      <c r="C13" s="214">
        <f>Määräytymistekijät!C12</f>
        <v>522852</v>
      </c>
      <c r="D13" s="457">
        <v>0.58859411593104249</v>
      </c>
      <c r="E13" s="457">
        <v>0.19745668830747204</v>
      </c>
      <c r="F13" s="457">
        <v>0.21394919576148561</v>
      </c>
      <c r="G13" s="458">
        <v>1.0129241943359375</v>
      </c>
      <c r="H13" s="458">
        <v>1.0040013790130615</v>
      </c>
      <c r="I13" s="458">
        <v>0.9530525803565979</v>
      </c>
      <c r="J13" s="260">
        <v>1.0014110000000001</v>
      </c>
      <c r="K13" s="260">
        <f t="shared" si="0"/>
        <v>9.6228519919990319E-2</v>
      </c>
      <c r="L13" s="260">
        <f t="shared" si="1"/>
        <v>9.5380846109017065E-2</v>
      </c>
      <c r="M13" s="260">
        <f t="shared" si="2"/>
        <v>9.0540673948229386E-2</v>
      </c>
      <c r="N13" s="260">
        <f t="shared" si="3"/>
        <v>9.5134758257771554E-2</v>
      </c>
      <c r="O13" s="261">
        <f t="shared" si="5"/>
        <v>1.0129954896394515</v>
      </c>
      <c r="P13" s="261">
        <f t="shared" si="6"/>
        <v>1.0040283299699861</v>
      </c>
      <c r="Q13" s="261">
        <f t="shared" si="7"/>
        <v>0.95315959895108338</v>
      </c>
      <c r="R13" s="260">
        <f t="shared" si="4"/>
        <v>1.0024709559518075</v>
      </c>
      <c r="S13" s="5"/>
      <c r="Y13" s="6"/>
      <c r="Z13" s="6"/>
      <c r="AA13" s="6"/>
    </row>
    <row r="14" spans="1:27" ht="15.75" x14ac:dyDescent="0.25">
      <c r="A14" s="237">
        <v>7</v>
      </c>
      <c r="B14" s="237" t="s">
        <v>122</v>
      </c>
      <c r="C14" s="214">
        <f>Määräytymistekijät!C13</f>
        <v>205771</v>
      </c>
      <c r="D14" s="457">
        <v>0.58859411593104249</v>
      </c>
      <c r="E14" s="457">
        <v>0.19745668830747204</v>
      </c>
      <c r="F14" s="457">
        <v>0.21394919576148561</v>
      </c>
      <c r="G14" s="458">
        <v>1.09209144115448</v>
      </c>
      <c r="H14" s="458">
        <v>1.1491204500198364</v>
      </c>
      <c r="I14" s="458">
        <v>1.0710512399673462</v>
      </c>
      <c r="J14" s="260">
        <v>1.1044240000000001</v>
      </c>
      <c r="K14" s="260">
        <f t="shared" si="0"/>
        <v>4.0831116859204798E-2</v>
      </c>
      <c r="L14" s="260">
        <f t="shared" si="1"/>
        <v>4.2963317550096039E-2</v>
      </c>
      <c r="M14" s="260">
        <f t="shared" si="2"/>
        <v>4.004446577758395E-2</v>
      </c>
      <c r="N14" s="260">
        <f t="shared" si="3"/>
        <v>4.1292206592553615E-2</v>
      </c>
      <c r="O14" s="261">
        <f t="shared" si="5"/>
        <v>1.0921683086942204</v>
      </c>
      <c r="P14" s="261">
        <f t="shared" si="6"/>
        <v>1.1491512964871791</v>
      </c>
      <c r="Q14" s="261">
        <f t="shared" si="7"/>
        <v>1.0711715086709683</v>
      </c>
      <c r="R14" s="260">
        <f t="shared" si="4"/>
        <v>1.1055929913453308</v>
      </c>
      <c r="S14" s="5"/>
      <c r="Y14" s="6"/>
      <c r="Z14" s="6"/>
      <c r="AA14" s="6"/>
    </row>
    <row r="15" spans="1:27" ht="15.75" x14ac:dyDescent="0.25">
      <c r="A15" s="237">
        <v>8</v>
      </c>
      <c r="B15" s="237" t="s">
        <v>121</v>
      </c>
      <c r="C15" s="214">
        <f>Määräytymistekijät!C14</f>
        <v>162812</v>
      </c>
      <c r="D15" s="457">
        <v>0.58859411593104249</v>
      </c>
      <c r="E15" s="457">
        <v>0.19745668830747204</v>
      </c>
      <c r="F15" s="457">
        <v>0.21394919576148561</v>
      </c>
      <c r="G15" s="458">
        <v>1.1206237077713013</v>
      </c>
      <c r="H15" s="458">
        <v>1.4041414260864258</v>
      </c>
      <c r="I15" s="458">
        <v>1.163646936416626</v>
      </c>
      <c r="J15" s="260">
        <v>1.1770069999999999</v>
      </c>
      <c r="K15" s="260">
        <f t="shared" si="0"/>
        <v>3.3150822272155621E-2</v>
      </c>
      <c r="L15" s="260">
        <f t="shared" si="1"/>
        <v>4.1537977947778637E-2</v>
      </c>
      <c r="M15" s="260">
        <f t="shared" si="2"/>
        <v>3.4423555836959469E-2</v>
      </c>
      <c r="N15" s="260">
        <f t="shared" si="3"/>
        <v>3.4818779577386987E-2</v>
      </c>
      <c r="O15" s="261">
        <f t="shared" si="5"/>
        <v>1.1207025835724889</v>
      </c>
      <c r="P15" s="261">
        <f t="shared" si="6"/>
        <v>1.4041791182210002</v>
      </c>
      <c r="Q15" s="261">
        <f t="shared" si="7"/>
        <v>1.1637776027221158</v>
      </c>
      <c r="R15" s="260">
        <f t="shared" si="4"/>
        <v>1.1782528177261573</v>
      </c>
      <c r="S15" s="5"/>
      <c r="Y15" s="6"/>
      <c r="Z15" s="6"/>
      <c r="AA15" s="6"/>
    </row>
    <row r="16" spans="1:27" ht="15.75" x14ac:dyDescent="0.25">
      <c r="A16" s="237">
        <v>9</v>
      </c>
      <c r="B16" s="237" t="s">
        <v>120</v>
      </c>
      <c r="C16" s="214">
        <f>Määräytymistekijät!C15</f>
        <v>126921</v>
      </c>
      <c r="D16" s="457">
        <v>0.58859411593104249</v>
      </c>
      <c r="E16" s="457">
        <v>0.19745668830747204</v>
      </c>
      <c r="F16" s="457">
        <v>0.21394919576148561</v>
      </c>
      <c r="G16" s="458">
        <v>1.0325093269348145</v>
      </c>
      <c r="H16" s="458">
        <v>1.2112513780593872</v>
      </c>
      <c r="I16" s="458">
        <v>1.0024454593658447</v>
      </c>
      <c r="J16" s="260">
        <v>1.104419</v>
      </c>
      <c r="K16" s="260">
        <f t="shared" si="0"/>
        <v>2.3810886035901462E-2</v>
      </c>
      <c r="L16" s="260">
        <f t="shared" si="1"/>
        <v>2.7932889099820682E-2</v>
      </c>
      <c r="M16" s="260">
        <f t="shared" si="2"/>
        <v>2.3117577698815259E-2</v>
      </c>
      <c r="N16" s="260">
        <f t="shared" si="3"/>
        <v>2.546920813098329E-2</v>
      </c>
      <c r="O16" s="261">
        <f t="shared" si="5"/>
        <v>1.0325820007501467</v>
      </c>
      <c r="P16" s="261">
        <f t="shared" si="6"/>
        <v>1.2112838923411375</v>
      </c>
      <c r="Q16" s="261">
        <f t="shared" si="7"/>
        <v>1.0025580243033108</v>
      </c>
      <c r="R16" s="260">
        <f t="shared" si="4"/>
        <v>1.1055879860530184</v>
      </c>
      <c r="S16" s="5"/>
      <c r="Y16" s="6"/>
      <c r="Z16" s="6"/>
      <c r="AA16" s="6"/>
    </row>
    <row r="17" spans="1:27" ht="15.75" x14ac:dyDescent="0.25">
      <c r="A17" s="237">
        <v>10</v>
      </c>
      <c r="B17" s="237" t="s">
        <v>119</v>
      </c>
      <c r="C17" s="214">
        <f>Määräytymistekijät!C16</f>
        <v>132702</v>
      </c>
      <c r="D17" s="457">
        <v>0.58859411593104249</v>
      </c>
      <c r="E17" s="457">
        <v>0.19745668830747204</v>
      </c>
      <c r="F17" s="457">
        <v>0.21394919576148561</v>
      </c>
      <c r="G17" s="458">
        <v>1.1395672559738159</v>
      </c>
      <c r="H17" s="458">
        <v>1.460631251335144</v>
      </c>
      <c r="I17" s="458">
        <v>1.2185262441635132</v>
      </c>
      <c r="J17" s="260">
        <v>1.2540739999999999</v>
      </c>
      <c r="K17" s="260">
        <f t="shared" si="0"/>
        <v>2.7476759846211056E-2</v>
      </c>
      <c r="L17" s="260">
        <f t="shared" si="1"/>
        <v>3.5218118023679551E-2</v>
      </c>
      <c r="M17" s="260">
        <f t="shared" si="2"/>
        <v>2.9380585306985771E-2</v>
      </c>
      <c r="N17" s="260">
        <f t="shared" si="3"/>
        <v>3.0237697640698995E-2</v>
      </c>
      <c r="O17" s="261">
        <f t="shared" si="5"/>
        <v>1.1396474651285025</v>
      </c>
      <c r="P17" s="261">
        <f t="shared" si="6"/>
        <v>1.4606704598569253</v>
      </c>
      <c r="Q17" s="261">
        <f t="shared" si="7"/>
        <v>1.2186630728849099</v>
      </c>
      <c r="R17" s="260">
        <f t="shared" si="4"/>
        <v>1.2554013902526604</v>
      </c>
      <c r="S17" s="5"/>
      <c r="Y17" s="6"/>
      <c r="Z17" s="6"/>
      <c r="AA17" s="6"/>
    </row>
    <row r="18" spans="1:27" ht="15.75" x14ac:dyDescent="0.25">
      <c r="A18" s="237">
        <v>11</v>
      </c>
      <c r="B18" s="237" t="s">
        <v>118</v>
      </c>
      <c r="C18" s="214">
        <f>Määräytymistekijät!C17</f>
        <v>248265</v>
      </c>
      <c r="D18" s="457">
        <v>0.58859411593104249</v>
      </c>
      <c r="E18" s="457">
        <v>0.19745668830747204</v>
      </c>
      <c r="F18" s="457">
        <v>0.21394919576148561</v>
      </c>
      <c r="G18" s="458">
        <v>1.1372956037521362</v>
      </c>
      <c r="H18" s="458">
        <v>1.2742010354995728</v>
      </c>
      <c r="I18" s="458">
        <v>1.204037070274353</v>
      </c>
      <c r="J18" s="260">
        <v>1.1662440000000001</v>
      </c>
      <c r="K18" s="260">
        <f t="shared" si="0"/>
        <v>5.1302312980139063E-2</v>
      </c>
      <c r="L18" s="260">
        <f t="shared" si="1"/>
        <v>5.7477985588927923E-2</v>
      </c>
      <c r="M18" s="260">
        <f t="shared" si="2"/>
        <v>5.4312956468938189E-2</v>
      </c>
      <c r="N18" s="260">
        <f t="shared" si="3"/>
        <v>5.2608147346931061E-2</v>
      </c>
      <c r="O18" s="261">
        <f t="shared" si="5"/>
        <v>1.1373756530151591</v>
      </c>
      <c r="P18" s="261">
        <f t="shared" si="6"/>
        <v>1.274235239573331</v>
      </c>
      <c r="Q18" s="261">
        <f t="shared" si="7"/>
        <v>1.2041722720015453</v>
      </c>
      <c r="R18" s="260">
        <f t="shared" si="4"/>
        <v>1.1674784254946868</v>
      </c>
      <c r="S18" s="5"/>
      <c r="Y18" s="6"/>
      <c r="Z18" s="6"/>
      <c r="AA18" s="6"/>
    </row>
    <row r="19" spans="1:27" ht="15.75" x14ac:dyDescent="0.25">
      <c r="A19" s="237">
        <v>12</v>
      </c>
      <c r="B19" s="237" t="s">
        <v>117</v>
      </c>
      <c r="C19" s="214">
        <f>Määräytymistekijät!C18</f>
        <v>163537</v>
      </c>
      <c r="D19" s="457">
        <v>0.58859411593104249</v>
      </c>
      <c r="E19" s="457">
        <v>0.19745668830747204</v>
      </c>
      <c r="F19" s="457">
        <v>0.21394919576148561</v>
      </c>
      <c r="G19" s="458">
        <v>1.1881963014602661</v>
      </c>
      <c r="H19" s="458">
        <v>1.3356723785400391</v>
      </c>
      <c r="I19" s="458">
        <v>1.2673050165176392</v>
      </c>
      <c r="J19" s="260">
        <v>1.2116450000000001</v>
      </c>
      <c r="K19" s="260">
        <f t="shared" si="0"/>
        <v>3.5306308406891758E-2</v>
      </c>
      <c r="L19" s="260">
        <f t="shared" si="1"/>
        <v>3.9688442784534511E-2</v>
      </c>
      <c r="M19" s="260">
        <f t="shared" si="2"/>
        <v>3.7656960978403688E-2</v>
      </c>
      <c r="N19" s="260">
        <f t="shared" si="3"/>
        <v>3.6003067840805689E-2</v>
      </c>
      <c r="O19" s="261">
        <f t="shared" si="5"/>
        <v>1.1882799334007612</v>
      </c>
      <c r="P19" s="261">
        <f t="shared" si="6"/>
        <v>1.3357082327226049</v>
      </c>
      <c r="Q19" s="261">
        <f t="shared" si="7"/>
        <v>1.2674473226237739</v>
      </c>
      <c r="R19" s="260">
        <f t="shared" si="4"/>
        <v>1.2129274807488912</v>
      </c>
      <c r="S19" s="5"/>
      <c r="Y19" s="6"/>
      <c r="Z19" s="6"/>
      <c r="AA19" s="6"/>
    </row>
    <row r="20" spans="1:27" ht="15.75" x14ac:dyDescent="0.25">
      <c r="A20" s="237">
        <v>13</v>
      </c>
      <c r="B20" s="237" t="s">
        <v>116</v>
      </c>
      <c r="C20" s="214">
        <f>Määräytymistekijät!C19</f>
        <v>272617</v>
      </c>
      <c r="D20" s="457">
        <v>0.58859411593104249</v>
      </c>
      <c r="E20" s="457">
        <v>0.19745668830747204</v>
      </c>
      <c r="F20" s="457">
        <v>0.21394919576148561</v>
      </c>
      <c r="G20" s="458">
        <v>0.99568945169448853</v>
      </c>
      <c r="H20" s="458">
        <v>1.033082127571106</v>
      </c>
      <c r="I20" s="458">
        <v>1.0470892190933228</v>
      </c>
      <c r="J20" s="260">
        <v>1.048767</v>
      </c>
      <c r="K20" s="260">
        <f t="shared" si="0"/>
        <v>4.9320211272453472E-2</v>
      </c>
      <c r="L20" s="260">
        <f t="shared" si="1"/>
        <v>5.1172409938552245E-2</v>
      </c>
      <c r="M20" s="260">
        <f t="shared" si="2"/>
        <v>5.1866233411335498E-2</v>
      </c>
      <c r="N20" s="260">
        <f t="shared" si="3"/>
        <v>5.1949340155758056E-2</v>
      </c>
      <c r="O20" s="261">
        <f t="shared" si="5"/>
        <v>0.99575953391985261</v>
      </c>
      <c r="P20" s="261">
        <f t="shared" si="6"/>
        <v>1.0331098591584342</v>
      </c>
      <c r="Q20" s="261">
        <f t="shared" si="7"/>
        <v>1.0472067970935695</v>
      </c>
      <c r="R20" s="260">
        <f t="shared" si="4"/>
        <v>1.0498770805001236</v>
      </c>
      <c r="S20" s="5"/>
      <c r="Y20" s="6"/>
      <c r="Z20" s="6"/>
      <c r="AA20" s="6"/>
    </row>
    <row r="21" spans="1:27" ht="15.75" x14ac:dyDescent="0.25">
      <c r="A21" s="237">
        <v>14</v>
      </c>
      <c r="B21" s="237" t="s">
        <v>132</v>
      </c>
      <c r="C21" s="214">
        <f>Määräytymistekijät!C20</f>
        <v>192150</v>
      </c>
      <c r="D21" s="457">
        <v>0.58859411593104249</v>
      </c>
      <c r="E21" s="457">
        <v>0.19745668830747204</v>
      </c>
      <c r="F21" s="457">
        <v>0.21394919576148561</v>
      </c>
      <c r="G21" s="458">
        <v>1.100530743598938</v>
      </c>
      <c r="H21" s="458">
        <v>1.3041254281997681</v>
      </c>
      <c r="I21" s="458">
        <v>1.1012434959411621</v>
      </c>
      <c r="J21" s="260">
        <v>1.1380440000000001</v>
      </c>
      <c r="K21" s="260">
        <f t="shared" si="0"/>
        <v>3.8422945583621373E-2</v>
      </c>
      <c r="L21" s="260">
        <f t="shared" si="1"/>
        <v>4.5531068217206837E-2</v>
      </c>
      <c r="M21" s="260">
        <f t="shared" si="2"/>
        <v>3.844782998109883E-2</v>
      </c>
      <c r="N21" s="260">
        <f t="shared" si="3"/>
        <v>3.9732649849264057E-2</v>
      </c>
      <c r="O21" s="261">
        <f t="shared" si="5"/>
        <v>1.1006082051442638</v>
      </c>
      <c r="P21" s="261">
        <f t="shared" si="6"/>
        <v>1.30416043555033</v>
      </c>
      <c r="Q21" s="261">
        <f t="shared" si="7"/>
        <v>1.1013671549433526</v>
      </c>
      <c r="R21" s="260">
        <f t="shared" si="4"/>
        <v>1.1392485768532787</v>
      </c>
      <c r="S21" s="5"/>
      <c r="Y21" s="6"/>
      <c r="Z21" s="6"/>
      <c r="AA21" s="6"/>
    </row>
    <row r="22" spans="1:27" ht="15.75" x14ac:dyDescent="0.25">
      <c r="A22" s="237">
        <v>15</v>
      </c>
      <c r="B22" s="237" t="s">
        <v>114</v>
      </c>
      <c r="C22" s="214">
        <f>Määräytymistekijät!C21</f>
        <v>175816</v>
      </c>
      <c r="D22" s="457">
        <v>0.58859411593104249</v>
      </c>
      <c r="E22" s="457">
        <v>0.19745668830747204</v>
      </c>
      <c r="F22" s="457">
        <v>0.21394919576148561</v>
      </c>
      <c r="G22" s="458">
        <v>0.97623574733734131</v>
      </c>
      <c r="H22" s="458">
        <v>1.006226658821106</v>
      </c>
      <c r="I22" s="458">
        <v>0.86761176586151123</v>
      </c>
      <c r="J22" s="260">
        <v>0.93133080000000001</v>
      </c>
      <c r="K22" s="260">
        <f t="shared" si="0"/>
        <v>3.1186108772966879E-2</v>
      </c>
      <c r="L22" s="260">
        <f t="shared" si="1"/>
        <v>3.2144176360928201E-2</v>
      </c>
      <c r="M22" s="260">
        <f t="shared" si="2"/>
        <v>2.7716086997081842E-2</v>
      </c>
      <c r="N22" s="260">
        <f t="shared" si="3"/>
        <v>2.9751608370859845E-2</v>
      </c>
      <c r="O22" s="261">
        <f t="shared" si="5"/>
        <v>0.97630446030154605</v>
      </c>
      <c r="P22" s="261">
        <f t="shared" si="6"/>
        <v>1.0062536695124309</v>
      </c>
      <c r="Q22" s="261">
        <f t="shared" si="7"/>
        <v>0.8677091902782279</v>
      </c>
      <c r="R22" s="260">
        <f t="shared" si="4"/>
        <v>0.93231657869082885</v>
      </c>
      <c r="S22" s="5"/>
      <c r="Y22" s="6"/>
      <c r="Z22" s="6"/>
      <c r="AA22" s="6"/>
    </row>
    <row r="23" spans="1:27" ht="15.75" x14ac:dyDescent="0.25">
      <c r="A23" s="237">
        <v>16</v>
      </c>
      <c r="B23" s="237" t="s">
        <v>113</v>
      </c>
      <c r="C23" s="214">
        <f>Määräytymistekijät!C22</f>
        <v>67988</v>
      </c>
      <c r="D23" s="457">
        <v>0.58859411593104249</v>
      </c>
      <c r="E23" s="457">
        <v>0.19745668830747204</v>
      </c>
      <c r="F23" s="457">
        <v>0.21394919576148561</v>
      </c>
      <c r="G23" s="458">
        <v>1.1328339576721191</v>
      </c>
      <c r="H23" s="458">
        <v>1.2336158752441406</v>
      </c>
      <c r="I23" s="458">
        <v>1.1615654230117798</v>
      </c>
      <c r="J23" s="260">
        <v>1.094922</v>
      </c>
      <c r="K23" s="260">
        <f t="shared" si="0"/>
        <v>1.3994152825138315E-2</v>
      </c>
      <c r="L23" s="260">
        <f t="shared" si="1"/>
        <v>1.5239134534030172E-2</v>
      </c>
      <c r="M23" s="260">
        <f t="shared" si="2"/>
        <v>1.4349079082539358E-2</v>
      </c>
      <c r="N23" s="260">
        <f t="shared" si="3"/>
        <v>1.3525817879870573E-2</v>
      </c>
      <c r="O23" s="261">
        <f t="shared" si="5"/>
        <v>1.1329136928993897</v>
      </c>
      <c r="P23" s="261">
        <f t="shared" si="6"/>
        <v>1.2336489898682936</v>
      </c>
      <c r="Q23" s="261">
        <f t="shared" si="7"/>
        <v>1.16169585558343</v>
      </c>
      <c r="R23" s="260">
        <f t="shared" si="4"/>
        <v>1.0960809338350237</v>
      </c>
      <c r="S23" s="5"/>
      <c r="Y23" s="6"/>
      <c r="Z23" s="6"/>
      <c r="AA23" s="6"/>
    </row>
    <row r="24" spans="1:27" ht="15.75" x14ac:dyDescent="0.25">
      <c r="A24" s="237">
        <v>17</v>
      </c>
      <c r="B24" s="237" t="s">
        <v>112</v>
      </c>
      <c r="C24" s="214">
        <f>Määräytymistekijät!C23</f>
        <v>413830</v>
      </c>
      <c r="D24" s="457">
        <v>0.58859411593104249</v>
      </c>
      <c r="E24" s="457">
        <v>0.19745668830747204</v>
      </c>
      <c r="F24" s="457">
        <v>0.21394919576148561</v>
      </c>
      <c r="G24" s="458">
        <v>0.9932323694229126</v>
      </c>
      <c r="H24" s="458">
        <v>0.99195027351379395</v>
      </c>
      <c r="I24" s="458">
        <v>1.1638897657394409</v>
      </c>
      <c r="J24" s="260">
        <v>1.0149619999999999</v>
      </c>
      <c r="K24" s="260">
        <f t="shared" si="0"/>
        <v>7.4682856990958002E-2</v>
      </c>
      <c r="L24" s="260">
        <f t="shared" si="1"/>
        <v>7.4586453985601833E-2</v>
      </c>
      <c r="M24" s="260">
        <f t="shared" si="2"/>
        <v>8.7514881314693774E-2</v>
      </c>
      <c r="N24" s="260">
        <f t="shared" si="3"/>
        <v>7.6316745437221445E-2</v>
      </c>
      <c r="O24" s="261">
        <f t="shared" si="5"/>
        <v>0.99330227870500287</v>
      </c>
      <c r="P24" s="261">
        <f t="shared" si="6"/>
        <v>0.99197690097631708</v>
      </c>
      <c r="Q24" s="261">
        <f t="shared" si="7"/>
        <v>1.1640204593123169</v>
      </c>
      <c r="R24" s="260">
        <f t="shared" si="4"/>
        <v>1.0160362991766201</v>
      </c>
      <c r="S24" s="5"/>
      <c r="Y24" s="6"/>
      <c r="Z24" s="6"/>
      <c r="AA24" s="6"/>
    </row>
    <row r="25" spans="1:27" ht="15.75" x14ac:dyDescent="0.25">
      <c r="A25" s="237">
        <v>18</v>
      </c>
      <c r="B25" s="237" t="s">
        <v>111</v>
      </c>
      <c r="C25" s="214">
        <f>Määräytymistekijät!C24</f>
        <v>71664</v>
      </c>
      <c r="D25" s="457">
        <v>0.58859411593104249</v>
      </c>
      <c r="E25" s="457">
        <v>0.19745668830747204</v>
      </c>
      <c r="F25" s="457">
        <v>0.21394919576148561</v>
      </c>
      <c r="G25" s="458">
        <v>1.1413788795471191</v>
      </c>
      <c r="H25" s="458">
        <v>1.4020161628723145</v>
      </c>
      <c r="I25" s="458">
        <v>1.2823332548141479</v>
      </c>
      <c r="J25" s="260">
        <v>1.235331</v>
      </c>
      <c r="K25" s="260">
        <f t="shared" si="0"/>
        <v>1.4862058443950202E-2</v>
      </c>
      <c r="L25" s="260">
        <f t="shared" si="1"/>
        <v>1.8255853972204979E-2</v>
      </c>
      <c r="M25" s="260">
        <f t="shared" si="2"/>
        <v>1.6697445624042656E-2</v>
      </c>
      <c r="N25" s="260">
        <f t="shared" si="3"/>
        <v>1.6085422508350797E-2</v>
      </c>
      <c r="O25" s="261">
        <f t="shared" si="5"/>
        <v>1.1414592162140649</v>
      </c>
      <c r="P25" s="261">
        <f t="shared" si="6"/>
        <v>1.4020537979572885</v>
      </c>
      <c r="Q25" s="261">
        <f t="shared" si="7"/>
        <v>1.2824772484462106</v>
      </c>
      <c r="R25" s="260">
        <f t="shared" si="4"/>
        <v>1.2366385514907487</v>
      </c>
      <c r="S25" s="5"/>
      <c r="Y25" s="6"/>
      <c r="Z25" s="6"/>
      <c r="AA25" s="6"/>
    </row>
    <row r="26" spans="1:27" ht="15.75" x14ac:dyDescent="0.25">
      <c r="A26" s="237">
        <v>19</v>
      </c>
      <c r="B26" s="237" t="s">
        <v>110</v>
      </c>
      <c r="C26" s="214">
        <f>Määräytymistekijät!C25</f>
        <v>176665</v>
      </c>
      <c r="D26" s="457">
        <v>0.58859411593104249</v>
      </c>
      <c r="E26" s="457">
        <v>0.19745668830747204</v>
      </c>
      <c r="F26" s="457">
        <v>0.21394919576148561</v>
      </c>
      <c r="G26" s="459">
        <v>1.0933737754821777</v>
      </c>
      <c r="H26" s="459">
        <v>1.208344578742981</v>
      </c>
      <c r="I26" s="459">
        <v>1.3085380792617798</v>
      </c>
      <c r="J26" s="260">
        <v>1.1636169999999999</v>
      </c>
      <c r="K26" s="260">
        <f t="shared" si="0"/>
        <v>3.5096778808727955E-2</v>
      </c>
      <c r="L26" s="260">
        <f t="shared" si="1"/>
        <v>3.8787286978934167E-2</v>
      </c>
      <c r="M26" s="260">
        <f t="shared" si="2"/>
        <v>4.2003450750769368E-2</v>
      </c>
      <c r="N26" s="260">
        <f t="shared" si="3"/>
        <v>3.7351552948181425E-2</v>
      </c>
      <c r="O26" s="261">
        <f t="shared" si="5"/>
        <v>1.0934507332798225</v>
      </c>
      <c r="P26" s="261">
        <f t="shared" si="6"/>
        <v>1.208377014995931</v>
      </c>
      <c r="Q26" s="261">
        <f t="shared" si="7"/>
        <v>1.3086850154423848</v>
      </c>
      <c r="R26" s="260">
        <f t="shared" si="4"/>
        <v>1.1648486449138009</v>
      </c>
      <c r="S26" s="5"/>
      <c r="Y26" s="6"/>
      <c r="Z26" s="6"/>
      <c r="AA26" s="6"/>
    </row>
    <row r="27" spans="1:27" ht="15.75" x14ac:dyDescent="0.25">
      <c r="A27" s="264" t="s">
        <v>109</v>
      </c>
      <c r="B27" s="264"/>
      <c r="C27" s="217">
        <f>SUM(C5:C26)</f>
        <v>5503664</v>
      </c>
      <c r="D27" s="265"/>
      <c r="E27" s="265"/>
      <c r="F27" s="265"/>
      <c r="G27" s="263"/>
      <c r="H27" s="263"/>
      <c r="I27" s="263"/>
      <c r="J27" s="263"/>
      <c r="K27" s="443">
        <f>SUM(K5:K26)</f>
        <v>0.99992961932778268</v>
      </c>
      <c r="L27" s="443">
        <f>SUM(L5:L26)</f>
        <v>0.99997315717483248</v>
      </c>
      <c r="M27" s="443">
        <f>SUM(M5:M26)</f>
        <v>0.99988772227169165</v>
      </c>
      <c r="N27" s="261">
        <f>SUM(N5:N26)</f>
        <v>0.99894265669692039</v>
      </c>
      <c r="O27" s="263"/>
      <c r="P27" s="263"/>
      <c r="Q27" s="263"/>
      <c r="R27" s="260">
        <f t="shared" si="4"/>
        <v>0</v>
      </c>
      <c r="S27" s="5"/>
    </row>
    <row r="28" spans="1:27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FK79"/>
  <sheetViews>
    <sheetView zoomScale="70" zoomScaleNormal="70" workbookViewId="0">
      <pane xSplit="1" ySplit="4" topLeftCell="B50" activePane="bottomRight" state="frozen"/>
      <selection pane="topRight" activeCell="B1" sqref="B1"/>
      <selection pane="bottomLeft" activeCell="A5" sqref="A5"/>
      <selection pane="bottomRight"/>
    </sheetView>
  </sheetViews>
  <sheetFormatPr defaultColWidth="8.25" defaultRowHeight="15.75" x14ac:dyDescent="0.25"/>
  <cols>
    <col min="1" max="1" width="45.75" style="197" customWidth="1"/>
    <col min="2" max="2" width="29.625" style="197" customWidth="1"/>
    <col min="3" max="3" width="18.25" style="197" customWidth="1"/>
    <col min="4" max="4" width="29.25" style="197" bestFit="1" customWidth="1"/>
    <col min="5" max="5" width="27.625" style="197" customWidth="1"/>
    <col min="6" max="6" width="30.75" style="197" bestFit="1" customWidth="1"/>
    <col min="7" max="7" width="21.5" style="197" customWidth="1"/>
    <col min="8" max="8" width="47.875" style="197" bestFit="1" customWidth="1"/>
    <col min="9" max="9" width="24" style="197" customWidth="1"/>
    <col min="10" max="10" width="20.25" style="197" customWidth="1"/>
    <col min="11" max="11" width="46.5" style="197" bestFit="1" customWidth="1"/>
    <col min="12" max="12" width="22.375" style="197" customWidth="1"/>
    <col min="13" max="13" width="13.5" style="197" customWidth="1"/>
    <col min="14" max="14" width="25.25" style="197" customWidth="1"/>
    <col min="15" max="15" width="24.375" style="197" bestFit="1" customWidth="1"/>
    <col min="16" max="16" width="27.125" style="197" bestFit="1" customWidth="1"/>
    <col min="17" max="17" width="19" style="197" customWidth="1"/>
    <col min="18" max="18" width="34.5" style="197" bestFit="1" customWidth="1"/>
    <col min="19" max="19" width="16.75" style="197" customWidth="1"/>
    <col min="20" max="20" width="22.375" style="197" bestFit="1" customWidth="1"/>
    <col min="21" max="21" width="26.375" style="197" bestFit="1" customWidth="1"/>
    <col min="22" max="22" width="14.5" style="197" customWidth="1"/>
    <col min="23" max="23" width="9.625" style="197" customWidth="1"/>
    <col min="24" max="24" width="11.75" style="197" customWidth="1"/>
    <col min="25" max="25" width="13" style="197" customWidth="1"/>
    <col min="26" max="26" width="19.375" style="197" customWidth="1"/>
    <col min="27" max="27" width="29.25" style="197" bestFit="1" customWidth="1"/>
    <col min="28" max="28" width="17.75" style="197" customWidth="1"/>
    <col min="29" max="29" width="17.875" style="197" customWidth="1"/>
    <col min="30" max="30" width="14.5" style="197" customWidth="1"/>
    <col min="31" max="31" width="15.75" style="197" customWidth="1"/>
    <col min="32" max="32" width="14.625" style="197" customWidth="1"/>
    <col min="33" max="33" width="22.625" style="197" customWidth="1"/>
    <col min="34" max="34" width="27.5" style="197" bestFit="1" customWidth="1"/>
    <col min="35" max="35" width="15.125" style="197" customWidth="1"/>
    <col min="36" max="36" width="19.25" style="197" customWidth="1"/>
    <col min="37" max="37" width="30.875" style="197" bestFit="1" customWidth="1"/>
    <col min="38" max="38" width="19.75" style="197" customWidth="1"/>
    <col min="39" max="39" width="16.125" style="197" customWidth="1"/>
    <col min="40" max="40" width="16.375" style="197" customWidth="1"/>
    <col min="41" max="41" width="13" style="197" customWidth="1"/>
    <col min="42" max="42" width="19.875" style="197" customWidth="1"/>
    <col min="43" max="43" width="21" style="197" customWidth="1"/>
    <col min="44" max="44" width="14.375" style="197" customWidth="1"/>
    <col min="45" max="45" width="20.625" style="197" customWidth="1"/>
    <col min="46" max="46" width="11.625" style="197" customWidth="1"/>
    <col min="47" max="47" width="24.5" style="197" bestFit="1" customWidth="1"/>
    <col min="48" max="48" width="10.5" style="197" customWidth="1"/>
    <col min="49" max="49" width="12.875" style="197" customWidth="1"/>
    <col min="50" max="50" width="10.375" style="197" customWidth="1"/>
    <col min="51" max="51" width="13.625" style="197" customWidth="1"/>
    <col min="52" max="52" width="14.375" style="197" customWidth="1"/>
    <col min="53" max="53" width="15.875" style="197" customWidth="1"/>
    <col min="54" max="54" width="12.75" style="197" customWidth="1"/>
    <col min="55" max="55" width="19.125" style="197" customWidth="1"/>
    <col min="56" max="56" width="17.125" style="197" customWidth="1"/>
    <col min="57" max="57" width="43.25" style="197" bestFit="1" customWidth="1"/>
    <col min="58" max="58" width="30.125" style="197" bestFit="1" customWidth="1"/>
    <col min="59" max="59" width="11.625" style="197" customWidth="1"/>
    <col min="60" max="60" width="29.25" style="197" bestFit="1" customWidth="1"/>
    <col min="61" max="61" width="27.875" style="197" bestFit="1" customWidth="1"/>
    <col min="62" max="62" width="30.75" style="197" bestFit="1" customWidth="1"/>
    <col min="63" max="63" width="21.5" style="197" customWidth="1"/>
    <col min="64" max="64" width="47.875" style="197" bestFit="1" customWidth="1"/>
    <col min="65" max="65" width="24" style="197" customWidth="1"/>
    <col min="66" max="66" width="20.25" style="197" customWidth="1"/>
    <col min="67" max="67" width="46.5" style="197" bestFit="1" customWidth="1"/>
    <col min="68" max="68" width="22.375" style="197" customWidth="1"/>
    <col min="69" max="69" width="14.5" style="197" customWidth="1"/>
    <col min="70" max="70" width="25.25" style="197" customWidth="1"/>
    <col min="71" max="71" width="24.375" style="197" bestFit="1" customWidth="1"/>
    <col min="72" max="72" width="27.125" style="197" bestFit="1" customWidth="1"/>
    <col min="73" max="73" width="19" style="197" customWidth="1"/>
    <col min="74" max="74" width="34.5" style="197" bestFit="1" customWidth="1"/>
    <col min="75" max="75" width="16.75" style="197" customWidth="1"/>
    <col min="76" max="76" width="22.375" style="197" bestFit="1" customWidth="1"/>
    <col min="77" max="77" width="26.375" style="197" bestFit="1" customWidth="1"/>
    <col min="78" max="78" width="14.5" style="197" customWidth="1"/>
    <col min="79" max="79" width="9.625" style="197" customWidth="1"/>
    <col min="80" max="80" width="11.75" style="197" customWidth="1"/>
    <col min="81" max="81" width="13" style="197" customWidth="1"/>
    <col min="82" max="82" width="19.375" style="197" customWidth="1"/>
    <col min="83" max="83" width="29.25" style="197" bestFit="1" customWidth="1"/>
    <col min="84" max="84" width="17.75" style="197" customWidth="1"/>
    <col min="85" max="85" width="17.875" style="197" customWidth="1"/>
    <col min="86" max="86" width="14.5" style="197" customWidth="1"/>
    <col min="87" max="87" width="15.75" style="197" customWidth="1"/>
    <col min="88" max="88" width="14.625" style="197" customWidth="1"/>
    <col min="89" max="89" width="22.625" style="197" customWidth="1"/>
    <col min="90" max="90" width="27.5" style="197" bestFit="1" customWidth="1"/>
    <col min="91" max="91" width="15.125" style="197" customWidth="1"/>
    <col min="92" max="92" width="19.25" style="197" customWidth="1"/>
    <col min="93" max="93" width="30.875" style="197" bestFit="1" customWidth="1"/>
    <col min="94" max="94" width="19.75" style="197" customWidth="1"/>
    <col min="95" max="95" width="16.125" style="197" customWidth="1"/>
    <col min="96" max="96" width="16.375" style="197" customWidth="1"/>
    <col min="97" max="97" width="13" style="197" customWidth="1"/>
    <col min="98" max="98" width="19.875" style="197" customWidth="1"/>
    <col min="99" max="99" width="21" style="197" customWidth="1"/>
    <col min="100" max="100" width="14.375" style="197" customWidth="1"/>
    <col min="101" max="101" width="20.625" style="197" customWidth="1"/>
    <col min="102" max="102" width="11.625" style="197" customWidth="1"/>
    <col min="103" max="103" width="24.5" style="197" bestFit="1" customWidth="1"/>
    <col min="104" max="104" width="10.5" style="197" customWidth="1"/>
    <col min="105" max="105" width="12.875" style="197" customWidth="1"/>
    <col min="106" max="106" width="10.375" style="197" customWidth="1"/>
    <col min="107" max="107" width="13.625" style="197" customWidth="1"/>
    <col min="108" max="108" width="14.375" style="197" customWidth="1"/>
    <col min="109" max="109" width="15.875" style="197" customWidth="1"/>
    <col min="110" max="110" width="12.75" style="197" customWidth="1"/>
    <col min="111" max="112" width="19.125" style="197" customWidth="1"/>
    <col min="113" max="113" width="43.25" style="197" bestFit="1" customWidth="1"/>
    <col min="114" max="114" width="30.125" style="197" bestFit="1" customWidth="1"/>
    <col min="115" max="115" width="11.625" style="197" customWidth="1"/>
    <col min="116" max="116" width="29.25" style="197" bestFit="1" customWidth="1"/>
    <col min="117" max="117" width="27.875" style="197" bestFit="1" customWidth="1"/>
    <col min="118" max="118" width="30.75" style="197" bestFit="1" customWidth="1"/>
    <col min="119" max="119" width="21.5" style="197" customWidth="1"/>
    <col min="120" max="120" width="47.875" style="197" bestFit="1" customWidth="1"/>
    <col min="121" max="121" width="24" style="197" customWidth="1"/>
    <col min="122" max="122" width="20.25" style="197" customWidth="1"/>
    <col min="123" max="123" width="46.5" style="197" bestFit="1" customWidth="1"/>
    <col min="124" max="124" width="22.375" style="197" customWidth="1"/>
    <col min="125" max="125" width="9.5" style="197" customWidth="1"/>
    <col min="126" max="126" width="25.25" style="197" customWidth="1"/>
    <col min="127" max="127" width="24.375" style="197" bestFit="1" customWidth="1"/>
    <col min="128" max="128" width="27.125" style="197" bestFit="1" customWidth="1"/>
    <col min="129" max="129" width="19" style="197" customWidth="1"/>
    <col min="130" max="130" width="34.5" style="197" bestFit="1" customWidth="1"/>
    <col min="131" max="131" width="16.75" style="197" customWidth="1"/>
    <col min="132" max="132" width="22.375" style="197" bestFit="1" customWidth="1"/>
    <col min="133" max="133" width="26.375" style="197" bestFit="1" customWidth="1"/>
    <col min="134" max="134" width="14.5" style="197" customWidth="1"/>
    <col min="135" max="135" width="9.625" style="197" customWidth="1"/>
    <col min="136" max="136" width="11.75" style="197" customWidth="1"/>
    <col min="137" max="137" width="13" style="197" customWidth="1"/>
    <col min="138" max="138" width="19.375" style="197" customWidth="1"/>
    <col min="139" max="139" width="29.25" style="197" bestFit="1" customWidth="1"/>
    <col min="140" max="140" width="17.75" style="197" customWidth="1"/>
    <col min="141" max="141" width="17.875" style="197" customWidth="1"/>
    <col min="142" max="142" width="14.5" style="197" customWidth="1"/>
    <col min="143" max="143" width="15.75" style="197" customWidth="1"/>
    <col min="144" max="144" width="14.625" style="197" customWidth="1"/>
    <col min="145" max="145" width="22.625" style="197" customWidth="1"/>
    <col min="146" max="146" width="27.5" style="197" bestFit="1" customWidth="1"/>
    <col min="147" max="147" width="15.125" style="197" customWidth="1"/>
    <col min="148" max="148" width="19.25" style="197" customWidth="1"/>
    <col min="149" max="149" width="30.875" style="197" bestFit="1" customWidth="1"/>
    <col min="150" max="150" width="19.75" style="197" customWidth="1"/>
    <col min="151" max="151" width="16.125" style="197" customWidth="1"/>
    <col min="152" max="152" width="16.375" style="197" customWidth="1"/>
    <col min="153" max="153" width="13" style="197" customWidth="1"/>
    <col min="154" max="154" width="19.875" style="197" customWidth="1"/>
    <col min="155" max="155" width="21" style="197" customWidth="1"/>
    <col min="156" max="156" width="14.375" style="197" customWidth="1"/>
    <col min="157" max="157" width="20.625" style="197" customWidth="1"/>
    <col min="158" max="158" width="11.625" style="197" customWidth="1"/>
    <col min="159" max="159" width="24.5" style="197" bestFit="1" customWidth="1"/>
    <col min="160" max="160" width="10.5" style="197" customWidth="1"/>
    <col min="161" max="161" width="12.875" style="197" customWidth="1"/>
    <col min="162" max="162" width="10.375" style="197" customWidth="1"/>
    <col min="163" max="163" width="13.625" style="197" customWidth="1"/>
    <col min="164" max="164" width="14.375" style="197" customWidth="1"/>
    <col min="165" max="165" width="15.875" style="197" customWidth="1"/>
    <col min="166" max="166" width="12.75" style="197" customWidth="1"/>
    <col min="167" max="167" width="19.125" style="197" customWidth="1"/>
    <col min="168" max="16384" width="8.25" style="197"/>
  </cols>
  <sheetData>
    <row r="1" spans="1:167" ht="23.25" x14ac:dyDescent="0.35">
      <c r="A1" s="440" t="s">
        <v>653</v>
      </c>
    </row>
    <row r="2" spans="1:167" s="237" customFormat="1" x14ac:dyDescent="0.25">
      <c r="A2" s="435" t="s">
        <v>654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36"/>
      <c r="BE2" s="436" t="s">
        <v>655</v>
      </c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437" t="s">
        <v>656</v>
      </c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/>
      <c r="FE2" s="239"/>
      <c r="FF2" s="239"/>
      <c r="FG2" s="239"/>
      <c r="FH2" s="239"/>
      <c r="FI2" s="239"/>
      <c r="FJ2" s="239"/>
      <c r="FK2" s="239"/>
    </row>
    <row r="3" spans="1:167" s="237" customFormat="1" x14ac:dyDescent="0.25">
      <c r="B3" s="202"/>
      <c r="C3" s="202"/>
      <c r="D3" s="453" t="s">
        <v>657</v>
      </c>
      <c r="E3" s="453" t="s">
        <v>657</v>
      </c>
      <c r="F3" s="453" t="s">
        <v>657</v>
      </c>
      <c r="G3" s="240" t="s">
        <v>7</v>
      </c>
      <c r="H3" s="240" t="s">
        <v>7</v>
      </c>
      <c r="I3" s="240" t="s">
        <v>7</v>
      </c>
      <c r="J3" s="453" t="s">
        <v>657</v>
      </c>
      <c r="K3" s="453" t="s">
        <v>657</v>
      </c>
      <c r="L3" s="453" t="s">
        <v>657</v>
      </c>
      <c r="M3" s="240" t="s">
        <v>658</v>
      </c>
      <c r="N3" s="453" t="s">
        <v>657</v>
      </c>
      <c r="O3" s="453" t="s">
        <v>657</v>
      </c>
      <c r="P3" s="240" t="s">
        <v>8</v>
      </c>
      <c r="Q3" s="240" t="s">
        <v>8</v>
      </c>
      <c r="R3" s="240" t="s">
        <v>8</v>
      </c>
      <c r="S3" s="240" t="s">
        <v>8</v>
      </c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40" t="s">
        <v>7</v>
      </c>
      <c r="BL3" s="240" t="s">
        <v>7</v>
      </c>
      <c r="BM3" s="240" t="s">
        <v>7</v>
      </c>
      <c r="BN3" s="202"/>
      <c r="BO3" s="202"/>
      <c r="BP3" s="202"/>
      <c r="BQ3" s="240" t="s">
        <v>7</v>
      </c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02"/>
      <c r="CM3" s="202"/>
      <c r="CN3" s="202"/>
      <c r="CO3" s="202"/>
      <c r="CP3" s="202"/>
      <c r="CQ3" s="202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2"/>
      <c r="DC3" s="202"/>
      <c r="DD3" s="202"/>
      <c r="DE3" s="202"/>
      <c r="DF3" s="202"/>
      <c r="DG3" s="202"/>
      <c r="DH3" s="202"/>
    </row>
    <row r="4" spans="1:167" ht="31.5" x14ac:dyDescent="0.25">
      <c r="A4" s="241" t="s">
        <v>552</v>
      </c>
      <c r="B4" s="241" t="s">
        <v>108</v>
      </c>
      <c r="C4" s="241" t="s">
        <v>107</v>
      </c>
      <c r="D4" s="241" t="s">
        <v>106</v>
      </c>
      <c r="E4" s="241" t="s">
        <v>105</v>
      </c>
      <c r="F4" s="241" t="s">
        <v>104</v>
      </c>
      <c r="G4" s="241" t="s">
        <v>103</v>
      </c>
      <c r="H4" s="241" t="s">
        <v>102</v>
      </c>
      <c r="I4" s="241" t="s">
        <v>101</v>
      </c>
      <c r="J4" s="241" t="s">
        <v>100</v>
      </c>
      <c r="K4" s="241" t="s">
        <v>99</v>
      </c>
      <c r="L4" s="241" t="s">
        <v>98</v>
      </c>
      <c r="M4" s="241" t="s">
        <v>97</v>
      </c>
      <c r="N4" s="241" t="s">
        <v>96</v>
      </c>
      <c r="O4" s="241" t="s">
        <v>95</v>
      </c>
      <c r="P4" s="241" t="s">
        <v>94</v>
      </c>
      <c r="Q4" s="241" t="s">
        <v>93</v>
      </c>
      <c r="R4" s="241" t="s">
        <v>92</v>
      </c>
      <c r="S4" s="241" t="s">
        <v>91</v>
      </c>
      <c r="T4" s="241" t="s">
        <v>2</v>
      </c>
      <c r="U4" s="241" t="s">
        <v>1</v>
      </c>
      <c r="V4" s="241" t="s">
        <v>90</v>
      </c>
      <c r="W4" s="241" t="s">
        <v>89</v>
      </c>
      <c r="X4" s="241" t="s">
        <v>88</v>
      </c>
      <c r="Y4" s="241" t="s">
        <v>87</v>
      </c>
      <c r="Z4" s="241" t="s">
        <v>86</v>
      </c>
      <c r="AA4" s="241" t="s">
        <v>85</v>
      </c>
      <c r="AB4" s="241" t="s">
        <v>84</v>
      </c>
      <c r="AC4" s="241" t="s">
        <v>83</v>
      </c>
      <c r="AD4" s="241" t="s">
        <v>82</v>
      </c>
      <c r="AE4" s="241" t="s">
        <v>81</v>
      </c>
      <c r="AF4" s="241" t="s">
        <v>80</v>
      </c>
      <c r="AG4" s="241" t="s">
        <v>79</v>
      </c>
      <c r="AH4" s="241" t="s">
        <v>78</v>
      </c>
      <c r="AI4" s="241" t="s">
        <v>77</v>
      </c>
      <c r="AJ4" s="241" t="s">
        <v>76</v>
      </c>
      <c r="AK4" s="241" t="s">
        <v>75</v>
      </c>
      <c r="AL4" s="241" t="s">
        <v>74</v>
      </c>
      <c r="AM4" s="241" t="s">
        <v>73</v>
      </c>
      <c r="AN4" s="241" t="s">
        <v>72</v>
      </c>
      <c r="AO4" s="241" t="s">
        <v>71</v>
      </c>
      <c r="AP4" s="241" t="s">
        <v>70</v>
      </c>
      <c r="AQ4" s="241" t="s">
        <v>69</v>
      </c>
      <c r="AR4" s="241" t="s">
        <v>68</v>
      </c>
      <c r="AS4" s="241" t="s">
        <v>67</v>
      </c>
      <c r="AT4" s="241" t="s">
        <v>66</v>
      </c>
      <c r="AU4" s="241" t="s">
        <v>65</v>
      </c>
      <c r="AV4" s="241" t="s">
        <v>64</v>
      </c>
      <c r="AW4" s="241" t="s">
        <v>63</v>
      </c>
      <c r="AX4" s="241" t="s">
        <v>62</v>
      </c>
      <c r="AY4" s="241" t="s">
        <v>61</v>
      </c>
      <c r="AZ4" s="241" t="s">
        <v>60</v>
      </c>
      <c r="BA4" s="241" t="s">
        <v>59</v>
      </c>
      <c r="BB4" s="241" t="s">
        <v>58</v>
      </c>
      <c r="BC4" s="241" t="s">
        <v>57</v>
      </c>
      <c r="BD4" s="202"/>
      <c r="BE4" s="242" t="s">
        <v>551</v>
      </c>
      <c r="BF4" s="242" t="s">
        <v>108</v>
      </c>
      <c r="BG4" s="242" t="s">
        <v>107</v>
      </c>
      <c r="BH4" s="242" t="s">
        <v>106</v>
      </c>
      <c r="BI4" s="242" t="s">
        <v>105</v>
      </c>
      <c r="BJ4" s="242" t="s">
        <v>104</v>
      </c>
      <c r="BK4" s="242" t="s">
        <v>103</v>
      </c>
      <c r="BL4" s="242" t="s">
        <v>102</v>
      </c>
      <c r="BM4" s="242" t="s">
        <v>101</v>
      </c>
      <c r="BN4" s="242" t="s">
        <v>100</v>
      </c>
      <c r="BO4" s="242" t="s">
        <v>99</v>
      </c>
      <c r="BP4" s="242" t="s">
        <v>98</v>
      </c>
      <c r="BQ4" s="242" t="s">
        <v>97</v>
      </c>
      <c r="BR4" s="242" t="s">
        <v>96</v>
      </c>
      <c r="BS4" s="242" t="s">
        <v>95</v>
      </c>
      <c r="BT4" s="242" t="s">
        <v>94</v>
      </c>
      <c r="BU4" s="242" t="s">
        <v>93</v>
      </c>
      <c r="BV4" s="242" t="s">
        <v>92</v>
      </c>
      <c r="BW4" s="242" t="s">
        <v>91</v>
      </c>
      <c r="BX4" s="242" t="s">
        <v>2</v>
      </c>
      <c r="BY4" s="242" t="s">
        <v>1</v>
      </c>
      <c r="BZ4" s="242" t="s">
        <v>90</v>
      </c>
      <c r="CA4" s="242" t="s">
        <v>89</v>
      </c>
      <c r="CB4" s="242" t="s">
        <v>88</v>
      </c>
      <c r="CC4" s="242" t="s">
        <v>87</v>
      </c>
      <c r="CD4" s="242" t="s">
        <v>86</v>
      </c>
      <c r="CE4" s="242" t="s">
        <v>85</v>
      </c>
      <c r="CF4" s="242" t="s">
        <v>84</v>
      </c>
      <c r="CG4" s="242" t="s">
        <v>83</v>
      </c>
      <c r="CH4" s="242" t="s">
        <v>82</v>
      </c>
      <c r="CI4" s="242" t="s">
        <v>81</v>
      </c>
      <c r="CJ4" s="242" t="s">
        <v>80</v>
      </c>
      <c r="CK4" s="242" t="s">
        <v>79</v>
      </c>
      <c r="CL4" s="242" t="s">
        <v>78</v>
      </c>
      <c r="CM4" s="242" t="s">
        <v>77</v>
      </c>
      <c r="CN4" s="242" t="s">
        <v>76</v>
      </c>
      <c r="CO4" s="242" t="s">
        <v>75</v>
      </c>
      <c r="CP4" s="242" t="s">
        <v>74</v>
      </c>
      <c r="CQ4" s="242" t="s">
        <v>73</v>
      </c>
      <c r="CR4" s="242" t="s">
        <v>72</v>
      </c>
      <c r="CS4" s="242" t="s">
        <v>71</v>
      </c>
      <c r="CT4" s="242" t="s">
        <v>70</v>
      </c>
      <c r="CU4" s="242" t="s">
        <v>69</v>
      </c>
      <c r="CV4" s="242" t="s">
        <v>68</v>
      </c>
      <c r="CW4" s="242" t="s">
        <v>67</v>
      </c>
      <c r="CX4" s="242" t="s">
        <v>66</v>
      </c>
      <c r="CY4" s="242" t="s">
        <v>65</v>
      </c>
      <c r="CZ4" s="242" t="s">
        <v>64</v>
      </c>
      <c r="DA4" s="242" t="s">
        <v>63</v>
      </c>
      <c r="DB4" s="242" t="s">
        <v>62</v>
      </c>
      <c r="DC4" s="242" t="s">
        <v>61</v>
      </c>
      <c r="DD4" s="242" t="s">
        <v>60</v>
      </c>
      <c r="DE4" s="242" t="s">
        <v>59</v>
      </c>
      <c r="DF4" s="242" t="s">
        <v>58</v>
      </c>
      <c r="DG4" s="242" t="s">
        <v>57</v>
      </c>
      <c r="DH4" s="242"/>
      <c r="DI4" s="243" t="s">
        <v>55</v>
      </c>
      <c r="DJ4" s="244" t="s">
        <v>108</v>
      </c>
      <c r="DK4" s="244" t="s">
        <v>107</v>
      </c>
      <c r="DL4" s="244" t="s">
        <v>106</v>
      </c>
      <c r="DM4" s="244" t="s">
        <v>105</v>
      </c>
      <c r="DN4" s="244" t="s">
        <v>104</v>
      </c>
      <c r="DO4" s="244" t="s">
        <v>103</v>
      </c>
      <c r="DP4" s="244" t="s">
        <v>102</v>
      </c>
      <c r="DQ4" s="244" t="s">
        <v>101</v>
      </c>
      <c r="DR4" s="244" t="s">
        <v>100</v>
      </c>
      <c r="DS4" s="244" t="s">
        <v>99</v>
      </c>
      <c r="DT4" s="244" t="s">
        <v>98</v>
      </c>
      <c r="DU4" s="244" t="s">
        <v>97</v>
      </c>
      <c r="DV4" s="244" t="s">
        <v>96</v>
      </c>
      <c r="DW4" s="244" t="s">
        <v>95</v>
      </c>
      <c r="DX4" s="244" t="s">
        <v>94</v>
      </c>
      <c r="DY4" s="244" t="s">
        <v>93</v>
      </c>
      <c r="DZ4" s="244" t="s">
        <v>92</v>
      </c>
      <c r="EA4" s="244" t="s">
        <v>91</v>
      </c>
      <c r="EB4" s="244" t="s">
        <v>2</v>
      </c>
      <c r="EC4" s="244" t="s">
        <v>1</v>
      </c>
      <c r="ED4" s="244" t="s">
        <v>90</v>
      </c>
      <c r="EE4" s="244" t="s">
        <v>89</v>
      </c>
      <c r="EF4" s="244" t="s">
        <v>88</v>
      </c>
      <c r="EG4" s="244" t="s">
        <v>87</v>
      </c>
      <c r="EH4" s="244" t="s">
        <v>86</v>
      </c>
      <c r="EI4" s="244" t="s">
        <v>85</v>
      </c>
      <c r="EJ4" s="244" t="s">
        <v>84</v>
      </c>
      <c r="EK4" s="244" t="s">
        <v>83</v>
      </c>
      <c r="EL4" s="244" t="s">
        <v>82</v>
      </c>
      <c r="EM4" s="244" t="s">
        <v>81</v>
      </c>
      <c r="EN4" s="244" t="s">
        <v>80</v>
      </c>
      <c r="EO4" s="244" t="s">
        <v>79</v>
      </c>
      <c r="EP4" s="244" t="s">
        <v>78</v>
      </c>
      <c r="EQ4" s="244" t="s">
        <v>77</v>
      </c>
      <c r="ER4" s="244" t="s">
        <v>76</v>
      </c>
      <c r="ES4" s="244" t="s">
        <v>75</v>
      </c>
      <c r="ET4" s="244" t="s">
        <v>74</v>
      </c>
      <c r="EU4" s="244" t="s">
        <v>73</v>
      </c>
      <c r="EV4" s="244" t="s">
        <v>72</v>
      </c>
      <c r="EW4" s="244" t="s">
        <v>71</v>
      </c>
      <c r="EX4" s="244" t="s">
        <v>70</v>
      </c>
      <c r="EY4" s="244" t="s">
        <v>69</v>
      </c>
      <c r="EZ4" s="244" t="s">
        <v>68</v>
      </c>
      <c r="FA4" s="244" t="s">
        <v>67</v>
      </c>
      <c r="FB4" s="244" t="s">
        <v>66</v>
      </c>
      <c r="FC4" s="244" t="s">
        <v>65</v>
      </c>
      <c r="FD4" s="244" t="s">
        <v>64</v>
      </c>
      <c r="FE4" s="244" t="s">
        <v>63</v>
      </c>
      <c r="FF4" s="244" t="s">
        <v>62</v>
      </c>
      <c r="FG4" s="244" t="s">
        <v>61</v>
      </c>
      <c r="FH4" s="244" t="s">
        <v>60</v>
      </c>
      <c r="FI4" s="244" t="s">
        <v>59</v>
      </c>
      <c r="FJ4" s="244" t="s">
        <v>58</v>
      </c>
      <c r="FK4" s="245" t="s">
        <v>57</v>
      </c>
    </row>
    <row r="5" spans="1:167" x14ac:dyDescent="0.25">
      <c r="A5" s="236" t="s">
        <v>54</v>
      </c>
      <c r="B5" s="246">
        <f t="shared" ref="B5:Q7" si="0">BF5+DJ5</f>
        <v>8407544</v>
      </c>
      <c r="C5" s="246">
        <f t="shared" si="0"/>
        <v>184199</v>
      </c>
      <c r="D5" s="246">
        <f t="shared" si="0"/>
        <v>116211</v>
      </c>
      <c r="E5" s="246">
        <f t="shared" si="0"/>
        <v>135137</v>
      </c>
      <c r="F5" s="246">
        <f t="shared" si="0"/>
        <v>184150</v>
      </c>
      <c r="G5" s="246">
        <f t="shared" si="0"/>
        <v>174409</v>
      </c>
      <c r="H5" s="246">
        <f t="shared" si="0"/>
        <v>731904</v>
      </c>
      <c r="I5" s="246">
        <f t="shared" si="0"/>
        <v>124691</v>
      </c>
      <c r="J5" s="246">
        <f t="shared" si="0"/>
        <v>61803</v>
      </c>
      <c r="K5" s="246">
        <f t="shared" si="0"/>
        <v>260373</v>
      </c>
      <c r="L5" s="246">
        <f t="shared" si="0"/>
        <v>167603</v>
      </c>
      <c r="M5" s="246">
        <f t="shared" si="0"/>
        <v>756987</v>
      </c>
      <c r="N5" s="246">
        <f t="shared" si="0"/>
        <v>80986</v>
      </c>
      <c r="O5" s="246">
        <f t="shared" si="0"/>
        <v>61453</v>
      </c>
      <c r="P5" s="246">
        <f t="shared" si="0"/>
        <v>970899</v>
      </c>
      <c r="Q5" s="246">
        <f t="shared" si="0"/>
        <v>307531</v>
      </c>
      <c r="R5" s="246">
        <f t="shared" ref="R5:AG7" si="1">BV5+DZ5</f>
        <v>446787</v>
      </c>
      <c r="S5" s="246">
        <f t="shared" si="1"/>
        <v>3533117</v>
      </c>
      <c r="T5" s="246">
        <f t="shared" si="1"/>
        <v>56424</v>
      </c>
      <c r="U5" s="246">
        <f t="shared" si="1"/>
        <v>237079</v>
      </c>
      <c r="V5" s="246">
        <f t="shared" si="1"/>
        <v>1370270</v>
      </c>
      <c r="W5" s="246">
        <f t="shared" si="1"/>
        <v>175534</v>
      </c>
      <c r="X5" s="246">
        <f t="shared" si="1"/>
        <v>2477171</v>
      </c>
      <c r="Y5" s="246">
        <f t="shared" si="1"/>
        <v>386933</v>
      </c>
      <c r="Z5" s="246">
        <f t="shared" si="1"/>
        <v>659818</v>
      </c>
      <c r="AA5" s="246">
        <f t="shared" si="1"/>
        <v>91479</v>
      </c>
      <c r="AB5" s="246">
        <f t="shared" si="1"/>
        <v>47302</v>
      </c>
      <c r="AC5" s="246">
        <f t="shared" si="1"/>
        <v>6696</v>
      </c>
      <c r="AD5" s="246">
        <f t="shared" si="1"/>
        <v>132880</v>
      </c>
      <c r="AE5" s="246">
        <f t="shared" si="1"/>
        <v>131244</v>
      </c>
      <c r="AF5" s="246">
        <f t="shared" si="1"/>
        <v>102189</v>
      </c>
      <c r="AG5" s="246">
        <f t="shared" si="1"/>
        <v>45401</v>
      </c>
      <c r="AH5" s="246">
        <f t="shared" ref="AH5:AW7" si="2">CL5+EP5</f>
        <v>18996</v>
      </c>
      <c r="AI5" s="246">
        <f t="shared" si="2"/>
        <v>34687</v>
      </c>
      <c r="AJ5" s="246">
        <f t="shared" si="2"/>
        <v>30388</v>
      </c>
      <c r="AK5" s="246">
        <f t="shared" si="2"/>
        <v>5710988</v>
      </c>
      <c r="AL5" s="246">
        <f t="shared" si="2"/>
        <v>154746</v>
      </c>
      <c r="AM5" s="246">
        <f t="shared" si="2"/>
        <v>50800</v>
      </c>
      <c r="AN5" s="246">
        <f t="shared" si="2"/>
        <v>35100</v>
      </c>
      <c r="AO5" s="246">
        <f t="shared" si="2"/>
        <v>102994</v>
      </c>
      <c r="AP5" s="246">
        <f t="shared" si="2"/>
        <v>72175</v>
      </c>
      <c r="AQ5" s="246">
        <f t="shared" si="2"/>
        <v>249886</v>
      </c>
      <c r="AR5" s="246">
        <f t="shared" si="2"/>
        <v>90178</v>
      </c>
      <c r="AS5" s="246">
        <f t="shared" si="2"/>
        <v>248847</v>
      </c>
      <c r="AT5" s="246">
        <f t="shared" si="2"/>
        <v>1236075</v>
      </c>
      <c r="AU5" s="246">
        <f t="shared" si="2"/>
        <v>111886</v>
      </c>
      <c r="AV5" s="246">
        <f t="shared" si="2"/>
        <v>91333</v>
      </c>
      <c r="AW5" s="246">
        <f t="shared" si="2"/>
        <v>12383</v>
      </c>
      <c r="AX5" s="246">
        <f t="shared" ref="AP5:BC7" si="3">DB5+FF5</f>
        <v>92175</v>
      </c>
      <c r="AY5" s="246">
        <f t="shared" si="3"/>
        <v>1054</v>
      </c>
      <c r="AZ5" s="246">
        <f t="shared" si="3"/>
        <v>1176</v>
      </c>
      <c r="BA5" s="246">
        <f t="shared" si="3"/>
        <v>8707</v>
      </c>
      <c r="BB5" s="246">
        <f t="shared" si="3"/>
        <v>51125</v>
      </c>
      <c r="BC5" s="246">
        <f t="shared" si="3"/>
        <v>16913371</v>
      </c>
      <c r="BD5" s="202"/>
      <c r="BE5" s="236" t="s">
        <v>54</v>
      </c>
      <c r="BF5" s="247">
        <v>3403004</v>
      </c>
      <c r="BG5" s="247">
        <v>157084</v>
      </c>
      <c r="BH5" s="247">
        <v>85846</v>
      </c>
      <c r="BI5" s="247">
        <v>100181</v>
      </c>
      <c r="BJ5" s="247">
        <v>138073</v>
      </c>
      <c r="BK5" s="247">
        <v>146410</v>
      </c>
      <c r="BL5" s="247">
        <v>489320</v>
      </c>
      <c r="BM5" s="247">
        <v>81340</v>
      </c>
      <c r="BN5" s="247">
        <v>2756</v>
      </c>
      <c r="BO5" s="247">
        <v>103611</v>
      </c>
      <c r="BP5" s="247">
        <v>83235</v>
      </c>
      <c r="BQ5" s="247">
        <v>513287</v>
      </c>
      <c r="BR5" s="247">
        <v>67906</v>
      </c>
      <c r="BS5" s="247">
        <v>44398</v>
      </c>
      <c r="BT5" s="247">
        <v>637900</v>
      </c>
      <c r="BU5" s="247">
        <v>206392</v>
      </c>
      <c r="BV5" s="247">
        <v>299379</v>
      </c>
      <c r="BW5" s="247">
        <v>200172</v>
      </c>
      <c r="BX5" s="247">
        <v>44045</v>
      </c>
      <c r="BY5" s="247">
        <v>158753</v>
      </c>
      <c r="BZ5" s="247">
        <v>1370270</v>
      </c>
      <c r="CA5" s="247">
        <v>175429</v>
      </c>
      <c r="CB5" s="247">
        <v>2470823</v>
      </c>
      <c r="CC5" s="247">
        <v>367959</v>
      </c>
      <c r="CD5" s="247">
        <v>176470</v>
      </c>
      <c r="CE5" s="247">
        <v>85141</v>
      </c>
      <c r="CF5" s="247">
        <v>44589</v>
      </c>
      <c r="CG5" s="247">
        <v>4255</v>
      </c>
      <c r="CH5" s="247">
        <v>132880</v>
      </c>
      <c r="CI5" s="247">
        <v>129099</v>
      </c>
      <c r="CJ5" s="247">
        <v>99105</v>
      </c>
      <c r="CK5" s="247">
        <v>45401</v>
      </c>
      <c r="CL5" s="247">
        <v>17165</v>
      </c>
      <c r="CM5" s="247">
        <v>34687</v>
      </c>
      <c r="CN5" s="247">
        <v>29646</v>
      </c>
      <c r="CO5" s="247">
        <v>5182919</v>
      </c>
      <c r="CP5" s="247">
        <v>148484</v>
      </c>
      <c r="CQ5" s="247">
        <v>50655</v>
      </c>
      <c r="CR5" s="247">
        <v>34454</v>
      </c>
      <c r="CS5" s="247">
        <v>102994</v>
      </c>
      <c r="CT5" s="247">
        <v>72175</v>
      </c>
      <c r="CU5" s="247">
        <v>220064</v>
      </c>
      <c r="CV5" s="247">
        <v>89647</v>
      </c>
      <c r="CW5" s="247">
        <v>226082</v>
      </c>
      <c r="CX5" s="247">
        <v>773281</v>
      </c>
      <c r="CY5" s="247">
        <v>106189</v>
      </c>
      <c r="CZ5" s="247">
        <v>69230</v>
      </c>
      <c r="DA5" s="247">
        <v>4326</v>
      </c>
      <c r="DB5" s="247">
        <v>72949</v>
      </c>
      <c r="DC5" s="247">
        <v>1044</v>
      </c>
      <c r="DD5" s="247">
        <v>1176</v>
      </c>
      <c r="DE5" s="247">
        <v>8213</v>
      </c>
      <c r="DF5" s="247">
        <v>46405</v>
      </c>
      <c r="DG5" s="247">
        <v>10770375</v>
      </c>
      <c r="DH5" s="247"/>
      <c r="DI5" s="248" t="s">
        <v>54</v>
      </c>
      <c r="DJ5" s="249">
        <v>5004540</v>
      </c>
      <c r="DK5" s="249">
        <v>27115</v>
      </c>
      <c r="DL5" s="249">
        <v>30365</v>
      </c>
      <c r="DM5" s="249">
        <v>34956</v>
      </c>
      <c r="DN5" s="249">
        <v>46077</v>
      </c>
      <c r="DO5" s="249">
        <v>27999</v>
      </c>
      <c r="DP5" s="249">
        <v>242584</v>
      </c>
      <c r="DQ5" s="249">
        <v>43351</v>
      </c>
      <c r="DR5" s="249">
        <v>59047</v>
      </c>
      <c r="DS5" s="249">
        <v>156762</v>
      </c>
      <c r="DT5" s="249">
        <v>84368</v>
      </c>
      <c r="DU5" s="249">
        <v>243700</v>
      </c>
      <c r="DV5" s="249">
        <v>13080</v>
      </c>
      <c r="DW5" s="249">
        <v>17055</v>
      </c>
      <c r="DX5" s="249">
        <v>332999</v>
      </c>
      <c r="DY5" s="249">
        <v>101139</v>
      </c>
      <c r="DZ5" s="249">
        <v>147408</v>
      </c>
      <c r="EA5" s="249">
        <v>3332945</v>
      </c>
      <c r="EB5" s="249">
        <v>12379</v>
      </c>
      <c r="EC5" s="249">
        <v>78326</v>
      </c>
      <c r="ED5" s="249">
        <v>0</v>
      </c>
      <c r="EE5" s="249">
        <v>105</v>
      </c>
      <c r="EF5" s="249">
        <v>6348</v>
      </c>
      <c r="EG5" s="249">
        <v>18974</v>
      </c>
      <c r="EH5" s="249">
        <v>483348</v>
      </c>
      <c r="EI5" s="249">
        <v>6338</v>
      </c>
      <c r="EJ5" s="249">
        <v>2713</v>
      </c>
      <c r="EK5" s="249">
        <v>2441</v>
      </c>
      <c r="EL5" s="249">
        <v>0</v>
      </c>
      <c r="EM5" s="249">
        <v>2145</v>
      </c>
      <c r="EN5" s="249">
        <v>3084</v>
      </c>
      <c r="EO5" s="249">
        <v>0</v>
      </c>
      <c r="EP5" s="249">
        <v>1831</v>
      </c>
      <c r="EQ5" s="249">
        <v>0</v>
      </c>
      <c r="ER5" s="249">
        <v>742</v>
      </c>
      <c r="ES5" s="249">
        <v>528069</v>
      </c>
      <c r="ET5" s="249">
        <v>6262</v>
      </c>
      <c r="EU5" s="249">
        <v>145</v>
      </c>
      <c r="EV5" s="249">
        <v>646</v>
      </c>
      <c r="EW5" s="249">
        <v>0</v>
      </c>
      <c r="EX5" s="249">
        <v>0</v>
      </c>
      <c r="EY5" s="249">
        <v>29822</v>
      </c>
      <c r="EZ5" s="249">
        <v>531</v>
      </c>
      <c r="FA5" s="249">
        <v>22765</v>
      </c>
      <c r="FB5" s="249">
        <v>462794</v>
      </c>
      <c r="FC5" s="249">
        <v>5697</v>
      </c>
      <c r="FD5" s="249">
        <v>22103</v>
      </c>
      <c r="FE5" s="249">
        <v>8057</v>
      </c>
      <c r="FF5" s="249">
        <v>19226</v>
      </c>
      <c r="FG5" s="249">
        <v>10</v>
      </c>
      <c r="FH5" s="249">
        <v>0</v>
      </c>
      <c r="FI5" s="249">
        <v>494</v>
      </c>
      <c r="FJ5" s="249">
        <v>4720</v>
      </c>
      <c r="FK5" s="249">
        <v>6142996</v>
      </c>
    </row>
    <row r="6" spans="1:167" x14ac:dyDescent="0.25">
      <c r="A6" s="236" t="s">
        <v>53</v>
      </c>
      <c r="B6" s="246">
        <f t="shared" si="0"/>
        <v>1847112</v>
      </c>
      <c r="C6" s="246">
        <f t="shared" si="0"/>
        <v>50898</v>
      </c>
      <c r="D6" s="246">
        <f t="shared" si="0"/>
        <v>43440</v>
      </c>
      <c r="E6" s="246">
        <f t="shared" si="0"/>
        <v>29147</v>
      </c>
      <c r="F6" s="246">
        <f t="shared" si="0"/>
        <v>37798</v>
      </c>
      <c r="G6" s="246">
        <f t="shared" si="0"/>
        <v>42517</v>
      </c>
      <c r="H6" s="246">
        <f t="shared" si="0"/>
        <v>150948</v>
      </c>
      <c r="I6" s="246">
        <f t="shared" si="0"/>
        <v>39746</v>
      </c>
      <c r="J6" s="246">
        <f t="shared" si="0"/>
        <v>14078</v>
      </c>
      <c r="K6" s="246">
        <f t="shared" si="0"/>
        <v>52156</v>
      </c>
      <c r="L6" s="246">
        <f t="shared" si="0"/>
        <v>51217</v>
      </c>
      <c r="M6" s="246">
        <f t="shared" si="0"/>
        <v>158644</v>
      </c>
      <c r="N6" s="246">
        <f t="shared" si="0"/>
        <v>16733</v>
      </c>
      <c r="O6" s="246">
        <f t="shared" si="0"/>
        <v>13097</v>
      </c>
      <c r="P6" s="246">
        <f t="shared" si="0"/>
        <v>221032</v>
      </c>
      <c r="Q6" s="246">
        <f t="shared" si="0"/>
        <v>63330</v>
      </c>
      <c r="R6" s="246">
        <f t="shared" si="1"/>
        <v>102967</v>
      </c>
      <c r="S6" s="246">
        <f t="shared" si="1"/>
        <v>727144</v>
      </c>
      <c r="T6" s="246">
        <f t="shared" si="1"/>
        <v>14971</v>
      </c>
      <c r="U6" s="246">
        <f t="shared" si="1"/>
        <v>68147</v>
      </c>
      <c r="V6" s="246">
        <f t="shared" si="1"/>
        <v>303450</v>
      </c>
      <c r="W6" s="246">
        <f t="shared" si="1"/>
        <v>35034</v>
      </c>
      <c r="X6" s="246">
        <f t="shared" si="1"/>
        <v>465117</v>
      </c>
      <c r="Y6" s="246">
        <f t="shared" si="1"/>
        <v>69665</v>
      </c>
      <c r="Z6" s="246">
        <f t="shared" si="1"/>
        <v>137400</v>
      </c>
      <c r="AA6" s="246">
        <f t="shared" si="1"/>
        <v>20132</v>
      </c>
      <c r="AB6" s="246">
        <f t="shared" si="1"/>
        <v>9567</v>
      </c>
      <c r="AC6" s="246">
        <f t="shared" si="1"/>
        <v>2344</v>
      </c>
      <c r="AD6" s="246">
        <f t="shared" si="1"/>
        <v>30740</v>
      </c>
      <c r="AE6" s="246">
        <f t="shared" si="1"/>
        <v>29382</v>
      </c>
      <c r="AF6" s="246">
        <f t="shared" si="1"/>
        <v>20835</v>
      </c>
      <c r="AG6" s="246">
        <f t="shared" si="1"/>
        <v>9482</v>
      </c>
      <c r="AH6" s="246">
        <f t="shared" si="2"/>
        <v>4185</v>
      </c>
      <c r="AI6" s="246">
        <f t="shared" si="2"/>
        <v>7103</v>
      </c>
      <c r="AJ6" s="246">
        <f t="shared" si="2"/>
        <v>6797</v>
      </c>
      <c r="AK6" s="246">
        <f t="shared" si="2"/>
        <v>1151233</v>
      </c>
      <c r="AL6" s="246">
        <f t="shared" si="2"/>
        <v>38487</v>
      </c>
      <c r="AM6" s="246">
        <f t="shared" si="2"/>
        <v>11654</v>
      </c>
      <c r="AN6" s="246">
        <f t="shared" si="2"/>
        <v>7144</v>
      </c>
      <c r="AO6" s="246">
        <f t="shared" si="2"/>
        <v>26788</v>
      </c>
      <c r="AP6" s="246">
        <f t="shared" si="3"/>
        <v>15886</v>
      </c>
      <c r="AQ6" s="246">
        <f t="shared" si="3"/>
        <v>53845</v>
      </c>
      <c r="AR6" s="246">
        <f t="shared" si="3"/>
        <v>20809</v>
      </c>
      <c r="AS6" s="246">
        <f t="shared" si="3"/>
        <v>64385</v>
      </c>
      <c r="AT6" s="246">
        <f t="shared" si="3"/>
        <v>281322</v>
      </c>
      <c r="AU6" s="246">
        <f t="shared" si="3"/>
        <v>22769</v>
      </c>
      <c r="AV6" s="246">
        <f t="shared" si="3"/>
        <v>20730</v>
      </c>
      <c r="AW6" s="246">
        <f t="shared" si="3"/>
        <v>2736</v>
      </c>
      <c r="AX6" s="246">
        <f t="shared" si="3"/>
        <v>21528</v>
      </c>
      <c r="AY6" s="246">
        <f t="shared" si="3"/>
        <v>1168</v>
      </c>
      <c r="AZ6" s="246">
        <f t="shared" si="3"/>
        <v>374</v>
      </c>
      <c r="BA6" s="246">
        <f t="shared" si="3"/>
        <v>2031</v>
      </c>
      <c r="BB6" s="246">
        <f t="shared" si="3"/>
        <v>14284</v>
      </c>
      <c r="BC6" s="246">
        <f t="shared" si="3"/>
        <v>3655183</v>
      </c>
      <c r="BD6" s="202"/>
      <c r="BE6" s="236" t="s">
        <v>53</v>
      </c>
      <c r="BF6" s="247">
        <v>868349</v>
      </c>
      <c r="BG6" s="247">
        <v>45105</v>
      </c>
      <c r="BH6" s="247">
        <v>33380</v>
      </c>
      <c r="BI6" s="247">
        <v>22401</v>
      </c>
      <c r="BJ6" s="247">
        <v>28709</v>
      </c>
      <c r="BK6" s="247">
        <v>36735</v>
      </c>
      <c r="BL6" s="247">
        <v>106688</v>
      </c>
      <c r="BM6" s="247">
        <v>27741</v>
      </c>
      <c r="BN6" s="247">
        <v>2312</v>
      </c>
      <c r="BO6" s="247">
        <v>22402</v>
      </c>
      <c r="BP6" s="247">
        <v>30878</v>
      </c>
      <c r="BQ6" s="247">
        <v>113055</v>
      </c>
      <c r="BR6" s="247">
        <v>14263</v>
      </c>
      <c r="BS6" s="247">
        <v>9850</v>
      </c>
      <c r="BT6" s="247">
        <v>156261</v>
      </c>
      <c r="BU6" s="247">
        <v>44532</v>
      </c>
      <c r="BV6" s="247">
        <v>74203</v>
      </c>
      <c r="BW6" s="247">
        <v>79381</v>
      </c>
      <c r="BX6" s="247">
        <v>11770</v>
      </c>
      <c r="BY6" s="247">
        <v>53788</v>
      </c>
      <c r="BZ6" s="247">
        <v>303450</v>
      </c>
      <c r="CA6" s="247">
        <v>34960</v>
      </c>
      <c r="CB6" s="247">
        <v>463863</v>
      </c>
      <c r="CC6" s="247">
        <v>66398</v>
      </c>
      <c r="CD6" s="247">
        <v>41998</v>
      </c>
      <c r="CE6" s="247">
        <v>19136</v>
      </c>
      <c r="CF6" s="247">
        <v>9025</v>
      </c>
      <c r="CG6" s="247">
        <v>1873</v>
      </c>
      <c r="CH6" s="247">
        <v>30740</v>
      </c>
      <c r="CI6" s="247">
        <v>28994</v>
      </c>
      <c r="CJ6" s="247">
        <v>20319</v>
      </c>
      <c r="CK6" s="247">
        <v>9482</v>
      </c>
      <c r="CL6" s="247">
        <v>3830</v>
      </c>
      <c r="CM6" s="247">
        <v>7103</v>
      </c>
      <c r="CN6" s="247">
        <v>6666</v>
      </c>
      <c r="CO6" s="247">
        <v>1047837</v>
      </c>
      <c r="CP6" s="247">
        <v>37390</v>
      </c>
      <c r="CQ6" s="247">
        <v>11627</v>
      </c>
      <c r="CR6" s="247">
        <v>7033</v>
      </c>
      <c r="CS6" s="247">
        <v>26788</v>
      </c>
      <c r="CT6" s="247">
        <v>15886</v>
      </c>
      <c r="CU6" s="247">
        <v>48499</v>
      </c>
      <c r="CV6" s="247">
        <v>20716</v>
      </c>
      <c r="CW6" s="247">
        <v>59780</v>
      </c>
      <c r="CX6" s="247">
        <v>192091</v>
      </c>
      <c r="CY6" s="247">
        <v>21747</v>
      </c>
      <c r="CZ6" s="247">
        <v>16606</v>
      </c>
      <c r="DA6" s="247">
        <v>1064</v>
      </c>
      <c r="DB6" s="247">
        <v>17996</v>
      </c>
      <c r="DC6" s="247">
        <v>1168</v>
      </c>
      <c r="DD6" s="247">
        <v>374</v>
      </c>
      <c r="DE6" s="247">
        <v>1933</v>
      </c>
      <c r="DF6" s="247">
        <v>13331</v>
      </c>
      <c r="DG6" s="247">
        <v>2455320</v>
      </c>
      <c r="DH6" s="247"/>
      <c r="DI6" s="248" t="s">
        <v>53</v>
      </c>
      <c r="DJ6" s="249">
        <v>978763</v>
      </c>
      <c r="DK6" s="249">
        <v>5793</v>
      </c>
      <c r="DL6" s="249">
        <v>10060</v>
      </c>
      <c r="DM6" s="249">
        <v>6746</v>
      </c>
      <c r="DN6" s="249">
        <v>9089</v>
      </c>
      <c r="DO6" s="249">
        <v>5782</v>
      </c>
      <c r="DP6" s="249">
        <v>44260</v>
      </c>
      <c r="DQ6" s="249">
        <v>12005</v>
      </c>
      <c r="DR6" s="249">
        <v>11766</v>
      </c>
      <c r="DS6" s="249">
        <v>29754</v>
      </c>
      <c r="DT6" s="249">
        <v>20339</v>
      </c>
      <c r="DU6" s="249">
        <v>45589</v>
      </c>
      <c r="DV6" s="249">
        <v>2470</v>
      </c>
      <c r="DW6" s="249">
        <v>3247</v>
      </c>
      <c r="DX6" s="249">
        <v>64771</v>
      </c>
      <c r="DY6" s="249">
        <v>18798</v>
      </c>
      <c r="DZ6" s="249">
        <v>28764</v>
      </c>
      <c r="EA6" s="249">
        <v>647763</v>
      </c>
      <c r="EB6" s="249">
        <v>3201</v>
      </c>
      <c r="EC6" s="249">
        <v>14359</v>
      </c>
      <c r="ED6" s="249">
        <v>0</v>
      </c>
      <c r="EE6" s="249">
        <v>74</v>
      </c>
      <c r="EF6" s="249">
        <v>1254</v>
      </c>
      <c r="EG6" s="249">
        <v>3267</v>
      </c>
      <c r="EH6" s="249">
        <v>95402</v>
      </c>
      <c r="EI6" s="249">
        <v>996</v>
      </c>
      <c r="EJ6" s="249">
        <v>542</v>
      </c>
      <c r="EK6" s="249">
        <v>471</v>
      </c>
      <c r="EL6" s="249">
        <v>0</v>
      </c>
      <c r="EM6" s="249">
        <v>388</v>
      </c>
      <c r="EN6" s="249">
        <v>516</v>
      </c>
      <c r="EO6" s="249">
        <v>0</v>
      </c>
      <c r="EP6" s="249">
        <v>355</v>
      </c>
      <c r="EQ6" s="249">
        <v>0</v>
      </c>
      <c r="ER6" s="249">
        <v>131</v>
      </c>
      <c r="ES6" s="249">
        <v>103396</v>
      </c>
      <c r="ET6" s="249">
        <v>1097</v>
      </c>
      <c r="EU6" s="249">
        <v>27</v>
      </c>
      <c r="EV6" s="249">
        <v>111</v>
      </c>
      <c r="EW6" s="249">
        <v>0</v>
      </c>
      <c r="EX6" s="249">
        <v>0</v>
      </c>
      <c r="EY6" s="249">
        <v>5346</v>
      </c>
      <c r="EZ6" s="249">
        <v>93</v>
      </c>
      <c r="FA6" s="249">
        <v>4605</v>
      </c>
      <c r="FB6" s="249">
        <v>89231</v>
      </c>
      <c r="FC6" s="249">
        <v>1022</v>
      </c>
      <c r="FD6" s="249">
        <v>4124</v>
      </c>
      <c r="FE6" s="249">
        <v>1672</v>
      </c>
      <c r="FF6" s="249">
        <v>3532</v>
      </c>
      <c r="FG6" s="249">
        <v>0</v>
      </c>
      <c r="FH6" s="249">
        <v>0</v>
      </c>
      <c r="FI6" s="249">
        <v>98</v>
      </c>
      <c r="FJ6" s="249">
        <v>953</v>
      </c>
      <c r="FK6" s="249">
        <v>1199863</v>
      </c>
    </row>
    <row r="7" spans="1:167" x14ac:dyDescent="0.25">
      <c r="A7" s="236" t="s">
        <v>52</v>
      </c>
      <c r="B7" s="246">
        <f t="shared" si="0"/>
        <v>295920</v>
      </c>
      <c r="C7" s="246">
        <f t="shared" si="0"/>
        <v>6638</v>
      </c>
      <c r="D7" s="246">
        <f t="shared" si="0"/>
        <v>4955</v>
      </c>
      <c r="E7" s="246">
        <f t="shared" si="0"/>
        <v>5038</v>
      </c>
      <c r="F7" s="246">
        <f t="shared" si="0"/>
        <v>6673</v>
      </c>
      <c r="G7" s="246">
        <f t="shared" si="0"/>
        <v>6407</v>
      </c>
      <c r="H7" s="246">
        <f t="shared" si="0"/>
        <v>26049</v>
      </c>
      <c r="I7" s="246">
        <f t="shared" si="0"/>
        <v>5353</v>
      </c>
      <c r="J7" s="246">
        <f t="shared" si="0"/>
        <v>2209</v>
      </c>
      <c r="K7" s="246">
        <f t="shared" si="0"/>
        <v>9330</v>
      </c>
      <c r="L7" s="246">
        <f t="shared" si="0"/>
        <v>6624</v>
      </c>
      <c r="M7" s="246">
        <f t="shared" si="0"/>
        <v>27771</v>
      </c>
      <c r="N7" s="246">
        <f t="shared" si="0"/>
        <v>2957</v>
      </c>
      <c r="O7" s="246">
        <f t="shared" si="0"/>
        <v>2249</v>
      </c>
      <c r="P7" s="246">
        <f t="shared" si="0"/>
        <v>34731</v>
      </c>
      <c r="Q7" s="246">
        <f t="shared" si="0"/>
        <v>11073</v>
      </c>
      <c r="R7" s="246">
        <f t="shared" si="1"/>
        <v>15816</v>
      </c>
      <c r="S7" s="246">
        <f t="shared" si="1"/>
        <v>117678</v>
      </c>
      <c r="T7" s="246">
        <f t="shared" si="1"/>
        <v>2317</v>
      </c>
      <c r="U7" s="246">
        <f t="shared" si="1"/>
        <v>8690</v>
      </c>
      <c r="V7" s="246">
        <f t="shared" si="1"/>
        <v>49343</v>
      </c>
      <c r="W7" s="246">
        <f t="shared" si="1"/>
        <v>6403</v>
      </c>
      <c r="X7" s="246">
        <f t="shared" si="1"/>
        <v>88194</v>
      </c>
      <c r="Y7" s="246">
        <f t="shared" si="1"/>
        <v>13562</v>
      </c>
      <c r="Z7" s="246">
        <f t="shared" si="1"/>
        <v>23394</v>
      </c>
      <c r="AA7" s="246">
        <f t="shared" si="1"/>
        <v>3122</v>
      </c>
      <c r="AB7" s="246">
        <f t="shared" si="1"/>
        <v>1603</v>
      </c>
      <c r="AC7" s="246">
        <f t="shared" si="1"/>
        <v>195</v>
      </c>
      <c r="AD7" s="246">
        <f t="shared" si="1"/>
        <v>4698</v>
      </c>
      <c r="AE7" s="246">
        <f t="shared" si="1"/>
        <v>4804</v>
      </c>
      <c r="AF7" s="246">
        <f t="shared" si="1"/>
        <v>3691</v>
      </c>
      <c r="AG7" s="246">
        <f t="shared" si="1"/>
        <v>1620</v>
      </c>
      <c r="AH7" s="246">
        <f t="shared" si="2"/>
        <v>658</v>
      </c>
      <c r="AI7" s="246">
        <f t="shared" si="2"/>
        <v>1224</v>
      </c>
      <c r="AJ7" s="246">
        <f t="shared" si="2"/>
        <v>1086</v>
      </c>
      <c r="AK7" s="246">
        <f t="shared" si="2"/>
        <v>203597</v>
      </c>
      <c r="AL7" s="246">
        <f t="shared" si="2"/>
        <v>5390</v>
      </c>
      <c r="AM7" s="246">
        <f t="shared" si="2"/>
        <v>1772</v>
      </c>
      <c r="AN7" s="246">
        <f t="shared" si="2"/>
        <v>1247</v>
      </c>
      <c r="AO7" s="246">
        <f t="shared" si="2"/>
        <v>3450</v>
      </c>
      <c r="AP7" s="246">
        <f t="shared" si="3"/>
        <v>3075</v>
      </c>
      <c r="AQ7" s="246">
        <f t="shared" si="3"/>
        <v>8799</v>
      </c>
      <c r="AR7" s="246">
        <f t="shared" si="3"/>
        <v>4993</v>
      </c>
      <c r="AS7" s="246">
        <f t="shared" si="3"/>
        <v>8860</v>
      </c>
      <c r="AT7" s="246">
        <f t="shared" si="3"/>
        <v>35324</v>
      </c>
      <c r="AU7" s="246">
        <f t="shared" si="3"/>
        <v>3881</v>
      </c>
      <c r="AV7" s="246">
        <f t="shared" si="3"/>
        <v>3260</v>
      </c>
      <c r="AW7" s="246">
        <f t="shared" si="3"/>
        <v>445</v>
      </c>
      <c r="AX7" s="246">
        <f t="shared" si="3"/>
        <v>3417</v>
      </c>
      <c r="AY7" s="246">
        <f t="shared" si="3"/>
        <v>37</v>
      </c>
      <c r="AZ7" s="246">
        <f t="shared" si="3"/>
        <v>36</v>
      </c>
      <c r="BA7" s="246">
        <f t="shared" si="3"/>
        <v>305</v>
      </c>
      <c r="BB7" s="246">
        <f t="shared" si="3"/>
        <v>1998</v>
      </c>
      <c r="BC7" s="246">
        <f t="shared" si="3"/>
        <v>592444</v>
      </c>
      <c r="BD7" s="202"/>
      <c r="BE7" s="236" t="s">
        <v>52</v>
      </c>
      <c r="BF7" s="247">
        <v>126282</v>
      </c>
      <c r="BG7" s="247">
        <v>6015</v>
      </c>
      <c r="BH7" s="247">
        <v>3716</v>
      </c>
      <c r="BI7" s="247">
        <v>3788</v>
      </c>
      <c r="BJ7" s="247">
        <v>5039</v>
      </c>
      <c r="BK7" s="247">
        <v>5365</v>
      </c>
      <c r="BL7" s="247">
        <v>17494</v>
      </c>
      <c r="BM7" s="247">
        <v>3672</v>
      </c>
      <c r="BN7" s="247">
        <v>110</v>
      </c>
      <c r="BO7" s="247">
        <v>3788</v>
      </c>
      <c r="BP7" s="247">
        <v>3278</v>
      </c>
      <c r="BQ7" s="247">
        <v>18676</v>
      </c>
      <c r="BR7" s="247">
        <v>2483</v>
      </c>
      <c r="BS7" s="247">
        <v>1634</v>
      </c>
      <c r="BT7" s="247">
        <v>23104</v>
      </c>
      <c r="BU7" s="247">
        <v>7529</v>
      </c>
      <c r="BV7" s="247">
        <v>10750</v>
      </c>
      <c r="BW7" s="247">
        <v>7583</v>
      </c>
      <c r="BX7" s="247">
        <v>1799</v>
      </c>
      <c r="BY7" s="247">
        <v>6474</v>
      </c>
      <c r="BZ7" s="247">
        <v>49343</v>
      </c>
      <c r="CA7" s="247">
        <v>6401</v>
      </c>
      <c r="CB7" s="247">
        <v>87932</v>
      </c>
      <c r="CC7" s="247">
        <v>12891</v>
      </c>
      <c r="CD7" s="247">
        <v>6495</v>
      </c>
      <c r="CE7" s="247">
        <v>2862</v>
      </c>
      <c r="CF7" s="247">
        <v>1520</v>
      </c>
      <c r="CG7" s="247">
        <v>131</v>
      </c>
      <c r="CH7" s="247">
        <v>4698</v>
      </c>
      <c r="CI7" s="247">
        <v>4731</v>
      </c>
      <c r="CJ7" s="247">
        <v>3559</v>
      </c>
      <c r="CK7" s="247">
        <v>1620</v>
      </c>
      <c r="CL7" s="247">
        <v>596</v>
      </c>
      <c r="CM7" s="247">
        <v>1224</v>
      </c>
      <c r="CN7" s="247">
        <v>1065</v>
      </c>
      <c r="CO7" s="247">
        <v>185068</v>
      </c>
      <c r="CP7" s="247">
        <v>5286</v>
      </c>
      <c r="CQ7" s="247">
        <v>1766</v>
      </c>
      <c r="CR7" s="247">
        <v>1229</v>
      </c>
      <c r="CS7" s="247">
        <v>3450</v>
      </c>
      <c r="CT7" s="247">
        <v>3075</v>
      </c>
      <c r="CU7" s="247">
        <v>7600</v>
      </c>
      <c r="CV7" s="247">
        <v>4980</v>
      </c>
      <c r="CW7" s="247">
        <v>8112</v>
      </c>
      <c r="CX7" s="247">
        <v>21075</v>
      </c>
      <c r="CY7" s="247">
        <v>3720</v>
      </c>
      <c r="CZ7" s="247">
        <v>2414</v>
      </c>
      <c r="DA7" s="247">
        <v>144</v>
      </c>
      <c r="DB7" s="247">
        <v>2749</v>
      </c>
      <c r="DC7" s="247">
        <v>37</v>
      </c>
      <c r="DD7" s="247">
        <v>36</v>
      </c>
      <c r="DE7" s="247">
        <v>289</v>
      </c>
      <c r="DF7" s="247">
        <v>1842</v>
      </c>
      <c r="DG7" s="247">
        <v>385169</v>
      </c>
      <c r="DH7" s="247"/>
      <c r="DI7" s="248" t="s">
        <v>52</v>
      </c>
      <c r="DJ7" s="249">
        <v>169638</v>
      </c>
      <c r="DK7" s="249">
        <v>623</v>
      </c>
      <c r="DL7" s="249">
        <v>1239</v>
      </c>
      <c r="DM7" s="249">
        <v>1250</v>
      </c>
      <c r="DN7" s="249">
        <v>1634</v>
      </c>
      <c r="DO7" s="249">
        <v>1042</v>
      </c>
      <c r="DP7" s="249">
        <v>8555</v>
      </c>
      <c r="DQ7" s="249">
        <v>1681</v>
      </c>
      <c r="DR7" s="249">
        <v>2099</v>
      </c>
      <c r="DS7" s="249">
        <v>5542</v>
      </c>
      <c r="DT7" s="249">
        <v>3346</v>
      </c>
      <c r="DU7" s="249">
        <v>9095</v>
      </c>
      <c r="DV7" s="249">
        <v>474</v>
      </c>
      <c r="DW7" s="249">
        <v>615</v>
      </c>
      <c r="DX7" s="249">
        <v>11627</v>
      </c>
      <c r="DY7" s="249">
        <v>3544</v>
      </c>
      <c r="DZ7" s="249">
        <v>5066</v>
      </c>
      <c r="EA7" s="249">
        <v>110095</v>
      </c>
      <c r="EB7" s="249">
        <v>518</v>
      </c>
      <c r="EC7" s="249">
        <v>2216</v>
      </c>
      <c r="ED7" s="249">
        <v>0</v>
      </c>
      <c r="EE7" s="249">
        <v>2</v>
      </c>
      <c r="EF7" s="249">
        <v>262</v>
      </c>
      <c r="EG7" s="249">
        <v>671</v>
      </c>
      <c r="EH7" s="249">
        <v>16899</v>
      </c>
      <c r="EI7" s="249">
        <v>260</v>
      </c>
      <c r="EJ7" s="249">
        <v>83</v>
      </c>
      <c r="EK7" s="249">
        <v>64</v>
      </c>
      <c r="EL7" s="249">
        <v>0</v>
      </c>
      <c r="EM7" s="249">
        <v>73</v>
      </c>
      <c r="EN7" s="249">
        <v>132</v>
      </c>
      <c r="EO7" s="249">
        <v>0</v>
      </c>
      <c r="EP7" s="249">
        <v>62</v>
      </c>
      <c r="EQ7" s="249">
        <v>0</v>
      </c>
      <c r="ER7" s="249">
        <v>21</v>
      </c>
      <c r="ES7" s="249">
        <v>18529</v>
      </c>
      <c r="ET7" s="249">
        <v>104</v>
      </c>
      <c r="EU7" s="249">
        <v>6</v>
      </c>
      <c r="EV7" s="249">
        <v>18</v>
      </c>
      <c r="EW7" s="249">
        <v>0</v>
      </c>
      <c r="EX7" s="249">
        <v>0</v>
      </c>
      <c r="EY7" s="249">
        <v>1199</v>
      </c>
      <c r="EZ7" s="249">
        <v>13</v>
      </c>
      <c r="FA7" s="249">
        <v>748</v>
      </c>
      <c r="FB7" s="249">
        <v>14249</v>
      </c>
      <c r="FC7" s="249">
        <v>161</v>
      </c>
      <c r="FD7" s="249">
        <v>846</v>
      </c>
      <c r="FE7" s="249">
        <v>301</v>
      </c>
      <c r="FF7" s="249">
        <v>668</v>
      </c>
      <c r="FG7" s="249">
        <v>0</v>
      </c>
      <c r="FH7" s="249">
        <v>0</v>
      </c>
      <c r="FI7" s="249">
        <v>16</v>
      </c>
      <c r="FJ7" s="249">
        <v>156</v>
      </c>
      <c r="FK7" s="249">
        <v>207275</v>
      </c>
    </row>
    <row r="8" spans="1:167" x14ac:dyDescent="0.25">
      <c r="A8" s="236" t="s">
        <v>51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02"/>
      <c r="BE8" s="236" t="s">
        <v>51</v>
      </c>
      <c r="BF8" s="247" t="s">
        <v>27</v>
      </c>
      <c r="BG8" s="247" t="s">
        <v>27</v>
      </c>
      <c r="BH8" s="247" t="s">
        <v>27</v>
      </c>
      <c r="BI8" s="247" t="s">
        <v>27</v>
      </c>
      <c r="BJ8" s="247" t="s">
        <v>27</v>
      </c>
      <c r="BK8" s="247" t="s">
        <v>27</v>
      </c>
      <c r="BL8" s="247" t="s">
        <v>27</v>
      </c>
      <c r="BM8" s="247" t="s">
        <v>27</v>
      </c>
      <c r="BN8" s="247" t="s">
        <v>27</v>
      </c>
      <c r="BO8" s="247" t="s">
        <v>27</v>
      </c>
      <c r="BP8" s="247" t="s">
        <v>27</v>
      </c>
      <c r="BQ8" s="247" t="s">
        <v>27</v>
      </c>
      <c r="BR8" s="247" t="s">
        <v>27</v>
      </c>
      <c r="BS8" s="247" t="s">
        <v>27</v>
      </c>
      <c r="BT8" s="247" t="s">
        <v>27</v>
      </c>
      <c r="BU8" s="247" t="s">
        <v>27</v>
      </c>
      <c r="BV8" s="247" t="s">
        <v>27</v>
      </c>
      <c r="BW8" s="247" t="s">
        <v>27</v>
      </c>
      <c r="BX8" s="247" t="s">
        <v>27</v>
      </c>
      <c r="BY8" s="247" t="s">
        <v>27</v>
      </c>
      <c r="BZ8" s="247" t="s">
        <v>27</v>
      </c>
      <c r="CA8" s="247" t="s">
        <v>27</v>
      </c>
      <c r="CB8" s="247" t="s">
        <v>27</v>
      </c>
      <c r="CC8" s="247" t="s">
        <v>27</v>
      </c>
      <c r="CD8" s="247" t="s">
        <v>27</v>
      </c>
      <c r="CE8" s="247" t="s">
        <v>27</v>
      </c>
      <c r="CF8" s="247" t="s">
        <v>27</v>
      </c>
      <c r="CG8" s="247" t="s">
        <v>27</v>
      </c>
      <c r="CH8" s="247" t="s">
        <v>27</v>
      </c>
      <c r="CI8" s="247" t="s">
        <v>27</v>
      </c>
      <c r="CJ8" s="247" t="s">
        <v>27</v>
      </c>
      <c r="CK8" s="247" t="s">
        <v>27</v>
      </c>
      <c r="CL8" s="247" t="s">
        <v>27</v>
      </c>
      <c r="CM8" s="247" t="s">
        <v>27</v>
      </c>
      <c r="CN8" s="247" t="s">
        <v>27</v>
      </c>
      <c r="CO8" s="247" t="s">
        <v>27</v>
      </c>
      <c r="CP8" s="247" t="s">
        <v>27</v>
      </c>
      <c r="CQ8" s="247" t="s">
        <v>27</v>
      </c>
      <c r="CR8" s="247" t="s">
        <v>27</v>
      </c>
      <c r="CS8" s="247" t="s">
        <v>27</v>
      </c>
      <c r="CT8" s="247" t="s">
        <v>27</v>
      </c>
      <c r="CU8" s="247" t="s">
        <v>27</v>
      </c>
      <c r="CV8" s="247" t="s">
        <v>27</v>
      </c>
      <c r="CW8" s="247" t="s">
        <v>27</v>
      </c>
      <c r="CX8" s="247" t="s">
        <v>27</v>
      </c>
      <c r="CY8" s="247" t="s">
        <v>27</v>
      </c>
      <c r="CZ8" s="247" t="s">
        <v>27</v>
      </c>
      <c r="DA8" s="247" t="s">
        <v>27</v>
      </c>
      <c r="DB8" s="247" t="s">
        <v>27</v>
      </c>
      <c r="DC8" s="247" t="s">
        <v>27</v>
      </c>
      <c r="DD8" s="247" t="s">
        <v>27</v>
      </c>
      <c r="DE8" s="247" t="s">
        <v>27</v>
      </c>
      <c r="DF8" s="247" t="s">
        <v>27</v>
      </c>
      <c r="DG8" s="247" t="s">
        <v>27</v>
      </c>
      <c r="DH8" s="250"/>
      <c r="DI8" s="248" t="s">
        <v>51</v>
      </c>
      <c r="DJ8" s="249" t="s">
        <v>27</v>
      </c>
      <c r="DK8" s="249" t="s">
        <v>27</v>
      </c>
      <c r="DL8" s="249" t="s">
        <v>27</v>
      </c>
      <c r="DM8" s="249" t="s">
        <v>27</v>
      </c>
      <c r="DN8" s="249" t="s">
        <v>27</v>
      </c>
      <c r="DO8" s="249" t="s">
        <v>27</v>
      </c>
      <c r="DP8" s="249" t="s">
        <v>27</v>
      </c>
      <c r="DQ8" s="249" t="s">
        <v>27</v>
      </c>
      <c r="DR8" s="249" t="s">
        <v>27</v>
      </c>
      <c r="DS8" s="249" t="s">
        <v>27</v>
      </c>
      <c r="DT8" s="249" t="s">
        <v>27</v>
      </c>
      <c r="DU8" s="249" t="s">
        <v>27</v>
      </c>
      <c r="DV8" s="249" t="s">
        <v>27</v>
      </c>
      <c r="DW8" s="249" t="s">
        <v>27</v>
      </c>
      <c r="DX8" s="249" t="s">
        <v>27</v>
      </c>
      <c r="DY8" s="249" t="s">
        <v>27</v>
      </c>
      <c r="DZ8" s="249" t="s">
        <v>27</v>
      </c>
      <c r="EA8" s="249" t="s">
        <v>27</v>
      </c>
      <c r="EB8" s="249" t="s">
        <v>27</v>
      </c>
      <c r="EC8" s="249" t="s">
        <v>27</v>
      </c>
      <c r="ED8" s="249" t="s">
        <v>27</v>
      </c>
      <c r="EE8" s="249" t="s">
        <v>27</v>
      </c>
      <c r="EF8" s="249" t="s">
        <v>27</v>
      </c>
      <c r="EG8" s="249" t="s">
        <v>27</v>
      </c>
      <c r="EH8" s="249" t="s">
        <v>27</v>
      </c>
      <c r="EI8" s="249" t="s">
        <v>27</v>
      </c>
      <c r="EJ8" s="249" t="s">
        <v>27</v>
      </c>
      <c r="EK8" s="249" t="s">
        <v>27</v>
      </c>
      <c r="EL8" s="249" t="s">
        <v>27</v>
      </c>
      <c r="EM8" s="249" t="s">
        <v>27</v>
      </c>
      <c r="EN8" s="249" t="s">
        <v>27</v>
      </c>
      <c r="EO8" s="249" t="s">
        <v>27</v>
      </c>
      <c r="EP8" s="249" t="s">
        <v>27</v>
      </c>
      <c r="EQ8" s="249" t="s">
        <v>27</v>
      </c>
      <c r="ER8" s="249" t="s">
        <v>27</v>
      </c>
      <c r="ES8" s="249" t="s">
        <v>27</v>
      </c>
      <c r="ET8" s="249" t="s">
        <v>27</v>
      </c>
      <c r="EU8" s="249" t="s">
        <v>27</v>
      </c>
      <c r="EV8" s="249" t="s">
        <v>27</v>
      </c>
      <c r="EW8" s="249" t="s">
        <v>27</v>
      </c>
      <c r="EX8" s="249" t="s">
        <v>27</v>
      </c>
      <c r="EY8" s="249" t="s">
        <v>27</v>
      </c>
      <c r="EZ8" s="249" t="s">
        <v>27</v>
      </c>
      <c r="FA8" s="249" t="s">
        <v>27</v>
      </c>
      <c r="FB8" s="249" t="s">
        <v>27</v>
      </c>
      <c r="FC8" s="249" t="s">
        <v>27</v>
      </c>
      <c r="FD8" s="249" t="s">
        <v>27</v>
      </c>
      <c r="FE8" s="249" t="s">
        <v>27</v>
      </c>
      <c r="FF8" s="249" t="s">
        <v>27</v>
      </c>
      <c r="FG8" s="249" t="s">
        <v>27</v>
      </c>
      <c r="FH8" s="249" t="s">
        <v>27</v>
      </c>
      <c r="FI8" s="249" t="s">
        <v>27</v>
      </c>
      <c r="FJ8" s="249" t="s">
        <v>27</v>
      </c>
      <c r="FK8" s="249" t="s">
        <v>27</v>
      </c>
    </row>
    <row r="9" spans="1:167" x14ac:dyDescent="0.25">
      <c r="A9" s="236" t="s">
        <v>50</v>
      </c>
      <c r="B9" s="246">
        <f t="shared" ref="B9:Q23" si="4">BF9+DJ9</f>
        <v>73988</v>
      </c>
      <c r="C9" s="246">
        <f t="shared" si="4"/>
        <v>0</v>
      </c>
      <c r="D9" s="246">
        <f t="shared" si="4"/>
        <v>17671</v>
      </c>
      <c r="E9" s="246">
        <f t="shared" si="4"/>
        <v>284</v>
      </c>
      <c r="F9" s="246">
        <f t="shared" si="4"/>
        <v>264</v>
      </c>
      <c r="G9" s="246">
        <f t="shared" si="4"/>
        <v>0</v>
      </c>
      <c r="H9" s="246">
        <f t="shared" si="4"/>
        <v>17</v>
      </c>
      <c r="I9" s="246">
        <f t="shared" si="4"/>
        <v>1</v>
      </c>
      <c r="J9" s="246">
        <f t="shared" si="4"/>
        <v>1</v>
      </c>
      <c r="K9" s="246">
        <f t="shared" si="4"/>
        <v>65</v>
      </c>
      <c r="L9" s="246">
        <f t="shared" si="4"/>
        <v>96</v>
      </c>
      <c r="M9" s="246">
        <f t="shared" si="4"/>
        <v>36</v>
      </c>
      <c r="N9" s="246">
        <f t="shared" si="4"/>
        <v>1</v>
      </c>
      <c r="O9" s="246">
        <f t="shared" si="4"/>
        <v>9</v>
      </c>
      <c r="P9" s="246">
        <f t="shared" si="4"/>
        <v>507</v>
      </c>
      <c r="Q9" s="246">
        <f t="shared" si="4"/>
        <v>3</v>
      </c>
      <c r="R9" s="246">
        <f t="shared" ref="R9:AG23" si="5">BV9+DZ9</f>
        <v>3</v>
      </c>
      <c r="S9" s="246">
        <f t="shared" si="5"/>
        <v>54651</v>
      </c>
      <c r="T9" s="246">
        <f t="shared" si="5"/>
        <v>0</v>
      </c>
      <c r="U9" s="246">
        <f t="shared" si="5"/>
        <v>379</v>
      </c>
      <c r="V9" s="246">
        <f t="shared" si="5"/>
        <v>43</v>
      </c>
      <c r="W9" s="246">
        <f t="shared" si="5"/>
        <v>127</v>
      </c>
      <c r="X9" s="246">
        <f t="shared" si="5"/>
        <v>76873</v>
      </c>
      <c r="Y9" s="246">
        <f t="shared" si="5"/>
        <v>1</v>
      </c>
      <c r="Z9" s="246">
        <f t="shared" si="5"/>
        <v>7</v>
      </c>
      <c r="AA9" s="246">
        <f t="shared" si="5"/>
        <v>-1</v>
      </c>
      <c r="AB9" s="246">
        <f t="shared" si="5"/>
        <v>0</v>
      </c>
      <c r="AC9" s="246">
        <f t="shared" si="5"/>
        <v>1</v>
      </c>
      <c r="AD9" s="246">
        <f t="shared" si="5"/>
        <v>0</v>
      </c>
      <c r="AE9" s="246">
        <f t="shared" si="5"/>
        <v>4</v>
      </c>
      <c r="AF9" s="246">
        <f t="shared" si="5"/>
        <v>1</v>
      </c>
      <c r="AG9" s="246">
        <f t="shared" si="5"/>
        <v>0</v>
      </c>
      <c r="AH9" s="246">
        <f t="shared" ref="AH9:AW23" si="6">CL9+EP9</f>
        <v>0</v>
      </c>
      <c r="AI9" s="246">
        <f t="shared" si="6"/>
        <v>0</v>
      </c>
      <c r="AJ9" s="246">
        <f t="shared" si="6"/>
        <v>2</v>
      </c>
      <c r="AK9" s="246">
        <f t="shared" si="6"/>
        <v>77058</v>
      </c>
      <c r="AL9" s="246">
        <f t="shared" si="6"/>
        <v>0</v>
      </c>
      <c r="AM9" s="246">
        <f t="shared" si="6"/>
        <v>0</v>
      </c>
      <c r="AN9" s="246">
        <f t="shared" si="6"/>
        <v>0</v>
      </c>
      <c r="AO9" s="246">
        <f t="shared" si="6"/>
        <v>0</v>
      </c>
      <c r="AP9" s="246">
        <f t="shared" si="6"/>
        <v>0</v>
      </c>
      <c r="AQ9" s="246">
        <f t="shared" si="6"/>
        <v>0</v>
      </c>
      <c r="AR9" s="246">
        <f t="shared" si="6"/>
        <v>0</v>
      </c>
      <c r="AS9" s="246">
        <f t="shared" si="6"/>
        <v>0</v>
      </c>
      <c r="AT9" s="246">
        <f t="shared" si="6"/>
        <v>0</v>
      </c>
      <c r="AU9" s="246">
        <f t="shared" si="6"/>
        <v>0</v>
      </c>
      <c r="AV9" s="246">
        <f t="shared" si="6"/>
        <v>0</v>
      </c>
      <c r="AW9" s="246">
        <f t="shared" si="6"/>
        <v>0</v>
      </c>
      <c r="AX9" s="246">
        <f t="shared" ref="AX9:BC23" si="7">DB9+FF9</f>
        <v>0</v>
      </c>
      <c r="AY9" s="246">
        <f t="shared" si="7"/>
        <v>0</v>
      </c>
      <c r="AZ9" s="246">
        <f t="shared" si="7"/>
        <v>0</v>
      </c>
      <c r="BA9" s="246">
        <f t="shared" si="7"/>
        <v>0</v>
      </c>
      <c r="BB9" s="246">
        <f t="shared" si="7"/>
        <v>157</v>
      </c>
      <c r="BC9" s="246">
        <f t="shared" si="7"/>
        <v>151203</v>
      </c>
      <c r="BD9" s="202"/>
      <c r="BE9" s="236" t="s">
        <v>50</v>
      </c>
      <c r="BF9" s="247">
        <v>15706</v>
      </c>
      <c r="BG9" s="247">
        <v>0</v>
      </c>
      <c r="BH9" s="247">
        <v>13485</v>
      </c>
      <c r="BI9" s="247">
        <v>195</v>
      </c>
      <c r="BJ9" s="247">
        <v>247</v>
      </c>
      <c r="BK9" s="247">
        <v>0</v>
      </c>
      <c r="BL9" s="247">
        <v>9</v>
      </c>
      <c r="BM9" s="247">
        <v>1</v>
      </c>
      <c r="BN9" s="247">
        <v>0</v>
      </c>
      <c r="BO9" s="247">
        <v>64</v>
      </c>
      <c r="BP9" s="247">
        <v>76</v>
      </c>
      <c r="BQ9" s="247">
        <v>33</v>
      </c>
      <c r="BR9" s="247">
        <v>1</v>
      </c>
      <c r="BS9" s="247">
        <v>9</v>
      </c>
      <c r="BT9" s="247">
        <v>471</v>
      </c>
      <c r="BU9" s="247">
        <v>3</v>
      </c>
      <c r="BV9" s="247">
        <v>3</v>
      </c>
      <c r="BW9" s="247">
        <v>730</v>
      </c>
      <c r="BX9" s="247">
        <v>0</v>
      </c>
      <c r="BY9" s="247">
        <v>379</v>
      </c>
      <c r="BZ9" s="247">
        <v>43</v>
      </c>
      <c r="CA9" s="247">
        <v>127</v>
      </c>
      <c r="CB9" s="247">
        <v>76873</v>
      </c>
      <c r="CC9" s="247">
        <v>1</v>
      </c>
      <c r="CD9" s="247">
        <v>3</v>
      </c>
      <c r="CE9" s="247">
        <v>-1</v>
      </c>
      <c r="CF9" s="247">
        <v>0</v>
      </c>
      <c r="CG9" s="247">
        <v>1</v>
      </c>
      <c r="CH9" s="247">
        <v>0</v>
      </c>
      <c r="CI9" s="247">
        <v>4</v>
      </c>
      <c r="CJ9" s="247">
        <v>1</v>
      </c>
      <c r="CK9" s="247">
        <v>0</v>
      </c>
      <c r="CL9" s="247">
        <v>0</v>
      </c>
      <c r="CM9" s="247">
        <v>0</v>
      </c>
      <c r="CN9" s="247">
        <v>2</v>
      </c>
      <c r="CO9" s="247">
        <v>77054</v>
      </c>
      <c r="CP9" s="247">
        <v>0</v>
      </c>
      <c r="CQ9" s="247">
        <v>0</v>
      </c>
      <c r="CR9" s="247">
        <v>0</v>
      </c>
      <c r="CS9" s="247">
        <v>0</v>
      </c>
      <c r="CT9" s="247">
        <v>0</v>
      </c>
      <c r="CU9" s="247">
        <v>0</v>
      </c>
      <c r="CV9" s="247">
        <v>0</v>
      </c>
      <c r="CW9" s="247">
        <v>0</v>
      </c>
      <c r="CX9" s="247">
        <v>0</v>
      </c>
      <c r="CY9" s="247">
        <v>0</v>
      </c>
      <c r="CZ9" s="247">
        <v>0</v>
      </c>
      <c r="DA9" s="247">
        <v>0</v>
      </c>
      <c r="DB9" s="247">
        <v>0</v>
      </c>
      <c r="DC9" s="247">
        <v>0</v>
      </c>
      <c r="DD9" s="247">
        <v>0</v>
      </c>
      <c r="DE9" s="247">
        <v>0</v>
      </c>
      <c r="DF9" s="247">
        <v>157</v>
      </c>
      <c r="DG9" s="247">
        <v>92917</v>
      </c>
      <c r="DH9" s="247"/>
      <c r="DI9" s="248" t="s">
        <v>50</v>
      </c>
      <c r="DJ9" s="249">
        <v>58282</v>
      </c>
      <c r="DK9" s="249">
        <v>0</v>
      </c>
      <c r="DL9" s="249">
        <v>4186</v>
      </c>
      <c r="DM9" s="249">
        <v>89</v>
      </c>
      <c r="DN9" s="249">
        <v>17</v>
      </c>
      <c r="DO9" s="249">
        <v>0</v>
      </c>
      <c r="DP9" s="249">
        <v>8</v>
      </c>
      <c r="DQ9" s="249">
        <v>0</v>
      </c>
      <c r="DR9" s="249">
        <v>1</v>
      </c>
      <c r="DS9" s="249">
        <v>1</v>
      </c>
      <c r="DT9" s="249">
        <v>20</v>
      </c>
      <c r="DU9" s="249">
        <v>3</v>
      </c>
      <c r="DV9" s="249">
        <v>0</v>
      </c>
      <c r="DW9" s="249">
        <v>0</v>
      </c>
      <c r="DX9" s="249">
        <v>36</v>
      </c>
      <c r="DY9" s="249">
        <v>0</v>
      </c>
      <c r="DZ9" s="249">
        <v>0</v>
      </c>
      <c r="EA9" s="249">
        <v>53921</v>
      </c>
      <c r="EB9" s="249">
        <v>0</v>
      </c>
      <c r="EC9" s="249">
        <v>0</v>
      </c>
      <c r="ED9" s="249">
        <v>0</v>
      </c>
      <c r="EE9" s="249">
        <v>0</v>
      </c>
      <c r="EF9" s="249">
        <v>0</v>
      </c>
      <c r="EG9" s="249">
        <v>0</v>
      </c>
      <c r="EH9" s="249">
        <v>4</v>
      </c>
      <c r="EI9" s="249">
        <v>0</v>
      </c>
      <c r="EJ9" s="249">
        <v>0</v>
      </c>
      <c r="EK9" s="249">
        <v>0</v>
      </c>
      <c r="EL9" s="249">
        <v>0</v>
      </c>
      <c r="EM9" s="249">
        <v>0</v>
      </c>
      <c r="EN9" s="249">
        <v>0</v>
      </c>
      <c r="EO9" s="249">
        <v>0</v>
      </c>
      <c r="EP9" s="249">
        <v>0</v>
      </c>
      <c r="EQ9" s="249">
        <v>0</v>
      </c>
      <c r="ER9" s="249">
        <v>0</v>
      </c>
      <c r="ES9" s="249">
        <v>4</v>
      </c>
      <c r="ET9" s="249">
        <v>0</v>
      </c>
      <c r="EU9" s="249">
        <v>0</v>
      </c>
      <c r="EV9" s="249">
        <v>0</v>
      </c>
      <c r="EW9" s="249">
        <v>0</v>
      </c>
      <c r="EX9" s="249">
        <v>0</v>
      </c>
      <c r="EY9" s="249">
        <v>0</v>
      </c>
      <c r="EZ9" s="249">
        <v>0</v>
      </c>
      <c r="FA9" s="249">
        <v>0</v>
      </c>
      <c r="FB9" s="249">
        <v>0</v>
      </c>
      <c r="FC9" s="249">
        <v>0</v>
      </c>
      <c r="FD9" s="249">
        <v>0</v>
      </c>
      <c r="FE9" s="249">
        <v>0</v>
      </c>
      <c r="FF9" s="249">
        <v>0</v>
      </c>
      <c r="FG9" s="249">
        <v>0</v>
      </c>
      <c r="FH9" s="249">
        <v>0</v>
      </c>
      <c r="FI9" s="249">
        <v>0</v>
      </c>
      <c r="FJ9" s="249">
        <v>0</v>
      </c>
      <c r="FK9" s="249">
        <v>58286</v>
      </c>
    </row>
    <row r="10" spans="1:167" x14ac:dyDescent="0.25">
      <c r="A10" s="236" t="s">
        <v>49</v>
      </c>
      <c r="B10" s="246">
        <f t="shared" si="4"/>
        <v>552998</v>
      </c>
      <c r="C10" s="246">
        <f t="shared" si="4"/>
        <v>0</v>
      </c>
      <c r="D10" s="246">
        <f t="shared" si="4"/>
        <v>26649</v>
      </c>
      <c r="E10" s="246">
        <f t="shared" si="4"/>
        <v>8821</v>
      </c>
      <c r="F10" s="246">
        <f t="shared" si="4"/>
        <v>9924</v>
      </c>
      <c r="G10" s="246">
        <f t="shared" si="4"/>
        <v>11342</v>
      </c>
      <c r="H10" s="246">
        <f t="shared" si="4"/>
        <v>69900</v>
      </c>
      <c r="I10" s="246">
        <f t="shared" si="4"/>
        <v>10289</v>
      </c>
      <c r="J10" s="246">
        <f t="shared" si="4"/>
        <v>3902</v>
      </c>
      <c r="K10" s="246">
        <f t="shared" si="4"/>
        <v>38492</v>
      </c>
      <c r="L10" s="246">
        <f t="shared" si="4"/>
        <v>31552</v>
      </c>
      <c r="M10" s="246">
        <f t="shared" si="4"/>
        <v>31187</v>
      </c>
      <c r="N10" s="246">
        <f t="shared" si="4"/>
        <v>2573</v>
      </c>
      <c r="O10" s="246">
        <f t="shared" si="4"/>
        <v>3057</v>
      </c>
      <c r="P10" s="246">
        <f t="shared" si="4"/>
        <v>95150</v>
      </c>
      <c r="Q10" s="246">
        <f t="shared" si="4"/>
        <v>19262</v>
      </c>
      <c r="R10" s="246">
        <f t="shared" si="5"/>
        <v>51783</v>
      </c>
      <c r="S10" s="246">
        <f t="shared" si="5"/>
        <v>123848</v>
      </c>
      <c r="T10" s="246">
        <f t="shared" si="5"/>
        <v>0</v>
      </c>
      <c r="U10" s="246">
        <f t="shared" si="5"/>
        <v>15267</v>
      </c>
      <c r="V10" s="246">
        <f t="shared" si="5"/>
        <v>14269</v>
      </c>
      <c r="W10" s="246">
        <f t="shared" si="5"/>
        <v>2415</v>
      </c>
      <c r="X10" s="246">
        <f t="shared" si="5"/>
        <v>142967</v>
      </c>
      <c r="Y10" s="246">
        <f t="shared" si="5"/>
        <v>1009</v>
      </c>
      <c r="Z10" s="246">
        <f t="shared" si="5"/>
        <v>544</v>
      </c>
      <c r="AA10" s="246">
        <f t="shared" si="5"/>
        <v>5335</v>
      </c>
      <c r="AB10" s="246">
        <f t="shared" si="5"/>
        <v>2342</v>
      </c>
      <c r="AC10" s="246">
        <f t="shared" si="5"/>
        <v>241</v>
      </c>
      <c r="AD10" s="246">
        <f t="shared" si="5"/>
        <v>1348</v>
      </c>
      <c r="AE10" s="246">
        <f t="shared" si="5"/>
        <v>513</v>
      </c>
      <c r="AF10" s="246">
        <f t="shared" si="5"/>
        <v>247</v>
      </c>
      <c r="AG10" s="246">
        <f t="shared" si="5"/>
        <v>1</v>
      </c>
      <c r="AH10" s="246">
        <f t="shared" si="6"/>
        <v>0</v>
      </c>
      <c r="AI10" s="246">
        <f t="shared" si="6"/>
        <v>1220</v>
      </c>
      <c r="AJ10" s="246">
        <f t="shared" si="6"/>
        <v>269</v>
      </c>
      <c r="AK10" s="246">
        <f t="shared" si="6"/>
        <v>172720</v>
      </c>
      <c r="AL10" s="246">
        <f t="shared" si="6"/>
        <v>0</v>
      </c>
      <c r="AM10" s="246">
        <f t="shared" si="6"/>
        <v>0</v>
      </c>
      <c r="AN10" s="246">
        <f t="shared" si="6"/>
        <v>0</v>
      </c>
      <c r="AO10" s="246">
        <f t="shared" si="6"/>
        <v>0</v>
      </c>
      <c r="AP10" s="246">
        <f t="shared" si="6"/>
        <v>0</v>
      </c>
      <c r="AQ10" s="246">
        <f t="shared" si="6"/>
        <v>0</v>
      </c>
      <c r="AR10" s="246">
        <f t="shared" si="6"/>
        <v>308</v>
      </c>
      <c r="AS10" s="246">
        <f t="shared" si="6"/>
        <v>0</v>
      </c>
      <c r="AT10" s="246">
        <f t="shared" si="6"/>
        <v>0</v>
      </c>
      <c r="AU10" s="246">
        <f t="shared" si="6"/>
        <v>0</v>
      </c>
      <c r="AV10" s="246">
        <f t="shared" si="6"/>
        <v>0</v>
      </c>
      <c r="AW10" s="246">
        <f t="shared" si="6"/>
        <v>0</v>
      </c>
      <c r="AX10" s="246">
        <f t="shared" si="7"/>
        <v>0</v>
      </c>
      <c r="AY10" s="246">
        <f t="shared" si="7"/>
        <v>0</v>
      </c>
      <c r="AZ10" s="246">
        <f t="shared" si="7"/>
        <v>0</v>
      </c>
      <c r="BA10" s="246">
        <f t="shared" si="7"/>
        <v>0</v>
      </c>
      <c r="BB10" s="246">
        <f t="shared" si="7"/>
        <v>1003</v>
      </c>
      <c r="BC10" s="246">
        <f t="shared" si="7"/>
        <v>727029</v>
      </c>
      <c r="BD10" s="202"/>
      <c r="BE10" s="236" t="s">
        <v>49</v>
      </c>
      <c r="BF10" s="247">
        <v>474491</v>
      </c>
      <c r="BG10" s="247">
        <v>0</v>
      </c>
      <c r="BH10" s="247">
        <v>23734</v>
      </c>
      <c r="BI10" s="247">
        <v>7361</v>
      </c>
      <c r="BJ10" s="247">
        <v>9226</v>
      </c>
      <c r="BK10" s="247">
        <v>11211</v>
      </c>
      <c r="BL10" s="247">
        <v>63579</v>
      </c>
      <c r="BM10" s="247">
        <v>9782</v>
      </c>
      <c r="BN10" s="247">
        <v>3759</v>
      </c>
      <c r="BO10" s="247">
        <v>33662</v>
      </c>
      <c r="BP10" s="247">
        <v>25792</v>
      </c>
      <c r="BQ10" s="247">
        <v>30455</v>
      </c>
      <c r="BR10" s="247">
        <v>2286</v>
      </c>
      <c r="BS10" s="247">
        <v>2859</v>
      </c>
      <c r="BT10" s="247">
        <v>90004</v>
      </c>
      <c r="BU10" s="247">
        <v>18402</v>
      </c>
      <c r="BV10" s="247">
        <v>49628</v>
      </c>
      <c r="BW10" s="247">
        <v>78231</v>
      </c>
      <c r="BX10" s="247">
        <v>0</v>
      </c>
      <c r="BY10" s="247">
        <v>14520</v>
      </c>
      <c r="BZ10" s="247">
        <v>14269</v>
      </c>
      <c r="CA10" s="247">
        <v>2415</v>
      </c>
      <c r="CB10" s="247">
        <v>142967</v>
      </c>
      <c r="CC10" s="247">
        <v>1009</v>
      </c>
      <c r="CD10" s="247">
        <v>209</v>
      </c>
      <c r="CE10" s="247">
        <v>5335</v>
      </c>
      <c r="CF10" s="247">
        <v>2342</v>
      </c>
      <c r="CG10" s="247">
        <v>241</v>
      </c>
      <c r="CH10" s="247">
        <v>1348</v>
      </c>
      <c r="CI10" s="247">
        <v>513</v>
      </c>
      <c r="CJ10" s="247">
        <v>247</v>
      </c>
      <c r="CK10" s="247">
        <v>1</v>
      </c>
      <c r="CL10" s="247">
        <v>0</v>
      </c>
      <c r="CM10" s="247">
        <v>1220</v>
      </c>
      <c r="CN10" s="247">
        <v>269</v>
      </c>
      <c r="CO10" s="247">
        <v>172385</v>
      </c>
      <c r="CP10" s="247">
        <v>0</v>
      </c>
      <c r="CQ10" s="247">
        <v>0</v>
      </c>
      <c r="CR10" s="247">
        <v>0</v>
      </c>
      <c r="CS10" s="247">
        <v>0</v>
      </c>
      <c r="CT10" s="247">
        <v>0</v>
      </c>
      <c r="CU10" s="247">
        <v>0</v>
      </c>
      <c r="CV10" s="247">
        <v>308</v>
      </c>
      <c r="CW10" s="247">
        <v>0</v>
      </c>
      <c r="CX10" s="247">
        <v>0</v>
      </c>
      <c r="CY10" s="247">
        <v>0</v>
      </c>
      <c r="CZ10" s="247">
        <v>0</v>
      </c>
      <c r="DA10" s="247">
        <v>0</v>
      </c>
      <c r="DB10" s="247">
        <v>0</v>
      </c>
      <c r="DC10" s="247">
        <v>0</v>
      </c>
      <c r="DD10" s="247">
        <v>0</v>
      </c>
      <c r="DE10" s="247">
        <v>0</v>
      </c>
      <c r="DF10" s="247">
        <v>1003</v>
      </c>
      <c r="DG10" s="247">
        <v>648187</v>
      </c>
      <c r="DH10" s="247"/>
      <c r="DI10" s="248" t="s">
        <v>49</v>
      </c>
      <c r="DJ10" s="249">
        <v>78507</v>
      </c>
      <c r="DK10" s="249">
        <v>0</v>
      </c>
      <c r="DL10" s="249">
        <v>2915</v>
      </c>
      <c r="DM10" s="249">
        <v>1460</v>
      </c>
      <c r="DN10" s="249">
        <v>698</v>
      </c>
      <c r="DO10" s="249">
        <v>131</v>
      </c>
      <c r="DP10" s="249">
        <v>6321</v>
      </c>
      <c r="DQ10" s="249">
        <v>507</v>
      </c>
      <c r="DR10" s="249">
        <v>143</v>
      </c>
      <c r="DS10" s="249">
        <v>4830</v>
      </c>
      <c r="DT10" s="249">
        <v>5760</v>
      </c>
      <c r="DU10" s="249">
        <v>732</v>
      </c>
      <c r="DV10" s="249">
        <v>287</v>
      </c>
      <c r="DW10" s="249">
        <v>198</v>
      </c>
      <c r="DX10" s="249">
        <v>5146</v>
      </c>
      <c r="DY10" s="249">
        <v>860</v>
      </c>
      <c r="DZ10" s="249">
        <v>2155</v>
      </c>
      <c r="EA10" s="249">
        <v>45617</v>
      </c>
      <c r="EB10" s="249">
        <v>0</v>
      </c>
      <c r="EC10" s="249">
        <v>747</v>
      </c>
      <c r="ED10" s="249">
        <v>0</v>
      </c>
      <c r="EE10" s="249">
        <v>0</v>
      </c>
      <c r="EF10" s="249">
        <v>0</v>
      </c>
      <c r="EG10" s="249">
        <v>0</v>
      </c>
      <c r="EH10" s="249">
        <v>335</v>
      </c>
      <c r="EI10" s="249">
        <v>0</v>
      </c>
      <c r="EJ10" s="249">
        <v>0</v>
      </c>
      <c r="EK10" s="249">
        <v>0</v>
      </c>
      <c r="EL10" s="249">
        <v>0</v>
      </c>
      <c r="EM10" s="249">
        <v>0</v>
      </c>
      <c r="EN10" s="249">
        <v>0</v>
      </c>
      <c r="EO10" s="249">
        <v>0</v>
      </c>
      <c r="EP10" s="249">
        <v>0</v>
      </c>
      <c r="EQ10" s="249">
        <v>0</v>
      </c>
      <c r="ER10" s="249">
        <v>0</v>
      </c>
      <c r="ES10" s="249">
        <v>335</v>
      </c>
      <c r="ET10" s="249">
        <v>0</v>
      </c>
      <c r="EU10" s="249">
        <v>0</v>
      </c>
      <c r="EV10" s="249">
        <v>0</v>
      </c>
      <c r="EW10" s="249">
        <v>0</v>
      </c>
      <c r="EX10" s="249">
        <v>0</v>
      </c>
      <c r="EY10" s="249">
        <v>0</v>
      </c>
      <c r="EZ10" s="249">
        <v>0</v>
      </c>
      <c r="FA10" s="249">
        <v>0</v>
      </c>
      <c r="FB10" s="249">
        <v>0</v>
      </c>
      <c r="FC10" s="249">
        <v>0</v>
      </c>
      <c r="FD10" s="249">
        <v>0</v>
      </c>
      <c r="FE10" s="249">
        <v>0</v>
      </c>
      <c r="FF10" s="249">
        <v>0</v>
      </c>
      <c r="FG10" s="249">
        <v>0</v>
      </c>
      <c r="FH10" s="249">
        <v>0</v>
      </c>
      <c r="FI10" s="249">
        <v>0</v>
      </c>
      <c r="FJ10" s="249">
        <v>0</v>
      </c>
      <c r="FK10" s="249">
        <v>78842</v>
      </c>
    </row>
    <row r="11" spans="1:167" x14ac:dyDescent="0.25">
      <c r="A11" s="236" t="s">
        <v>48</v>
      </c>
      <c r="B11" s="246">
        <f t="shared" si="4"/>
        <v>12006287</v>
      </c>
      <c r="C11" s="246">
        <f t="shared" si="4"/>
        <v>0</v>
      </c>
      <c r="D11" s="246">
        <f t="shared" si="4"/>
        <v>250627</v>
      </c>
      <c r="E11" s="246">
        <f t="shared" si="4"/>
        <v>86234</v>
      </c>
      <c r="F11" s="246">
        <f t="shared" si="4"/>
        <v>89097</v>
      </c>
      <c r="G11" s="246">
        <f t="shared" si="4"/>
        <v>43256</v>
      </c>
      <c r="H11" s="246">
        <f t="shared" si="4"/>
        <v>586532</v>
      </c>
      <c r="I11" s="246">
        <f t="shared" si="4"/>
        <v>146021</v>
      </c>
      <c r="J11" s="246">
        <f t="shared" si="4"/>
        <v>96587</v>
      </c>
      <c r="K11" s="246">
        <f t="shared" si="4"/>
        <v>388647</v>
      </c>
      <c r="L11" s="246">
        <f t="shared" si="4"/>
        <v>374896</v>
      </c>
      <c r="M11" s="246">
        <f t="shared" si="4"/>
        <v>378864</v>
      </c>
      <c r="N11" s="246">
        <f t="shared" si="4"/>
        <v>54193</v>
      </c>
      <c r="O11" s="246">
        <f t="shared" si="4"/>
        <v>58251</v>
      </c>
      <c r="P11" s="246">
        <f t="shared" si="4"/>
        <v>830135</v>
      </c>
      <c r="Q11" s="246">
        <f t="shared" si="4"/>
        <v>156276</v>
      </c>
      <c r="R11" s="246">
        <f t="shared" si="5"/>
        <v>293396</v>
      </c>
      <c r="S11" s="246">
        <f t="shared" si="5"/>
        <v>8020557</v>
      </c>
      <c r="T11" s="246">
        <f t="shared" si="5"/>
        <v>0</v>
      </c>
      <c r="U11" s="246">
        <f t="shared" si="5"/>
        <v>152718</v>
      </c>
      <c r="V11" s="246">
        <f t="shared" si="5"/>
        <v>369</v>
      </c>
      <c r="W11" s="246">
        <f t="shared" si="5"/>
        <v>25</v>
      </c>
      <c r="X11" s="246">
        <f t="shared" si="5"/>
        <v>4077</v>
      </c>
      <c r="Y11" s="246">
        <f t="shared" si="5"/>
        <v>2072</v>
      </c>
      <c r="Z11" s="246">
        <f t="shared" si="5"/>
        <v>463</v>
      </c>
      <c r="AA11" s="246">
        <f t="shared" si="5"/>
        <v>2931</v>
      </c>
      <c r="AB11" s="246">
        <f t="shared" si="5"/>
        <v>828</v>
      </c>
      <c r="AC11" s="246">
        <f t="shared" si="5"/>
        <v>447</v>
      </c>
      <c r="AD11" s="246">
        <f t="shared" si="5"/>
        <v>0</v>
      </c>
      <c r="AE11" s="246">
        <f t="shared" si="5"/>
        <v>485</v>
      </c>
      <c r="AF11" s="246">
        <f t="shared" si="5"/>
        <v>1865</v>
      </c>
      <c r="AG11" s="246">
        <f t="shared" si="5"/>
        <v>0</v>
      </c>
      <c r="AH11" s="246">
        <f t="shared" si="6"/>
        <v>990</v>
      </c>
      <c r="AI11" s="246">
        <f t="shared" si="6"/>
        <v>207</v>
      </c>
      <c r="AJ11" s="246">
        <f t="shared" si="6"/>
        <v>169</v>
      </c>
      <c r="AK11" s="246">
        <f t="shared" si="6"/>
        <v>14928</v>
      </c>
      <c r="AL11" s="246">
        <f t="shared" si="6"/>
        <v>0</v>
      </c>
      <c r="AM11" s="246">
        <f t="shared" si="6"/>
        <v>0</v>
      </c>
      <c r="AN11" s="246">
        <f t="shared" si="6"/>
        <v>0</v>
      </c>
      <c r="AO11" s="246">
        <f t="shared" si="6"/>
        <v>0</v>
      </c>
      <c r="AP11" s="246">
        <f t="shared" si="6"/>
        <v>0</v>
      </c>
      <c r="AQ11" s="246">
        <f t="shared" si="6"/>
        <v>0</v>
      </c>
      <c r="AR11" s="246">
        <f t="shared" si="6"/>
        <v>0</v>
      </c>
      <c r="AS11" s="246">
        <f t="shared" si="6"/>
        <v>0</v>
      </c>
      <c r="AT11" s="246">
        <f t="shared" si="6"/>
        <v>0</v>
      </c>
      <c r="AU11" s="246">
        <f t="shared" si="6"/>
        <v>0</v>
      </c>
      <c r="AV11" s="246">
        <f t="shared" si="6"/>
        <v>0</v>
      </c>
      <c r="AW11" s="246">
        <f t="shared" si="6"/>
        <v>0</v>
      </c>
      <c r="AX11" s="246">
        <f t="shared" si="7"/>
        <v>0</v>
      </c>
      <c r="AY11" s="246">
        <f t="shared" si="7"/>
        <v>0</v>
      </c>
      <c r="AZ11" s="246">
        <f t="shared" si="7"/>
        <v>0</v>
      </c>
      <c r="BA11" s="246">
        <f t="shared" si="7"/>
        <v>0</v>
      </c>
      <c r="BB11" s="246">
        <f t="shared" si="7"/>
        <v>76</v>
      </c>
      <c r="BC11" s="246">
        <f t="shared" si="7"/>
        <v>12021291</v>
      </c>
      <c r="BD11" s="202"/>
      <c r="BE11" s="236" t="s">
        <v>48</v>
      </c>
      <c r="BF11" s="247">
        <v>10733384</v>
      </c>
      <c r="BG11" s="247">
        <v>0</v>
      </c>
      <c r="BH11" s="247">
        <v>247636</v>
      </c>
      <c r="BI11" s="247">
        <v>85609</v>
      </c>
      <c r="BJ11" s="247">
        <v>88681</v>
      </c>
      <c r="BK11" s="247">
        <v>43250</v>
      </c>
      <c r="BL11" s="247">
        <v>585737</v>
      </c>
      <c r="BM11" s="247">
        <v>145923</v>
      </c>
      <c r="BN11" s="247">
        <v>85807</v>
      </c>
      <c r="BO11" s="247">
        <v>362990</v>
      </c>
      <c r="BP11" s="247">
        <v>359150</v>
      </c>
      <c r="BQ11" s="247">
        <v>378851</v>
      </c>
      <c r="BR11" s="247">
        <v>53984</v>
      </c>
      <c r="BS11" s="247">
        <v>57525</v>
      </c>
      <c r="BT11" s="247">
        <v>814192</v>
      </c>
      <c r="BU11" s="247">
        <v>155035</v>
      </c>
      <c r="BV11" s="247">
        <v>292389</v>
      </c>
      <c r="BW11" s="247">
        <v>6824268</v>
      </c>
      <c r="BX11" s="247">
        <v>0</v>
      </c>
      <c r="BY11" s="247">
        <v>152357</v>
      </c>
      <c r="BZ11" s="247">
        <v>369</v>
      </c>
      <c r="CA11" s="247">
        <v>25</v>
      </c>
      <c r="CB11" s="247">
        <v>4077</v>
      </c>
      <c r="CC11" s="247">
        <v>2072</v>
      </c>
      <c r="CD11" s="247">
        <v>341</v>
      </c>
      <c r="CE11" s="247">
        <v>2931</v>
      </c>
      <c r="CF11" s="247">
        <v>828</v>
      </c>
      <c r="CG11" s="247">
        <v>447</v>
      </c>
      <c r="CH11" s="247">
        <v>0</v>
      </c>
      <c r="CI11" s="247">
        <v>485</v>
      </c>
      <c r="CJ11" s="247">
        <v>1865</v>
      </c>
      <c r="CK11" s="247">
        <v>0</v>
      </c>
      <c r="CL11" s="247">
        <v>990</v>
      </c>
      <c r="CM11" s="247">
        <v>207</v>
      </c>
      <c r="CN11" s="247">
        <v>169</v>
      </c>
      <c r="CO11" s="247">
        <v>14806</v>
      </c>
      <c r="CP11" s="247">
        <v>0</v>
      </c>
      <c r="CQ11" s="247">
        <v>0</v>
      </c>
      <c r="CR11" s="247">
        <v>0</v>
      </c>
      <c r="CS11" s="247">
        <v>0</v>
      </c>
      <c r="CT11" s="247">
        <v>0</v>
      </c>
      <c r="CU11" s="247">
        <v>0</v>
      </c>
      <c r="CV11" s="247">
        <v>0</v>
      </c>
      <c r="CW11" s="247">
        <v>0</v>
      </c>
      <c r="CX11" s="247">
        <v>0</v>
      </c>
      <c r="CY11" s="247">
        <v>0</v>
      </c>
      <c r="CZ11" s="247">
        <v>0</v>
      </c>
      <c r="DA11" s="247">
        <v>0</v>
      </c>
      <c r="DB11" s="247">
        <v>0</v>
      </c>
      <c r="DC11" s="247">
        <v>0</v>
      </c>
      <c r="DD11" s="247">
        <v>0</v>
      </c>
      <c r="DE11" s="247">
        <v>0</v>
      </c>
      <c r="DF11" s="247">
        <v>76</v>
      </c>
      <c r="DG11" s="247">
        <v>10748266</v>
      </c>
      <c r="DH11" s="247"/>
      <c r="DI11" s="248" t="s">
        <v>48</v>
      </c>
      <c r="DJ11" s="249">
        <v>1272903</v>
      </c>
      <c r="DK11" s="249">
        <v>0</v>
      </c>
      <c r="DL11" s="249">
        <v>2991</v>
      </c>
      <c r="DM11" s="249">
        <v>625</v>
      </c>
      <c r="DN11" s="249">
        <v>416</v>
      </c>
      <c r="DO11" s="249">
        <v>6</v>
      </c>
      <c r="DP11" s="249">
        <v>795</v>
      </c>
      <c r="DQ11" s="249">
        <v>98</v>
      </c>
      <c r="DR11" s="249">
        <v>10780</v>
      </c>
      <c r="DS11" s="249">
        <v>25657</v>
      </c>
      <c r="DT11" s="249">
        <v>15746</v>
      </c>
      <c r="DU11" s="249">
        <v>13</v>
      </c>
      <c r="DV11" s="249">
        <v>209</v>
      </c>
      <c r="DW11" s="249">
        <v>726</v>
      </c>
      <c r="DX11" s="249">
        <v>15943</v>
      </c>
      <c r="DY11" s="249">
        <v>1241</v>
      </c>
      <c r="DZ11" s="249">
        <v>1007</v>
      </c>
      <c r="EA11" s="249">
        <v>1196289</v>
      </c>
      <c r="EB11" s="249">
        <v>0</v>
      </c>
      <c r="EC11" s="249">
        <v>361</v>
      </c>
      <c r="ED11" s="249">
        <v>0</v>
      </c>
      <c r="EE11" s="249">
        <v>0</v>
      </c>
      <c r="EF11" s="249">
        <v>0</v>
      </c>
      <c r="EG11" s="249">
        <v>0</v>
      </c>
      <c r="EH11" s="249">
        <v>122</v>
      </c>
      <c r="EI11" s="249">
        <v>0</v>
      </c>
      <c r="EJ11" s="249">
        <v>0</v>
      </c>
      <c r="EK11" s="249">
        <v>0</v>
      </c>
      <c r="EL11" s="249">
        <v>0</v>
      </c>
      <c r="EM11" s="249">
        <v>0</v>
      </c>
      <c r="EN11" s="249">
        <v>0</v>
      </c>
      <c r="EO11" s="249">
        <v>0</v>
      </c>
      <c r="EP11" s="249">
        <v>0</v>
      </c>
      <c r="EQ11" s="249">
        <v>0</v>
      </c>
      <c r="ER11" s="249">
        <v>0</v>
      </c>
      <c r="ES11" s="249">
        <v>122</v>
      </c>
      <c r="ET11" s="249">
        <v>0</v>
      </c>
      <c r="EU11" s="249">
        <v>0</v>
      </c>
      <c r="EV11" s="249">
        <v>0</v>
      </c>
      <c r="EW11" s="249">
        <v>0</v>
      </c>
      <c r="EX11" s="249">
        <v>0</v>
      </c>
      <c r="EY11" s="249">
        <v>0</v>
      </c>
      <c r="EZ11" s="249">
        <v>0</v>
      </c>
      <c r="FA11" s="249">
        <v>0</v>
      </c>
      <c r="FB11" s="249">
        <v>0</v>
      </c>
      <c r="FC11" s="249">
        <v>0</v>
      </c>
      <c r="FD11" s="249">
        <v>0</v>
      </c>
      <c r="FE11" s="249">
        <v>0</v>
      </c>
      <c r="FF11" s="249">
        <v>0</v>
      </c>
      <c r="FG11" s="249">
        <v>0</v>
      </c>
      <c r="FH11" s="249">
        <v>0</v>
      </c>
      <c r="FI11" s="249">
        <v>0</v>
      </c>
      <c r="FJ11" s="249">
        <v>0</v>
      </c>
      <c r="FK11" s="249">
        <v>1273025</v>
      </c>
    </row>
    <row r="12" spans="1:167" x14ac:dyDescent="0.25">
      <c r="A12" s="236" t="s">
        <v>47</v>
      </c>
      <c r="B12" s="246">
        <f t="shared" si="4"/>
        <v>3597727</v>
      </c>
      <c r="C12" s="246">
        <f t="shared" si="4"/>
        <v>0</v>
      </c>
      <c r="D12" s="246">
        <f t="shared" si="4"/>
        <v>618206</v>
      </c>
      <c r="E12" s="246">
        <f t="shared" si="4"/>
        <v>100891</v>
      </c>
      <c r="F12" s="246">
        <f t="shared" si="4"/>
        <v>46720</v>
      </c>
      <c r="G12" s="246">
        <f t="shared" si="4"/>
        <v>36834</v>
      </c>
      <c r="H12" s="246">
        <f t="shared" si="4"/>
        <v>771001</v>
      </c>
      <c r="I12" s="246">
        <f t="shared" si="4"/>
        <v>60599</v>
      </c>
      <c r="J12" s="246">
        <f t="shared" si="4"/>
        <v>11347</v>
      </c>
      <c r="K12" s="246">
        <f t="shared" si="4"/>
        <v>435670</v>
      </c>
      <c r="L12" s="246">
        <f t="shared" si="4"/>
        <v>257270</v>
      </c>
      <c r="M12" s="246">
        <f t="shared" si="4"/>
        <v>122170</v>
      </c>
      <c r="N12" s="246">
        <f t="shared" si="4"/>
        <v>23164</v>
      </c>
      <c r="O12" s="246">
        <f t="shared" si="4"/>
        <v>91656</v>
      </c>
      <c r="P12" s="246">
        <f t="shared" si="4"/>
        <v>188417</v>
      </c>
      <c r="Q12" s="246">
        <f t="shared" si="4"/>
        <v>44067</v>
      </c>
      <c r="R12" s="246">
        <f t="shared" si="5"/>
        <v>49942</v>
      </c>
      <c r="S12" s="246">
        <f t="shared" si="5"/>
        <v>428135</v>
      </c>
      <c r="T12" s="246">
        <f t="shared" si="5"/>
        <v>0</v>
      </c>
      <c r="U12" s="246">
        <f t="shared" si="5"/>
        <v>311638</v>
      </c>
      <c r="V12" s="246">
        <f t="shared" si="5"/>
        <v>58159</v>
      </c>
      <c r="W12" s="246">
        <f t="shared" si="5"/>
        <v>11454</v>
      </c>
      <c r="X12" s="246">
        <f t="shared" si="5"/>
        <v>117454</v>
      </c>
      <c r="Y12" s="246">
        <f t="shared" si="5"/>
        <v>161</v>
      </c>
      <c r="Z12" s="246">
        <f t="shared" si="5"/>
        <v>1664</v>
      </c>
      <c r="AA12" s="246">
        <f t="shared" si="5"/>
        <v>1429</v>
      </c>
      <c r="AB12" s="246">
        <f t="shared" si="5"/>
        <v>1428</v>
      </c>
      <c r="AC12" s="246">
        <f t="shared" si="5"/>
        <v>135</v>
      </c>
      <c r="AD12" s="246">
        <f t="shared" si="5"/>
        <v>244</v>
      </c>
      <c r="AE12" s="246">
        <f t="shared" si="5"/>
        <v>10495</v>
      </c>
      <c r="AF12" s="246">
        <f t="shared" si="5"/>
        <v>2826</v>
      </c>
      <c r="AG12" s="246">
        <f t="shared" si="5"/>
        <v>53</v>
      </c>
      <c r="AH12" s="246">
        <f t="shared" si="6"/>
        <v>49</v>
      </c>
      <c r="AI12" s="246">
        <f t="shared" si="6"/>
        <v>455</v>
      </c>
      <c r="AJ12" s="246">
        <f t="shared" si="6"/>
        <v>314</v>
      </c>
      <c r="AK12" s="246">
        <f t="shared" si="6"/>
        <v>206320</v>
      </c>
      <c r="AL12" s="246">
        <f t="shared" si="6"/>
        <v>0</v>
      </c>
      <c r="AM12" s="246">
        <f t="shared" si="6"/>
        <v>0</v>
      </c>
      <c r="AN12" s="246">
        <f t="shared" si="6"/>
        <v>0</v>
      </c>
      <c r="AO12" s="246">
        <f t="shared" si="6"/>
        <v>0</v>
      </c>
      <c r="AP12" s="246">
        <f t="shared" si="6"/>
        <v>0</v>
      </c>
      <c r="AQ12" s="246">
        <f t="shared" si="6"/>
        <v>0</v>
      </c>
      <c r="AR12" s="246">
        <f t="shared" si="6"/>
        <v>6226</v>
      </c>
      <c r="AS12" s="246">
        <f t="shared" si="6"/>
        <v>0</v>
      </c>
      <c r="AT12" s="246">
        <f t="shared" si="6"/>
        <v>0</v>
      </c>
      <c r="AU12" s="246">
        <f t="shared" si="6"/>
        <v>0</v>
      </c>
      <c r="AV12" s="246">
        <f t="shared" si="6"/>
        <v>0</v>
      </c>
      <c r="AW12" s="246">
        <f t="shared" si="6"/>
        <v>0</v>
      </c>
      <c r="AX12" s="246">
        <f t="shared" si="7"/>
        <v>0</v>
      </c>
      <c r="AY12" s="246">
        <f t="shared" si="7"/>
        <v>0</v>
      </c>
      <c r="AZ12" s="246">
        <f t="shared" si="7"/>
        <v>0</v>
      </c>
      <c r="BA12" s="246">
        <f t="shared" si="7"/>
        <v>0</v>
      </c>
      <c r="BB12" s="246">
        <f t="shared" si="7"/>
        <v>718</v>
      </c>
      <c r="BC12" s="246">
        <f t="shared" si="7"/>
        <v>3810991</v>
      </c>
      <c r="BD12" s="202"/>
      <c r="BE12" s="236" t="s">
        <v>47</v>
      </c>
      <c r="BF12" s="247">
        <v>2485880</v>
      </c>
      <c r="BG12" s="247">
        <v>0</v>
      </c>
      <c r="BH12" s="247">
        <v>450479</v>
      </c>
      <c r="BI12" s="247">
        <v>73734</v>
      </c>
      <c r="BJ12" s="247">
        <v>35692</v>
      </c>
      <c r="BK12" s="247">
        <v>36830</v>
      </c>
      <c r="BL12" s="247">
        <v>568356</v>
      </c>
      <c r="BM12" s="247">
        <v>37623</v>
      </c>
      <c r="BN12" s="247">
        <v>10127</v>
      </c>
      <c r="BO12" s="247">
        <v>333912</v>
      </c>
      <c r="BP12" s="247">
        <v>190374</v>
      </c>
      <c r="BQ12" s="247">
        <v>96090</v>
      </c>
      <c r="BR12" s="247">
        <v>19454</v>
      </c>
      <c r="BS12" s="247">
        <v>69934</v>
      </c>
      <c r="BT12" s="247">
        <v>132627</v>
      </c>
      <c r="BU12" s="247">
        <v>37895</v>
      </c>
      <c r="BV12" s="247">
        <v>43193</v>
      </c>
      <c r="BW12" s="247">
        <v>127960</v>
      </c>
      <c r="BX12" s="247">
        <v>0</v>
      </c>
      <c r="BY12" s="247">
        <v>221600</v>
      </c>
      <c r="BZ12" s="247">
        <v>58159</v>
      </c>
      <c r="CA12" s="247">
        <v>11454</v>
      </c>
      <c r="CB12" s="247">
        <v>117454</v>
      </c>
      <c r="CC12" s="247">
        <v>161</v>
      </c>
      <c r="CD12" s="247">
        <v>442</v>
      </c>
      <c r="CE12" s="247">
        <v>1429</v>
      </c>
      <c r="CF12" s="247">
        <v>1428</v>
      </c>
      <c r="CG12" s="247">
        <v>132</v>
      </c>
      <c r="CH12" s="247">
        <v>244</v>
      </c>
      <c r="CI12" s="247">
        <v>10495</v>
      </c>
      <c r="CJ12" s="247">
        <v>2826</v>
      </c>
      <c r="CK12" s="247">
        <v>53</v>
      </c>
      <c r="CL12" s="247">
        <v>49</v>
      </c>
      <c r="CM12" s="247">
        <v>455</v>
      </c>
      <c r="CN12" s="247">
        <v>314</v>
      </c>
      <c r="CO12" s="247">
        <v>205095</v>
      </c>
      <c r="CP12" s="247">
        <v>0</v>
      </c>
      <c r="CQ12" s="247">
        <v>0</v>
      </c>
      <c r="CR12" s="247">
        <v>0</v>
      </c>
      <c r="CS12" s="247">
        <v>0</v>
      </c>
      <c r="CT12" s="247">
        <v>0</v>
      </c>
      <c r="CU12" s="247">
        <v>0</v>
      </c>
      <c r="CV12" s="247">
        <v>6208</v>
      </c>
      <c r="CW12" s="247">
        <v>0</v>
      </c>
      <c r="CX12" s="247">
        <v>0</v>
      </c>
      <c r="CY12" s="247">
        <v>0</v>
      </c>
      <c r="CZ12" s="247">
        <v>0</v>
      </c>
      <c r="DA12" s="247">
        <v>0</v>
      </c>
      <c r="DB12" s="247">
        <v>0</v>
      </c>
      <c r="DC12" s="247">
        <v>0</v>
      </c>
      <c r="DD12" s="247">
        <v>0</v>
      </c>
      <c r="DE12" s="247">
        <v>0</v>
      </c>
      <c r="DF12" s="247">
        <v>702</v>
      </c>
      <c r="DG12" s="247">
        <v>2697885</v>
      </c>
      <c r="DH12" s="247"/>
      <c r="DI12" s="248" t="s">
        <v>47</v>
      </c>
      <c r="DJ12" s="249">
        <v>1111847</v>
      </c>
      <c r="DK12" s="249">
        <v>0</v>
      </c>
      <c r="DL12" s="249">
        <v>167727</v>
      </c>
      <c r="DM12" s="249">
        <v>27157</v>
      </c>
      <c r="DN12" s="249">
        <v>11028</v>
      </c>
      <c r="DO12" s="249">
        <v>4</v>
      </c>
      <c r="DP12" s="249">
        <v>202645</v>
      </c>
      <c r="DQ12" s="249">
        <v>22976</v>
      </c>
      <c r="DR12" s="249">
        <v>1220</v>
      </c>
      <c r="DS12" s="249">
        <v>101758</v>
      </c>
      <c r="DT12" s="249">
        <v>66896</v>
      </c>
      <c r="DU12" s="249">
        <v>26080</v>
      </c>
      <c r="DV12" s="249">
        <v>3710</v>
      </c>
      <c r="DW12" s="249">
        <v>21722</v>
      </c>
      <c r="DX12" s="249">
        <v>55790</v>
      </c>
      <c r="DY12" s="249">
        <v>6172</v>
      </c>
      <c r="DZ12" s="249">
        <v>6749</v>
      </c>
      <c r="EA12" s="249">
        <v>300175</v>
      </c>
      <c r="EB12" s="249">
        <v>0</v>
      </c>
      <c r="EC12" s="249">
        <v>90038</v>
      </c>
      <c r="ED12" s="249">
        <v>0</v>
      </c>
      <c r="EE12" s="249">
        <v>0</v>
      </c>
      <c r="EF12" s="249">
        <v>0</v>
      </c>
      <c r="EG12" s="249">
        <v>0</v>
      </c>
      <c r="EH12" s="249">
        <v>1222</v>
      </c>
      <c r="EI12" s="249">
        <v>0</v>
      </c>
      <c r="EJ12" s="249">
        <v>0</v>
      </c>
      <c r="EK12" s="249">
        <v>3</v>
      </c>
      <c r="EL12" s="249">
        <v>0</v>
      </c>
      <c r="EM12" s="249">
        <v>0</v>
      </c>
      <c r="EN12" s="249">
        <v>0</v>
      </c>
      <c r="EO12" s="249">
        <v>0</v>
      </c>
      <c r="EP12" s="249">
        <v>0</v>
      </c>
      <c r="EQ12" s="249">
        <v>0</v>
      </c>
      <c r="ER12" s="249">
        <v>0</v>
      </c>
      <c r="ES12" s="249">
        <v>1225</v>
      </c>
      <c r="ET12" s="249">
        <v>0</v>
      </c>
      <c r="EU12" s="249">
        <v>0</v>
      </c>
      <c r="EV12" s="249">
        <v>0</v>
      </c>
      <c r="EW12" s="249">
        <v>0</v>
      </c>
      <c r="EX12" s="249">
        <v>0</v>
      </c>
      <c r="EY12" s="249">
        <v>0</v>
      </c>
      <c r="EZ12" s="249">
        <v>18</v>
      </c>
      <c r="FA12" s="249">
        <v>0</v>
      </c>
      <c r="FB12" s="249">
        <v>0</v>
      </c>
      <c r="FC12" s="249">
        <v>0</v>
      </c>
      <c r="FD12" s="249">
        <v>0</v>
      </c>
      <c r="FE12" s="249">
        <v>0</v>
      </c>
      <c r="FF12" s="249">
        <v>0</v>
      </c>
      <c r="FG12" s="249">
        <v>0</v>
      </c>
      <c r="FH12" s="249">
        <v>0</v>
      </c>
      <c r="FI12" s="249">
        <v>0</v>
      </c>
      <c r="FJ12" s="249">
        <v>16</v>
      </c>
      <c r="FK12" s="249">
        <v>1113106</v>
      </c>
    </row>
    <row r="13" spans="1:167" x14ac:dyDescent="0.25">
      <c r="A13" s="236" t="s">
        <v>46</v>
      </c>
      <c r="B13" s="246">
        <f t="shared" si="4"/>
        <v>4080482</v>
      </c>
      <c r="C13" s="246">
        <f t="shared" si="4"/>
        <v>274896</v>
      </c>
      <c r="D13" s="246">
        <f t="shared" si="4"/>
        <v>73633</v>
      </c>
      <c r="E13" s="246">
        <f t="shared" si="4"/>
        <v>39518</v>
      </c>
      <c r="F13" s="246">
        <f t="shared" si="4"/>
        <v>40139</v>
      </c>
      <c r="G13" s="246">
        <f t="shared" si="4"/>
        <v>67930</v>
      </c>
      <c r="H13" s="246">
        <f t="shared" si="4"/>
        <v>261795</v>
      </c>
      <c r="I13" s="246">
        <f t="shared" si="4"/>
        <v>57313</v>
      </c>
      <c r="J13" s="246">
        <f t="shared" si="4"/>
        <v>21665</v>
      </c>
      <c r="K13" s="246">
        <f t="shared" si="4"/>
        <v>57081</v>
      </c>
      <c r="L13" s="246">
        <f t="shared" si="4"/>
        <v>144099</v>
      </c>
      <c r="M13" s="246">
        <f t="shared" si="4"/>
        <v>227334</v>
      </c>
      <c r="N13" s="246">
        <f t="shared" si="4"/>
        <v>16794</v>
      </c>
      <c r="O13" s="246">
        <f t="shared" si="4"/>
        <v>25108</v>
      </c>
      <c r="P13" s="246">
        <f t="shared" si="4"/>
        <v>599850</v>
      </c>
      <c r="Q13" s="246">
        <f t="shared" si="4"/>
        <v>98289</v>
      </c>
      <c r="R13" s="246">
        <f t="shared" si="5"/>
        <v>205008</v>
      </c>
      <c r="S13" s="246">
        <f t="shared" si="5"/>
        <v>1975987</v>
      </c>
      <c r="T13" s="246">
        <f t="shared" si="5"/>
        <v>55737</v>
      </c>
      <c r="U13" s="246">
        <f t="shared" si="5"/>
        <v>113202</v>
      </c>
      <c r="V13" s="246">
        <f t="shared" si="5"/>
        <v>381677</v>
      </c>
      <c r="W13" s="246">
        <f t="shared" si="5"/>
        <v>70550</v>
      </c>
      <c r="X13" s="246">
        <f t="shared" si="5"/>
        <v>776587</v>
      </c>
      <c r="Y13" s="246">
        <f t="shared" si="5"/>
        <v>86710</v>
      </c>
      <c r="Z13" s="246">
        <f t="shared" si="5"/>
        <v>182410</v>
      </c>
      <c r="AA13" s="246">
        <f t="shared" si="5"/>
        <v>20284</v>
      </c>
      <c r="AB13" s="246">
        <f t="shared" si="5"/>
        <v>6237</v>
      </c>
      <c r="AC13" s="246">
        <f t="shared" si="5"/>
        <v>5873</v>
      </c>
      <c r="AD13" s="246">
        <f t="shared" si="5"/>
        <v>41480</v>
      </c>
      <c r="AE13" s="246">
        <f t="shared" si="5"/>
        <v>124822</v>
      </c>
      <c r="AF13" s="246">
        <f t="shared" si="5"/>
        <v>24266</v>
      </c>
      <c r="AG13" s="246">
        <f t="shared" si="5"/>
        <v>21058</v>
      </c>
      <c r="AH13" s="246">
        <f t="shared" si="6"/>
        <v>5484</v>
      </c>
      <c r="AI13" s="246">
        <f t="shared" si="6"/>
        <v>10228</v>
      </c>
      <c r="AJ13" s="246">
        <f t="shared" si="6"/>
        <v>21117</v>
      </c>
      <c r="AK13" s="246">
        <f t="shared" si="6"/>
        <v>1778783</v>
      </c>
      <c r="AL13" s="246">
        <f t="shared" si="6"/>
        <v>83652</v>
      </c>
      <c r="AM13" s="246">
        <f t="shared" si="6"/>
        <v>16835</v>
      </c>
      <c r="AN13" s="246">
        <f t="shared" si="6"/>
        <v>32367</v>
      </c>
      <c r="AO13" s="246">
        <f t="shared" si="6"/>
        <v>316964</v>
      </c>
      <c r="AP13" s="246">
        <f t="shared" si="6"/>
        <v>153541</v>
      </c>
      <c r="AQ13" s="246">
        <f t="shared" si="6"/>
        <v>312286</v>
      </c>
      <c r="AR13" s="246">
        <f t="shared" si="6"/>
        <v>14794</v>
      </c>
      <c r="AS13" s="246">
        <f t="shared" si="6"/>
        <v>907508</v>
      </c>
      <c r="AT13" s="246">
        <f t="shared" si="6"/>
        <v>1180641</v>
      </c>
      <c r="AU13" s="246">
        <f t="shared" si="6"/>
        <v>153194</v>
      </c>
      <c r="AV13" s="246">
        <f t="shared" si="6"/>
        <v>199581</v>
      </c>
      <c r="AW13" s="246">
        <f t="shared" si="6"/>
        <v>106534</v>
      </c>
      <c r="AX13" s="246">
        <f t="shared" si="7"/>
        <v>1394454</v>
      </c>
      <c r="AY13" s="246">
        <f t="shared" si="7"/>
        <v>5598</v>
      </c>
      <c r="AZ13" s="246">
        <f t="shared" si="7"/>
        <v>3412</v>
      </c>
      <c r="BA13" s="246">
        <f t="shared" si="7"/>
        <v>19846</v>
      </c>
      <c r="BB13" s="246">
        <f t="shared" si="7"/>
        <v>60245</v>
      </c>
      <c r="BC13" s="246">
        <f t="shared" si="7"/>
        <v>11095613</v>
      </c>
      <c r="BD13" s="202"/>
      <c r="BE13" s="236" t="s">
        <v>46</v>
      </c>
      <c r="BF13" s="247">
        <v>1613779</v>
      </c>
      <c r="BG13" s="247">
        <v>261548</v>
      </c>
      <c r="BH13" s="247">
        <v>56204</v>
      </c>
      <c r="BI13" s="247">
        <v>32839</v>
      </c>
      <c r="BJ13" s="247">
        <v>30138</v>
      </c>
      <c r="BK13" s="247">
        <v>57410</v>
      </c>
      <c r="BL13" s="247">
        <v>168524</v>
      </c>
      <c r="BM13" s="247">
        <v>39303</v>
      </c>
      <c r="BN13" s="247">
        <v>1167</v>
      </c>
      <c r="BO13" s="247">
        <v>31286</v>
      </c>
      <c r="BP13" s="247">
        <v>92892</v>
      </c>
      <c r="BQ13" s="247">
        <v>159041</v>
      </c>
      <c r="BR13" s="247">
        <v>14083</v>
      </c>
      <c r="BS13" s="247">
        <v>19585</v>
      </c>
      <c r="BT13" s="247">
        <v>394822</v>
      </c>
      <c r="BU13" s="247">
        <v>72412</v>
      </c>
      <c r="BV13" s="247">
        <v>133123</v>
      </c>
      <c r="BW13" s="247">
        <v>170143</v>
      </c>
      <c r="BX13" s="247">
        <v>54084</v>
      </c>
      <c r="BY13" s="247">
        <v>86723</v>
      </c>
      <c r="BZ13" s="247">
        <v>381677</v>
      </c>
      <c r="CA13" s="247">
        <v>70519</v>
      </c>
      <c r="CB13" s="247">
        <v>774632</v>
      </c>
      <c r="CC13" s="247">
        <v>82338</v>
      </c>
      <c r="CD13" s="247">
        <v>58859</v>
      </c>
      <c r="CE13" s="247">
        <v>19562</v>
      </c>
      <c r="CF13" s="247">
        <v>5969</v>
      </c>
      <c r="CG13" s="247">
        <v>4588</v>
      </c>
      <c r="CH13" s="247">
        <v>41480</v>
      </c>
      <c r="CI13" s="247">
        <v>123113</v>
      </c>
      <c r="CJ13" s="247">
        <v>24091</v>
      </c>
      <c r="CK13" s="247">
        <v>21058</v>
      </c>
      <c r="CL13" s="247">
        <v>5048</v>
      </c>
      <c r="CM13" s="247">
        <v>10228</v>
      </c>
      <c r="CN13" s="247">
        <v>20508</v>
      </c>
      <c r="CO13" s="247">
        <v>1643670</v>
      </c>
      <c r="CP13" s="247">
        <v>80433</v>
      </c>
      <c r="CQ13" s="247">
        <v>16758</v>
      </c>
      <c r="CR13" s="247">
        <v>32169</v>
      </c>
      <c r="CS13" s="247">
        <v>316964</v>
      </c>
      <c r="CT13" s="247">
        <v>153541</v>
      </c>
      <c r="CU13" s="247">
        <v>306721</v>
      </c>
      <c r="CV13" s="247">
        <v>14701</v>
      </c>
      <c r="CW13" s="247">
        <v>795316</v>
      </c>
      <c r="CX13" s="247">
        <v>626252</v>
      </c>
      <c r="CY13" s="247">
        <v>151447</v>
      </c>
      <c r="CZ13" s="247">
        <v>154727</v>
      </c>
      <c r="DA13" s="247">
        <v>26573</v>
      </c>
      <c r="DB13" s="247">
        <v>706495</v>
      </c>
      <c r="DC13" s="247">
        <v>5588</v>
      </c>
      <c r="DD13" s="247">
        <v>3412</v>
      </c>
      <c r="DE13" s="247">
        <v>19654</v>
      </c>
      <c r="DF13" s="247">
        <v>57195</v>
      </c>
      <c r="DG13" s="247">
        <v>6986943</v>
      </c>
      <c r="DH13" s="247"/>
      <c r="DI13" s="248" t="s">
        <v>46</v>
      </c>
      <c r="DJ13" s="249">
        <v>2466703</v>
      </c>
      <c r="DK13" s="249">
        <v>13348</v>
      </c>
      <c r="DL13" s="249">
        <v>17429</v>
      </c>
      <c r="DM13" s="249">
        <v>6679</v>
      </c>
      <c r="DN13" s="249">
        <v>10001</v>
      </c>
      <c r="DO13" s="249">
        <v>10520</v>
      </c>
      <c r="DP13" s="249">
        <v>93271</v>
      </c>
      <c r="DQ13" s="249">
        <v>18010</v>
      </c>
      <c r="DR13" s="249">
        <v>20498</v>
      </c>
      <c r="DS13" s="249">
        <v>25795</v>
      </c>
      <c r="DT13" s="249">
        <v>51207</v>
      </c>
      <c r="DU13" s="249">
        <v>68293</v>
      </c>
      <c r="DV13" s="249">
        <v>2711</v>
      </c>
      <c r="DW13" s="249">
        <v>5523</v>
      </c>
      <c r="DX13" s="249">
        <v>205028</v>
      </c>
      <c r="DY13" s="249">
        <v>25877</v>
      </c>
      <c r="DZ13" s="249">
        <v>71885</v>
      </c>
      <c r="EA13" s="249">
        <v>1805844</v>
      </c>
      <c r="EB13" s="249">
        <v>1653</v>
      </c>
      <c r="EC13" s="249">
        <v>26479</v>
      </c>
      <c r="ED13" s="249">
        <v>0</v>
      </c>
      <c r="EE13" s="249">
        <v>31</v>
      </c>
      <c r="EF13" s="249">
        <v>1955</v>
      </c>
      <c r="EG13" s="249">
        <v>4372</v>
      </c>
      <c r="EH13" s="249">
        <v>123551</v>
      </c>
      <c r="EI13" s="249">
        <v>722</v>
      </c>
      <c r="EJ13" s="249">
        <v>268</v>
      </c>
      <c r="EK13" s="249">
        <v>1285</v>
      </c>
      <c r="EL13" s="249">
        <v>0</v>
      </c>
      <c r="EM13" s="249">
        <v>1709</v>
      </c>
      <c r="EN13" s="249">
        <v>175</v>
      </c>
      <c r="EO13" s="249">
        <v>0</v>
      </c>
      <c r="EP13" s="249">
        <v>436</v>
      </c>
      <c r="EQ13" s="249">
        <v>0</v>
      </c>
      <c r="ER13" s="249">
        <v>609</v>
      </c>
      <c r="ES13" s="249">
        <v>135113</v>
      </c>
      <c r="ET13" s="249">
        <v>3219</v>
      </c>
      <c r="EU13" s="249">
        <v>77</v>
      </c>
      <c r="EV13" s="249">
        <v>198</v>
      </c>
      <c r="EW13" s="249">
        <v>0</v>
      </c>
      <c r="EX13" s="249">
        <v>0</v>
      </c>
      <c r="EY13" s="249">
        <v>5565</v>
      </c>
      <c r="EZ13" s="249">
        <v>93</v>
      </c>
      <c r="FA13" s="249">
        <v>112192</v>
      </c>
      <c r="FB13" s="249">
        <v>554389</v>
      </c>
      <c r="FC13" s="249">
        <v>1747</v>
      </c>
      <c r="FD13" s="249">
        <v>44854</v>
      </c>
      <c r="FE13" s="249">
        <v>79961</v>
      </c>
      <c r="FF13" s="249">
        <v>687959</v>
      </c>
      <c r="FG13" s="249">
        <v>10</v>
      </c>
      <c r="FH13" s="249">
        <v>0</v>
      </c>
      <c r="FI13" s="249">
        <v>192</v>
      </c>
      <c r="FJ13" s="249">
        <v>3050</v>
      </c>
      <c r="FK13" s="249">
        <v>4108670</v>
      </c>
    </row>
    <row r="14" spans="1:167" x14ac:dyDescent="0.25">
      <c r="A14" s="236" t="s">
        <v>45</v>
      </c>
      <c r="B14" s="246">
        <f t="shared" si="4"/>
        <v>2022997</v>
      </c>
      <c r="C14" s="246">
        <f t="shared" si="4"/>
        <v>10310</v>
      </c>
      <c r="D14" s="246">
        <f t="shared" si="4"/>
        <v>6913</v>
      </c>
      <c r="E14" s="246">
        <f t="shared" si="4"/>
        <v>2698</v>
      </c>
      <c r="F14" s="246">
        <f t="shared" si="4"/>
        <v>3463</v>
      </c>
      <c r="G14" s="246">
        <f t="shared" si="4"/>
        <v>16111</v>
      </c>
      <c r="H14" s="246">
        <f t="shared" si="4"/>
        <v>40311</v>
      </c>
      <c r="I14" s="246">
        <f t="shared" si="4"/>
        <v>7883</v>
      </c>
      <c r="J14" s="246">
        <f t="shared" si="4"/>
        <v>4338</v>
      </c>
      <c r="K14" s="246">
        <f t="shared" si="4"/>
        <v>15393</v>
      </c>
      <c r="L14" s="246">
        <f t="shared" si="4"/>
        <v>9842</v>
      </c>
      <c r="M14" s="246">
        <f t="shared" si="4"/>
        <v>54943</v>
      </c>
      <c r="N14" s="246">
        <f t="shared" si="4"/>
        <v>5171</v>
      </c>
      <c r="O14" s="246">
        <f t="shared" si="4"/>
        <v>11275</v>
      </c>
      <c r="P14" s="246">
        <f t="shared" si="4"/>
        <v>286776</v>
      </c>
      <c r="Q14" s="246">
        <f t="shared" si="4"/>
        <v>45264</v>
      </c>
      <c r="R14" s="246">
        <f t="shared" si="5"/>
        <v>59201</v>
      </c>
      <c r="S14" s="246">
        <f t="shared" si="5"/>
        <v>1408192</v>
      </c>
      <c r="T14" s="246">
        <f t="shared" si="5"/>
        <v>1878</v>
      </c>
      <c r="U14" s="246">
        <f t="shared" si="5"/>
        <v>43345</v>
      </c>
      <c r="V14" s="246">
        <f t="shared" si="5"/>
        <v>30477</v>
      </c>
      <c r="W14" s="246">
        <f t="shared" si="5"/>
        <v>5481</v>
      </c>
      <c r="X14" s="246">
        <f t="shared" si="5"/>
        <v>152668</v>
      </c>
      <c r="Y14" s="246">
        <f t="shared" si="5"/>
        <v>12762</v>
      </c>
      <c r="Z14" s="246">
        <f t="shared" si="5"/>
        <v>104420</v>
      </c>
      <c r="AA14" s="246">
        <f t="shared" si="5"/>
        <v>3302</v>
      </c>
      <c r="AB14" s="246">
        <f t="shared" si="5"/>
        <v>2205</v>
      </c>
      <c r="AC14" s="246">
        <f t="shared" si="5"/>
        <v>489</v>
      </c>
      <c r="AD14" s="246">
        <f t="shared" si="5"/>
        <v>43718</v>
      </c>
      <c r="AE14" s="246">
        <f t="shared" si="5"/>
        <v>46832</v>
      </c>
      <c r="AF14" s="246">
        <f t="shared" si="5"/>
        <v>9251</v>
      </c>
      <c r="AG14" s="246">
        <f t="shared" si="5"/>
        <v>5815</v>
      </c>
      <c r="AH14" s="246">
        <f t="shared" si="6"/>
        <v>1384</v>
      </c>
      <c r="AI14" s="246">
        <f t="shared" si="6"/>
        <v>1050</v>
      </c>
      <c r="AJ14" s="246">
        <f t="shared" si="6"/>
        <v>2898</v>
      </c>
      <c r="AK14" s="246">
        <f t="shared" si="6"/>
        <v>422752</v>
      </c>
      <c r="AL14" s="246">
        <f t="shared" si="6"/>
        <v>4895</v>
      </c>
      <c r="AM14" s="246">
        <f t="shared" si="6"/>
        <v>994</v>
      </c>
      <c r="AN14" s="246">
        <f t="shared" si="6"/>
        <v>2227</v>
      </c>
      <c r="AO14" s="246">
        <f t="shared" si="6"/>
        <v>88848</v>
      </c>
      <c r="AP14" s="246">
        <f t="shared" si="6"/>
        <v>20072</v>
      </c>
      <c r="AQ14" s="246">
        <f t="shared" si="6"/>
        <v>30397</v>
      </c>
      <c r="AR14" s="246">
        <f t="shared" si="6"/>
        <v>1245</v>
      </c>
      <c r="AS14" s="246">
        <f t="shared" si="6"/>
        <v>583687</v>
      </c>
      <c r="AT14" s="246">
        <f t="shared" si="6"/>
        <v>638765</v>
      </c>
      <c r="AU14" s="246">
        <f t="shared" si="6"/>
        <v>5150</v>
      </c>
      <c r="AV14" s="246">
        <f t="shared" si="6"/>
        <v>110772</v>
      </c>
      <c r="AW14" s="246">
        <f t="shared" si="6"/>
        <v>3790</v>
      </c>
      <c r="AX14" s="246">
        <f t="shared" si="7"/>
        <v>24485</v>
      </c>
      <c r="AY14" s="246">
        <f t="shared" si="7"/>
        <v>28702</v>
      </c>
      <c r="AZ14" s="246">
        <f t="shared" si="7"/>
        <v>1354</v>
      </c>
      <c r="BA14" s="246">
        <f t="shared" si="7"/>
        <v>2340</v>
      </c>
      <c r="BB14" s="246">
        <f t="shared" si="7"/>
        <v>7072</v>
      </c>
      <c r="BC14" s="246">
        <f t="shared" si="7"/>
        <v>4010854</v>
      </c>
      <c r="BD14" s="202"/>
      <c r="BE14" s="236" t="s">
        <v>45</v>
      </c>
      <c r="BF14" s="247">
        <v>411237</v>
      </c>
      <c r="BG14" s="247">
        <v>9373</v>
      </c>
      <c r="BH14" s="247">
        <v>5361</v>
      </c>
      <c r="BI14" s="247">
        <v>2135</v>
      </c>
      <c r="BJ14" s="247">
        <v>2579</v>
      </c>
      <c r="BK14" s="247">
        <v>13874</v>
      </c>
      <c r="BL14" s="247">
        <v>28558</v>
      </c>
      <c r="BM14" s="247">
        <v>5110</v>
      </c>
      <c r="BN14" s="247">
        <v>157</v>
      </c>
      <c r="BO14" s="247">
        <v>6303</v>
      </c>
      <c r="BP14" s="247">
        <v>4274</v>
      </c>
      <c r="BQ14" s="247">
        <v>39147</v>
      </c>
      <c r="BR14" s="247">
        <v>4327</v>
      </c>
      <c r="BS14" s="247">
        <v>8454</v>
      </c>
      <c r="BT14" s="247">
        <v>184648</v>
      </c>
      <c r="BU14" s="247">
        <v>29391</v>
      </c>
      <c r="BV14" s="247">
        <v>40986</v>
      </c>
      <c r="BW14" s="247">
        <v>22413</v>
      </c>
      <c r="BX14" s="247">
        <v>1302</v>
      </c>
      <c r="BY14" s="247">
        <v>12218</v>
      </c>
      <c r="BZ14" s="247">
        <v>30477</v>
      </c>
      <c r="CA14" s="247">
        <v>5475</v>
      </c>
      <c r="CB14" s="247">
        <v>152309</v>
      </c>
      <c r="CC14" s="247">
        <v>12167</v>
      </c>
      <c r="CD14" s="247">
        <v>20884</v>
      </c>
      <c r="CE14" s="247">
        <v>3057</v>
      </c>
      <c r="CF14" s="247">
        <v>2060</v>
      </c>
      <c r="CG14" s="247">
        <v>205</v>
      </c>
      <c r="CH14" s="247">
        <v>43718</v>
      </c>
      <c r="CI14" s="247">
        <v>46126</v>
      </c>
      <c r="CJ14" s="247">
        <v>8947</v>
      </c>
      <c r="CK14" s="247">
        <v>5815</v>
      </c>
      <c r="CL14" s="247">
        <v>1290</v>
      </c>
      <c r="CM14" s="247">
        <v>1050</v>
      </c>
      <c r="CN14" s="247">
        <v>2858</v>
      </c>
      <c r="CO14" s="247">
        <v>336438</v>
      </c>
      <c r="CP14" s="247">
        <v>4711</v>
      </c>
      <c r="CQ14" s="247">
        <v>992</v>
      </c>
      <c r="CR14" s="247">
        <v>2175</v>
      </c>
      <c r="CS14" s="247">
        <v>88848</v>
      </c>
      <c r="CT14" s="247">
        <v>20072</v>
      </c>
      <c r="CU14" s="247">
        <v>27349</v>
      </c>
      <c r="CV14" s="247">
        <v>1240</v>
      </c>
      <c r="CW14" s="247">
        <v>508515</v>
      </c>
      <c r="CX14" s="247">
        <v>265087</v>
      </c>
      <c r="CY14" s="247">
        <v>4840</v>
      </c>
      <c r="CZ14" s="247">
        <v>84542</v>
      </c>
      <c r="DA14" s="247">
        <v>596</v>
      </c>
      <c r="DB14" s="247">
        <v>23470</v>
      </c>
      <c r="DC14" s="247">
        <v>28702</v>
      </c>
      <c r="DD14" s="247">
        <v>1354</v>
      </c>
      <c r="DE14" s="247">
        <v>1799</v>
      </c>
      <c r="DF14" s="247">
        <v>5334</v>
      </c>
      <c r="DG14" s="247">
        <v>1826674</v>
      </c>
      <c r="DH14" s="247"/>
      <c r="DI14" s="248" t="s">
        <v>45</v>
      </c>
      <c r="DJ14" s="249">
        <v>1611760</v>
      </c>
      <c r="DK14" s="249">
        <v>937</v>
      </c>
      <c r="DL14" s="249">
        <v>1552</v>
      </c>
      <c r="DM14" s="249">
        <v>563</v>
      </c>
      <c r="DN14" s="249">
        <v>884</v>
      </c>
      <c r="DO14" s="249">
        <v>2237</v>
      </c>
      <c r="DP14" s="249">
        <v>11753</v>
      </c>
      <c r="DQ14" s="249">
        <v>2773</v>
      </c>
      <c r="DR14" s="249">
        <v>4181</v>
      </c>
      <c r="DS14" s="249">
        <v>9090</v>
      </c>
      <c r="DT14" s="249">
        <v>5568</v>
      </c>
      <c r="DU14" s="249">
        <v>15796</v>
      </c>
      <c r="DV14" s="249">
        <v>844</v>
      </c>
      <c r="DW14" s="249">
        <v>2821</v>
      </c>
      <c r="DX14" s="249">
        <v>102128</v>
      </c>
      <c r="DY14" s="249">
        <v>15873</v>
      </c>
      <c r="DZ14" s="249">
        <v>18215</v>
      </c>
      <c r="EA14" s="249">
        <v>1385779</v>
      </c>
      <c r="EB14" s="249">
        <v>576</v>
      </c>
      <c r="EC14" s="249">
        <v>31127</v>
      </c>
      <c r="ED14" s="249">
        <v>0</v>
      </c>
      <c r="EE14" s="249">
        <v>6</v>
      </c>
      <c r="EF14" s="249">
        <v>359</v>
      </c>
      <c r="EG14" s="249">
        <v>595</v>
      </c>
      <c r="EH14" s="249">
        <v>83536</v>
      </c>
      <c r="EI14" s="249">
        <v>245</v>
      </c>
      <c r="EJ14" s="249">
        <v>145</v>
      </c>
      <c r="EK14" s="249">
        <v>284</v>
      </c>
      <c r="EL14" s="249">
        <v>0</v>
      </c>
      <c r="EM14" s="249">
        <v>706</v>
      </c>
      <c r="EN14" s="249">
        <v>304</v>
      </c>
      <c r="EO14" s="249">
        <v>0</v>
      </c>
      <c r="EP14" s="249">
        <v>94</v>
      </c>
      <c r="EQ14" s="249">
        <v>0</v>
      </c>
      <c r="ER14" s="249">
        <v>40</v>
      </c>
      <c r="ES14" s="249">
        <v>86314</v>
      </c>
      <c r="ET14" s="249">
        <v>184</v>
      </c>
      <c r="EU14" s="249">
        <v>2</v>
      </c>
      <c r="EV14" s="249">
        <v>52</v>
      </c>
      <c r="EW14" s="249">
        <v>0</v>
      </c>
      <c r="EX14" s="249">
        <v>0</v>
      </c>
      <c r="EY14" s="249">
        <v>3048</v>
      </c>
      <c r="EZ14" s="249">
        <v>5</v>
      </c>
      <c r="FA14" s="249">
        <v>75172</v>
      </c>
      <c r="FB14" s="249">
        <v>373678</v>
      </c>
      <c r="FC14" s="249">
        <v>310</v>
      </c>
      <c r="FD14" s="249">
        <v>26230</v>
      </c>
      <c r="FE14" s="249">
        <v>3194</v>
      </c>
      <c r="FF14" s="249">
        <v>1015</v>
      </c>
      <c r="FG14" s="249">
        <v>0</v>
      </c>
      <c r="FH14" s="249">
        <v>0</v>
      </c>
      <c r="FI14" s="249">
        <v>541</v>
      </c>
      <c r="FJ14" s="249">
        <v>1738</v>
      </c>
      <c r="FK14" s="249">
        <v>2184180</v>
      </c>
    </row>
    <row r="15" spans="1:167" x14ac:dyDescent="0.25">
      <c r="A15" s="236" t="s">
        <v>44</v>
      </c>
      <c r="B15" s="246">
        <f t="shared" si="4"/>
        <v>1480952</v>
      </c>
      <c r="C15" s="246">
        <f t="shared" si="4"/>
        <v>28034</v>
      </c>
      <c r="D15" s="246">
        <f t="shared" si="4"/>
        <v>7915</v>
      </c>
      <c r="E15" s="246">
        <f t="shared" si="4"/>
        <v>10433</v>
      </c>
      <c r="F15" s="246">
        <f t="shared" si="4"/>
        <v>9441</v>
      </c>
      <c r="G15" s="246">
        <f t="shared" si="4"/>
        <v>1593</v>
      </c>
      <c r="H15" s="246">
        <f t="shared" si="4"/>
        <v>182486</v>
      </c>
      <c r="I15" s="246">
        <f t="shared" si="4"/>
        <v>198074</v>
      </c>
      <c r="J15" s="246">
        <f t="shared" si="4"/>
        <v>604</v>
      </c>
      <c r="K15" s="246">
        <f t="shared" si="4"/>
        <v>32570</v>
      </c>
      <c r="L15" s="246">
        <f t="shared" si="4"/>
        <v>379296</v>
      </c>
      <c r="M15" s="246">
        <f t="shared" si="4"/>
        <v>50038</v>
      </c>
      <c r="N15" s="246">
        <f t="shared" si="4"/>
        <v>440552</v>
      </c>
      <c r="O15" s="246">
        <f t="shared" si="4"/>
        <v>2122</v>
      </c>
      <c r="P15" s="246">
        <f t="shared" si="4"/>
        <v>14217</v>
      </c>
      <c r="Q15" s="246">
        <f t="shared" si="4"/>
        <v>2151</v>
      </c>
      <c r="R15" s="246">
        <f t="shared" si="5"/>
        <v>885</v>
      </c>
      <c r="S15" s="246">
        <f t="shared" si="5"/>
        <v>35274</v>
      </c>
      <c r="T15" s="246">
        <f t="shared" si="5"/>
        <v>762</v>
      </c>
      <c r="U15" s="246">
        <f t="shared" si="5"/>
        <v>112539</v>
      </c>
      <c r="V15" s="246">
        <f t="shared" si="5"/>
        <v>577546</v>
      </c>
      <c r="W15" s="246">
        <f t="shared" si="5"/>
        <v>4377</v>
      </c>
      <c r="X15" s="246">
        <f t="shared" si="5"/>
        <v>29552</v>
      </c>
      <c r="Y15" s="246">
        <f t="shared" si="5"/>
        <v>1986</v>
      </c>
      <c r="Z15" s="246">
        <f t="shared" si="5"/>
        <v>5233</v>
      </c>
      <c r="AA15" s="246">
        <f t="shared" si="5"/>
        <v>1669</v>
      </c>
      <c r="AB15" s="246">
        <f t="shared" si="5"/>
        <v>9991</v>
      </c>
      <c r="AC15" s="246">
        <f t="shared" si="5"/>
        <v>2784</v>
      </c>
      <c r="AD15" s="246">
        <f t="shared" si="5"/>
        <v>291</v>
      </c>
      <c r="AE15" s="246">
        <f t="shared" si="5"/>
        <v>60707</v>
      </c>
      <c r="AF15" s="246">
        <f t="shared" si="5"/>
        <v>10135</v>
      </c>
      <c r="AG15" s="246">
        <f t="shared" si="5"/>
        <v>12277</v>
      </c>
      <c r="AH15" s="246">
        <f t="shared" si="6"/>
        <v>36805</v>
      </c>
      <c r="AI15" s="246">
        <f t="shared" si="6"/>
        <v>12305</v>
      </c>
      <c r="AJ15" s="246">
        <f t="shared" si="6"/>
        <v>63765</v>
      </c>
      <c r="AK15" s="246">
        <f t="shared" si="6"/>
        <v>829423</v>
      </c>
      <c r="AL15" s="246">
        <f t="shared" si="6"/>
        <v>1518</v>
      </c>
      <c r="AM15" s="246">
        <f t="shared" si="6"/>
        <v>105</v>
      </c>
      <c r="AN15" s="246">
        <f t="shared" si="6"/>
        <v>863</v>
      </c>
      <c r="AO15" s="246">
        <f t="shared" si="6"/>
        <v>24593</v>
      </c>
      <c r="AP15" s="246">
        <f t="shared" si="6"/>
        <v>586</v>
      </c>
      <c r="AQ15" s="246">
        <f t="shared" si="6"/>
        <v>2288</v>
      </c>
      <c r="AR15" s="246">
        <f t="shared" si="6"/>
        <v>10071</v>
      </c>
      <c r="AS15" s="246">
        <f t="shared" si="6"/>
        <v>2575</v>
      </c>
      <c r="AT15" s="246">
        <f t="shared" si="6"/>
        <v>19999</v>
      </c>
      <c r="AU15" s="246">
        <f t="shared" si="6"/>
        <v>60621</v>
      </c>
      <c r="AV15" s="246">
        <f t="shared" si="6"/>
        <v>742</v>
      </c>
      <c r="AW15" s="246">
        <f t="shared" si="6"/>
        <v>11</v>
      </c>
      <c r="AX15" s="246">
        <f t="shared" si="7"/>
        <v>2968</v>
      </c>
      <c r="AY15" s="246">
        <f t="shared" si="7"/>
        <v>164</v>
      </c>
      <c r="AZ15" s="246">
        <f t="shared" si="7"/>
        <v>53</v>
      </c>
      <c r="BA15" s="246">
        <f t="shared" si="7"/>
        <v>56</v>
      </c>
      <c r="BB15" s="246">
        <f t="shared" si="7"/>
        <v>4861</v>
      </c>
      <c r="BC15" s="246">
        <f t="shared" si="7"/>
        <v>2470483</v>
      </c>
      <c r="BD15" s="202"/>
      <c r="BE15" s="236" t="s">
        <v>44</v>
      </c>
      <c r="BF15" s="247">
        <v>1114561</v>
      </c>
      <c r="BG15" s="247">
        <v>25535</v>
      </c>
      <c r="BH15" s="247">
        <v>5671</v>
      </c>
      <c r="BI15" s="247">
        <v>7783</v>
      </c>
      <c r="BJ15" s="247">
        <v>7687</v>
      </c>
      <c r="BK15" s="247">
        <v>1583</v>
      </c>
      <c r="BL15" s="247">
        <v>119688</v>
      </c>
      <c r="BM15" s="247">
        <v>129394</v>
      </c>
      <c r="BN15" s="247">
        <v>561</v>
      </c>
      <c r="BO15" s="247">
        <v>8177</v>
      </c>
      <c r="BP15" s="247">
        <v>262366</v>
      </c>
      <c r="BQ15" s="247">
        <v>21840</v>
      </c>
      <c r="BR15" s="247">
        <v>409916</v>
      </c>
      <c r="BS15" s="247">
        <v>1933</v>
      </c>
      <c r="BT15" s="247">
        <v>11317</v>
      </c>
      <c r="BU15" s="247">
        <v>1963</v>
      </c>
      <c r="BV15" s="247">
        <v>845</v>
      </c>
      <c r="BW15" s="247">
        <v>23796</v>
      </c>
      <c r="BX15" s="247">
        <v>518</v>
      </c>
      <c r="BY15" s="247">
        <v>99523</v>
      </c>
      <c r="BZ15" s="247">
        <v>577546</v>
      </c>
      <c r="CA15" s="247">
        <v>4377</v>
      </c>
      <c r="CB15" s="247">
        <v>29552</v>
      </c>
      <c r="CC15" s="247">
        <v>1972</v>
      </c>
      <c r="CD15" s="247">
        <v>3110</v>
      </c>
      <c r="CE15" s="247">
        <v>1669</v>
      </c>
      <c r="CF15" s="247">
        <v>9990</v>
      </c>
      <c r="CG15" s="247">
        <v>2783</v>
      </c>
      <c r="CH15" s="247">
        <v>291</v>
      </c>
      <c r="CI15" s="247">
        <v>60707</v>
      </c>
      <c r="CJ15" s="247">
        <v>10135</v>
      </c>
      <c r="CK15" s="247">
        <v>12277</v>
      </c>
      <c r="CL15" s="247">
        <v>36805</v>
      </c>
      <c r="CM15" s="247">
        <v>12305</v>
      </c>
      <c r="CN15" s="247">
        <v>63668</v>
      </c>
      <c r="CO15" s="247">
        <v>827187</v>
      </c>
      <c r="CP15" s="247">
        <v>1154</v>
      </c>
      <c r="CQ15" s="247">
        <v>105</v>
      </c>
      <c r="CR15" s="247">
        <v>863</v>
      </c>
      <c r="CS15" s="247">
        <v>24593</v>
      </c>
      <c r="CT15" s="247">
        <v>586</v>
      </c>
      <c r="CU15" s="247">
        <v>2225</v>
      </c>
      <c r="CV15" s="247">
        <v>10045</v>
      </c>
      <c r="CW15" s="247">
        <v>2566</v>
      </c>
      <c r="CX15" s="247">
        <v>19263</v>
      </c>
      <c r="CY15" s="247">
        <v>60300</v>
      </c>
      <c r="CZ15" s="247">
        <v>742</v>
      </c>
      <c r="DA15" s="247">
        <v>9</v>
      </c>
      <c r="DB15" s="247">
        <v>2968</v>
      </c>
      <c r="DC15" s="247">
        <v>164</v>
      </c>
      <c r="DD15" s="247">
        <v>53</v>
      </c>
      <c r="DE15" s="247">
        <v>56</v>
      </c>
      <c r="DF15" s="247">
        <v>4861</v>
      </c>
      <c r="DG15" s="247">
        <v>2097836</v>
      </c>
      <c r="DH15" s="247"/>
      <c r="DI15" s="248" t="s">
        <v>44</v>
      </c>
      <c r="DJ15" s="249">
        <v>366391</v>
      </c>
      <c r="DK15" s="249">
        <v>2499</v>
      </c>
      <c r="DL15" s="249">
        <v>2244</v>
      </c>
      <c r="DM15" s="249">
        <v>2650</v>
      </c>
      <c r="DN15" s="249">
        <v>1754</v>
      </c>
      <c r="DO15" s="249">
        <v>10</v>
      </c>
      <c r="DP15" s="249">
        <v>62798</v>
      </c>
      <c r="DQ15" s="249">
        <v>68680</v>
      </c>
      <c r="DR15" s="249">
        <v>43</v>
      </c>
      <c r="DS15" s="249">
        <v>24393</v>
      </c>
      <c r="DT15" s="249">
        <v>116930</v>
      </c>
      <c r="DU15" s="249">
        <v>28198</v>
      </c>
      <c r="DV15" s="249">
        <v>30636</v>
      </c>
      <c r="DW15" s="249">
        <v>189</v>
      </c>
      <c r="DX15" s="249">
        <v>2900</v>
      </c>
      <c r="DY15" s="249">
        <v>188</v>
      </c>
      <c r="DZ15" s="249">
        <v>40</v>
      </c>
      <c r="EA15" s="249">
        <v>11478</v>
      </c>
      <c r="EB15" s="249">
        <v>244</v>
      </c>
      <c r="EC15" s="249">
        <v>13016</v>
      </c>
      <c r="ED15" s="249">
        <v>0</v>
      </c>
      <c r="EE15" s="249">
        <v>0</v>
      </c>
      <c r="EF15" s="249">
        <v>0</v>
      </c>
      <c r="EG15" s="249">
        <v>14</v>
      </c>
      <c r="EH15" s="249">
        <v>2123</v>
      </c>
      <c r="EI15" s="249">
        <v>0</v>
      </c>
      <c r="EJ15" s="249">
        <v>1</v>
      </c>
      <c r="EK15" s="249">
        <v>1</v>
      </c>
      <c r="EL15" s="249">
        <v>0</v>
      </c>
      <c r="EM15" s="249">
        <v>0</v>
      </c>
      <c r="EN15" s="249">
        <v>0</v>
      </c>
      <c r="EO15" s="249">
        <v>0</v>
      </c>
      <c r="EP15" s="249">
        <v>0</v>
      </c>
      <c r="EQ15" s="249">
        <v>0</v>
      </c>
      <c r="ER15" s="249">
        <v>97</v>
      </c>
      <c r="ES15" s="249">
        <v>2236</v>
      </c>
      <c r="ET15" s="249">
        <v>364</v>
      </c>
      <c r="EU15" s="249">
        <v>0</v>
      </c>
      <c r="EV15" s="249">
        <v>0</v>
      </c>
      <c r="EW15" s="249">
        <v>0</v>
      </c>
      <c r="EX15" s="249">
        <v>0</v>
      </c>
      <c r="EY15" s="249">
        <v>63</v>
      </c>
      <c r="EZ15" s="249">
        <v>26</v>
      </c>
      <c r="FA15" s="249">
        <v>9</v>
      </c>
      <c r="FB15" s="249">
        <v>736</v>
      </c>
      <c r="FC15" s="249">
        <v>321</v>
      </c>
      <c r="FD15" s="249">
        <v>0</v>
      </c>
      <c r="FE15" s="249">
        <v>2</v>
      </c>
      <c r="FF15" s="249">
        <v>0</v>
      </c>
      <c r="FG15" s="249">
        <v>0</v>
      </c>
      <c r="FH15" s="249">
        <v>0</v>
      </c>
      <c r="FI15" s="249">
        <v>0</v>
      </c>
      <c r="FJ15" s="249">
        <v>0</v>
      </c>
      <c r="FK15" s="249">
        <v>372647</v>
      </c>
    </row>
    <row r="16" spans="1:167" x14ac:dyDescent="0.25">
      <c r="A16" s="236" t="s">
        <v>43</v>
      </c>
      <c r="B16" s="246">
        <f t="shared" si="4"/>
        <v>474256</v>
      </c>
      <c r="C16" s="246">
        <f t="shared" si="4"/>
        <v>11006</v>
      </c>
      <c r="D16" s="246">
        <f t="shared" si="4"/>
        <v>6599</v>
      </c>
      <c r="E16" s="246">
        <f t="shared" si="4"/>
        <v>5365</v>
      </c>
      <c r="F16" s="246">
        <f t="shared" si="4"/>
        <v>8018</v>
      </c>
      <c r="G16" s="246">
        <f t="shared" si="4"/>
        <v>13549</v>
      </c>
      <c r="H16" s="246">
        <f t="shared" si="4"/>
        <v>80398</v>
      </c>
      <c r="I16" s="246">
        <f t="shared" si="4"/>
        <v>12683</v>
      </c>
      <c r="J16" s="246">
        <f t="shared" si="4"/>
        <v>1040</v>
      </c>
      <c r="K16" s="246">
        <f t="shared" si="4"/>
        <v>24612</v>
      </c>
      <c r="L16" s="246">
        <f t="shared" si="4"/>
        <v>19634</v>
      </c>
      <c r="M16" s="246">
        <f t="shared" si="4"/>
        <v>30312</v>
      </c>
      <c r="N16" s="246">
        <f t="shared" si="4"/>
        <v>5119</v>
      </c>
      <c r="O16" s="246">
        <f t="shared" si="4"/>
        <v>5837</v>
      </c>
      <c r="P16" s="246">
        <f t="shared" si="4"/>
        <v>68815</v>
      </c>
      <c r="Q16" s="246">
        <f t="shared" si="4"/>
        <v>18675</v>
      </c>
      <c r="R16" s="246">
        <f t="shared" si="5"/>
        <v>37116</v>
      </c>
      <c r="S16" s="246">
        <f t="shared" si="5"/>
        <v>107979</v>
      </c>
      <c r="T16" s="246">
        <f t="shared" si="5"/>
        <v>4378</v>
      </c>
      <c r="U16" s="246">
        <f t="shared" si="5"/>
        <v>24127</v>
      </c>
      <c r="V16" s="246">
        <f t="shared" si="5"/>
        <v>16043</v>
      </c>
      <c r="W16" s="246">
        <f t="shared" si="5"/>
        <v>2446</v>
      </c>
      <c r="X16" s="246">
        <f t="shared" si="5"/>
        <v>53825</v>
      </c>
      <c r="Y16" s="246">
        <f t="shared" si="5"/>
        <v>10506</v>
      </c>
      <c r="Z16" s="246">
        <f t="shared" si="5"/>
        <v>40172</v>
      </c>
      <c r="AA16" s="246">
        <f t="shared" si="5"/>
        <v>5528</v>
      </c>
      <c r="AB16" s="246">
        <f t="shared" si="5"/>
        <v>1237</v>
      </c>
      <c r="AC16" s="246">
        <f t="shared" si="5"/>
        <v>270</v>
      </c>
      <c r="AD16" s="246">
        <f t="shared" si="5"/>
        <v>3057</v>
      </c>
      <c r="AE16" s="246">
        <f t="shared" si="5"/>
        <v>22185</v>
      </c>
      <c r="AF16" s="246">
        <f t="shared" si="5"/>
        <v>3900</v>
      </c>
      <c r="AG16" s="246">
        <f t="shared" si="5"/>
        <v>3744</v>
      </c>
      <c r="AH16" s="246">
        <f t="shared" si="6"/>
        <v>2498</v>
      </c>
      <c r="AI16" s="246">
        <f t="shared" si="6"/>
        <v>3869</v>
      </c>
      <c r="AJ16" s="246">
        <f t="shared" si="6"/>
        <v>2450</v>
      </c>
      <c r="AK16" s="246">
        <f t="shared" si="6"/>
        <v>171730</v>
      </c>
      <c r="AL16" s="246">
        <f t="shared" si="6"/>
        <v>6584</v>
      </c>
      <c r="AM16" s="246">
        <f t="shared" si="6"/>
        <v>1208</v>
      </c>
      <c r="AN16" s="246">
        <f t="shared" si="6"/>
        <v>1850</v>
      </c>
      <c r="AO16" s="246">
        <f t="shared" si="6"/>
        <v>32685</v>
      </c>
      <c r="AP16" s="246">
        <f t="shared" si="6"/>
        <v>3692</v>
      </c>
      <c r="AQ16" s="246">
        <f t="shared" si="6"/>
        <v>44676</v>
      </c>
      <c r="AR16" s="246">
        <f t="shared" si="6"/>
        <v>162</v>
      </c>
      <c r="AS16" s="246">
        <f t="shared" si="6"/>
        <v>814082</v>
      </c>
      <c r="AT16" s="246">
        <f t="shared" si="6"/>
        <v>96225</v>
      </c>
      <c r="AU16" s="246">
        <f t="shared" si="6"/>
        <v>5684</v>
      </c>
      <c r="AV16" s="246">
        <f t="shared" si="6"/>
        <v>13671</v>
      </c>
      <c r="AW16" s="246">
        <f t="shared" si="6"/>
        <v>1646</v>
      </c>
      <c r="AX16" s="246">
        <f t="shared" si="7"/>
        <v>32051</v>
      </c>
      <c r="AY16" s="246">
        <f t="shared" si="7"/>
        <v>67</v>
      </c>
      <c r="AZ16" s="246">
        <f t="shared" si="7"/>
        <v>104</v>
      </c>
      <c r="BA16" s="246">
        <f t="shared" si="7"/>
        <v>743</v>
      </c>
      <c r="BB16" s="246">
        <f t="shared" si="7"/>
        <v>4548</v>
      </c>
      <c r="BC16" s="246">
        <f t="shared" si="7"/>
        <v>1716670</v>
      </c>
      <c r="BD16" s="202"/>
      <c r="BE16" s="236" t="s">
        <v>43</v>
      </c>
      <c r="BF16" s="247">
        <v>133795</v>
      </c>
      <c r="BG16" s="247">
        <v>7179</v>
      </c>
      <c r="BH16" s="247">
        <v>2737</v>
      </c>
      <c r="BI16" s="247">
        <v>1702</v>
      </c>
      <c r="BJ16" s="247">
        <v>2268</v>
      </c>
      <c r="BK16" s="247">
        <v>6666</v>
      </c>
      <c r="BL16" s="247">
        <v>30363</v>
      </c>
      <c r="BM16" s="247">
        <v>5618</v>
      </c>
      <c r="BN16" s="247">
        <v>137</v>
      </c>
      <c r="BO16" s="247">
        <v>5554</v>
      </c>
      <c r="BP16" s="247">
        <v>3954</v>
      </c>
      <c r="BQ16" s="247">
        <v>15433</v>
      </c>
      <c r="BR16" s="247">
        <v>1961</v>
      </c>
      <c r="BS16" s="247">
        <v>2118</v>
      </c>
      <c r="BT16" s="247">
        <v>15357</v>
      </c>
      <c r="BU16" s="247">
        <v>5302</v>
      </c>
      <c r="BV16" s="247">
        <v>10789</v>
      </c>
      <c r="BW16" s="247">
        <v>10396</v>
      </c>
      <c r="BX16" s="247">
        <v>2613</v>
      </c>
      <c r="BY16" s="247">
        <v>10827</v>
      </c>
      <c r="BZ16" s="247">
        <v>16043</v>
      </c>
      <c r="CA16" s="247">
        <v>2440</v>
      </c>
      <c r="CB16" s="247">
        <v>53279</v>
      </c>
      <c r="CC16" s="247">
        <v>8252</v>
      </c>
      <c r="CD16" s="247">
        <v>20097</v>
      </c>
      <c r="CE16" s="247">
        <v>3958</v>
      </c>
      <c r="CF16" s="247">
        <v>1067</v>
      </c>
      <c r="CG16" s="247">
        <v>127</v>
      </c>
      <c r="CH16" s="247">
        <v>3057</v>
      </c>
      <c r="CI16" s="247">
        <v>22154</v>
      </c>
      <c r="CJ16" s="247">
        <v>3701</v>
      </c>
      <c r="CK16" s="247">
        <v>3744</v>
      </c>
      <c r="CL16" s="247">
        <v>2469</v>
      </c>
      <c r="CM16" s="247">
        <v>3869</v>
      </c>
      <c r="CN16" s="247">
        <v>2404</v>
      </c>
      <c r="CO16" s="247">
        <v>146661</v>
      </c>
      <c r="CP16" s="247">
        <v>6278</v>
      </c>
      <c r="CQ16" s="247">
        <v>1183</v>
      </c>
      <c r="CR16" s="247">
        <v>1775</v>
      </c>
      <c r="CS16" s="247">
        <v>32685</v>
      </c>
      <c r="CT16" s="247">
        <v>3692</v>
      </c>
      <c r="CU16" s="247">
        <v>35592</v>
      </c>
      <c r="CV16" s="247">
        <v>159</v>
      </c>
      <c r="CW16" s="247">
        <v>696081</v>
      </c>
      <c r="CX16" s="247">
        <v>49660</v>
      </c>
      <c r="CY16" s="247">
        <v>5203</v>
      </c>
      <c r="CZ16" s="247">
        <v>7100</v>
      </c>
      <c r="DA16" s="247">
        <v>220</v>
      </c>
      <c r="DB16" s="247">
        <v>27813</v>
      </c>
      <c r="DC16" s="247">
        <v>67</v>
      </c>
      <c r="DD16" s="247">
        <v>104</v>
      </c>
      <c r="DE16" s="247">
        <v>723</v>
      </c>
      <c r="DF16" s="247">
        <v>4117</v>
      </c>
      <c r="DG16" s="247">
        <v>1160087</v>
      </c>
      <c r="DH16" s="247"/>
      <c r="DI16" s="248" t="s">
        <v>43</v>
      </c>
      <c r="DJ16" s="249">
        <v>340461</v>
      </c>
      <c r="DK16" s="249">
        <v>3827</v>
      </c>
      <c r="DL16" s="249">
        <v>3862</v>
      </c>
      <c r="DM16" s="249">
        <v>3663</v>
      </c>
      <c r="DN16" s="249">
        <v>5750</v>
      </c>
      <c r="DO16" s="249">
        <v>6883</v>
      </c>
      <c r="DP16" s="249">
        <v>50035</v>
      </c>
      <c r="DQ16" s="249">
        <v>7065</v>
      </c>
      <c r="DR16" s="249">
        <v>903</v>
      </c>
      <c r="DS16" s="249">
        <v>19058</v>
      </c>
      <c r="DT16" s="249">
        <v>15680</v>
      </c>
      <c r="DU16" s="249">
        <v>14879</v>
      </c>
      <c r="DV16" s="249">
        <v>3158</v>
      </c>
      <c r="DW16" s="249">
        <v>3719</v>
      </c>
      <c r="DX16" s="249">
        <v>53458</v>
      </c>
      <c r="DY16" s="249">
        <v>13373</v>
      </c>
      <c r="DZ16" s="249">
        <v>26327</v>
      </c>
      <c r="EA16" s="249">
        <v>97583</v>
      </c>
      <c r="EB16" s="249">
        <v>1765</v>
      </c>
      <c r="EC16" s="249">
        <v>13300</v>
      </c>
      <c r="ED16" s="249">
        <v>0</v>
      </c>
      <c r="EE16" s="249">
        <v>6</v>
      </c>
      <c r="EF16" s="249">
        <v>546</v>
      </c>
      <c r="EG16" s="249">
        <v>2254</v>
      </c>
      <c r="EH16" s="249">
        <v>20075</v>
      </c>
      <c r="EI16" s="249">
        <v>1570</v>
      </c>
      <c r="EJ16" s="249">
        <v>170</v>
      </c>
      <c r="EK16" s="249">
        <v>143</v>
      </c>
      <c r="EL16" s="249">
        <v>0</v>
      </c>
      <c r="EM16" s="249">
        <v>31</v>
      </c>
      <c r="EN16" s="249">
        <v>199</v>
      </c>
      <c r="EO16" s="249">
        <v>0</v>
      </c>
      <c r="EP16" s="249">
        <v>29</v>
      </c>
      <c r="EQ16" s="249">
        <v>0</v>
      </c>
      <c r="ER16" s="249">
        <v>46</v>
      </c>
      <c r="ES16" s="249">
        <v>25069</v>
      </c>
      <c r="ET16" s="249">
        <v>306</v>
      </c>
      <c r="EU16" s="249">
        <v>25</v>
      </c>
      <c r="EV16" s="249">
        <v>75</v>
      </c>
      <c r="EW16" s="249">
        <v>0</v>
      </c>
      <c r="EX16" s="249">
        <v>0</v>
      </c>
      <c r="EY16" s="249">
        <v>9084</v>
      </c>
      <c r="EZ16" s="249">
        <v>3</v>
      </c>
      <c r="FA16" s="249">
        <v>118001</v>
      </c>
      <c r="FB16" s="249">
        <v>46565</v>
      </c>
      <c r="FC16" s="249">
        <v>481</v>
      </c>
      <c r="FD16" s="249">
        <v>6571</v>
      </c>
      <c r="FE16" s="249">
        <v>1426</v>
      </c>
      <c r="FF16" s="249">
        <v>4238</v>
      </c>
      <c r="FG16" s="249">
        <v>0</v>
      </c>
      <c r="FH16" s="249">
        <v>0</v>
      </c>
      <c r="FI16" s="249">
        <v>20</v>
      </c>
      <c r="FJ16" s="249">
        <v>431</v>
      </c>
      <c r="FK16" s="249">
        <v>556583</v>
      </c>
    </row>
    <row r="17" spans="1:167" x14ac:dyDescent="0.25">
      <c r="A17" s="236" t="s">
        <v>42</v>
      </c>
      <c r="B17" s="246">
        <f t="shared" si="4"/>
        <v>884635</v>
      </c>
      <c r="C17" s="246">
        <f t="shared" si="4"/>
        <v>32624</v>
      </c>
      <c r="D17" s="246">
        <f t="shared" si="4"/>
        <v>18033</v>
      </c>
      <c r="E17" s="246">
        <f t="shared" si="4"/>
        <v>11143</v>
      </c>
      <c r="F17" s="246">
        <f t="shared" si="4"/>
        <v>12941</v>
      </c>
      <c r="G17" s="246">
        <f t="shared" si="4"/>
        <v>38864</v>
      </c>
      <c r="H17" s="246">
        <f t="shared" si="4"/>
        <v>78639</v>
      </c>
      <c r="I17" s="246">
        <f t="shared" si="4"/>
        <v>25425</v>
      </c>
      <c r="J17" s="246">
        <f t="shared" si="4"/>
        <v>6266</v>
      </c>
      <c r="K17" s="246">
        <f t="shared" si="4"/>
        <v>15748</v>
      </c>
      <c r="L17" s="246">
        <f t="shared" si="4"/>
        <v>21223</v>
      </c>
      <c r="M17" s="246">
        <f t="shared" si="4"/>
        <v>24558</v>
      </c>
      <c r="N17" s="246">
        <f t="shared" si="4"/>
        <v>12806</v>
      </c>
      <c r="O17" s="246">
        <f t="shared" si="4"/>
        <v>10872</v>
      </c>
      <c r="P17" s="246">
        <f t="shared" si="4"/>
        <v>92670</v>
      </c>
      <c r="Q17" s="246">
        <f t="shared" si="4"/>
        <v>24964</v>
      </c>
      <c r="R17" s="246">
        <f t="shared" si="5"/>
        <v>57988</v>
      </c>
      <c r="S17" s="246">
        <f t="shared" si="5"/>
        <v>402913</v>
      </c>
      <c r="T17" s="246">
        <f t="shared" si="5"/>
        <v>3597</v>
      </c>
      <c r="U17" s="246">
        <f t="shared" si="5"/>
        <v>25985</v>
      </c>
      <c r="V17" s="246">
        <f t="shared" si="5"/>
        <v>354022</v>
      </c>
      <c r="W17" s="246">
        <f t="shared" si="5"/>
        <v>52883</v>
      </c>
      <c r="X17" s="246">
        <f t="shared" si="5"/>
        <v>997276</v>
      </c>
      <c r="Y17" s="246">
        <f t="shared" si="5"/>
        <v>119540</v>
      </c>
      <c r="Z17" s="246">
        <f t="shared" si="5"/>
        <v>137577</v>
      </c>
      <c r="AA17" s="246">
        <f t="shared" si="5"/>
        <v>25320</v>
      </c>
      <c r="AB17" s="246">
        <f t="shared" si="5"/>
        <v>9942</v>
      </c>
      <c r="AC17" s="246">
        <f t="shared" si="5"/>
        <v>665</v>
      </c>
      <c r="AD17" s="246">
        <f t="shared" si="5"/>
        <v>72044</v>
      </c>
      <c r="AE17" s="246">
        <f t="shared" si="5"/>
        <v>263071</v>
      </c>
      <c r="AF17" s="246">
        <f t="shared" si="5"/>
        <v>39403</v>
      </c>
      <c r="AG17" s="246">
        <f t="shared" si="5"/>
        <v>38398</v>
      </c>
      <c r="AH17" s="246">
        <f t="shared" si="6"/>
        <v>10464</v>
      </c>
      <c r="AI17" s="246">
        <f t="shared" si="6"/>
        <v>5266</v>
      </c>
      <c r="AJ17" s="246">
        <f t="shared" si="6"/>
        <v>22591</v>
      </c>
      <c r="AK17" s="246">
        <f t="shared" si="6"/>
        <v>2148462</v>
      </c>
      <c r="AL17" s="246">
        <f t="shared" si="6"/>
        <v>13378</v>
      </c>
      <c r="AM17" s="246">
        <f t="shared" si="6"/>
        <v>4332</v>
      </c>
      <c r="AN17" s="246">
        <f t="shared" si="6"/>
        <v>2588</v>
      </c>
      <c r="AO17" s="246">
        <f t="shared" si="6"/>
        <v>20660</v>
      </c>
      <c r="AP17" s="246">
        <f t="shared" si="6"/>
        <v>12125</v>
      </c>
      <c r="AQ17" s="246">
        <f t="shared" si="6"/>
        <v>32324</v>
      </c>
      <c r="AR17" s="246">
        <f t="shared" si="6"/>
        <v>523</v>
      </c>
      <c r="AS17" s="246">
        <f t="shared" si="6"/>
        <v>86736</v>
      </c>
      <c r="AT17" s="246">
        <f t="shared" si="6"/>
        <v>134976</v>
      </c>
      <c r="AU17" s="246">
        <f t="shared" si="6"/>
        <v>15547</v>
      </c>
      <c r="AV17" s="246">
        <f t="shared" si="6"/>
        <v>4131</v>
      </c>
      <c r="AW17" s="246">
        <f t="shared" si="6"/>
        <v>222</v>
      </c>
      <c r="AX17" s="246">
        <f t="shared" si="7"/>
        <v>11160</v>
      </c>
      <c r="AY17" s="246">
        <f t="shared" si="7"/>
        <v>10</v>
      </c>
      <c r="AZ17" s="246">
        <f t="shared" si="7"/>
        <v>212</v>
      </c>
      <c r="BA17" s="246">
        <f t="shared" si="7"/>
        <v>605</v>
      </c>
      <c r="BB17" s="246">
        <f t="shared" si="7"/>
        <v>10330</v>
      </c>
      <c r="BC17" s="246">
        <f t="shared" si="7"/>
        <v>3415580</v>
      </c>
      <c r="BD17" s="202"/>
      <c r="BE17" s="236" t="s">
        <v>42</v>
      </c>
      <c r="BF17" s="247">
        <v>478928</v>
      </c>
      <c r="BG17" s="247">
        <v>32369</v>
      </c>
      <c r="BH17" s="247">
        <v>17155</v>
      </c>
      <c r="BI17" s="247">
        <v>10998</v>
      </c>
      <c r="BJ17" s="247">
        <v>12790</v>
      </c>
      <c r="BK17" s="247">
        <v>38784</v>
      </c>
      <c r="BL17" s="247">
        <v>77299</v>
      </c>
      <c r="BM17" s="247">
        <v>23890</v>
      </c>
      <c r="BN17" s="247">
        <v>394</v>
      </c>
      <c r="BO17" s="247">
        <v>13338</v>
      </c>
      <c r="BP17" s="247">
        <v>18919</v>
      </c>
      <c r="BQ17" s="247">
        <v>23859</v>
      </c>
      <c r="BR17" s="247">
        <v>12615</v>
      </c>
      <c r="BS17" s="247">
        <v>10235</v>
      </c>
      <c r="BT17" s="247">
        <v>88671</v>
      </c>
      <c r="BU17" s="247">
        <v>23957</v>
      </c>
      <c r="BV17" s="247">
        <v>54965</v>
      </c>
      <c r="BW17" s="247">
        <v>21934</v>
      </c>
      <c r="BX17" s="247">
        <v>3590</v>
      </c>
      <c r="BY17" s="247">
        <v>25535</v>
      </c>
      <c r="BZ17" s="247">
        <v>354022</v>
      </c>
      <c r="CA17" s="247">
        <v>52882</v>
      </c>
      <c r="CB17" s="247">
        <v>997017</v>
      </c>
      <c r="CC17" s="247">
        <v>115932</v>
      </c>
      <c r="CD17" s="247">
        <v>66868</v>
      </c>
      <c r="CE17" s="247">
        <v>25060</v>
      </c>
      <c r="CF17" s="247">
        <v>9280</v>
      </c>
      <c r="CG17" s="247">
        <v>463</v>
      </c>
      <c r="CH17" s="247">
        <v>72044</v>
      </c>
      <c r="CI17" s="247">
        <v>262400</v>
      </c>
      <c r="CJ17" s="247">
        <v>39209</v>
      </c>
      <c r="CK17" s="247">
        <v>38398</v>
      </c>
      <c r="CL17" s="247">
        <v>10174</v>
      </c>
      <c r="CM17" s="247">
        <v>5266</v>
      </c>
      <c r="CN17" s="247">
        <v>22577</v>
      </c>
      <c r="CO17" s="247">
        <v>2071592</v>
      </c>
      <c r="CP17" s="247">
        <v>13378</v>
      </c>
      <c r="CQ17" s="247">
        <v>4332</v>
      </c>
      <c r="CR17" s="247">
        <v>2588</v>
      </c>
      <c r="CS17" s="247">
        <v>20660</v>
      </c>
      <c r="CT17" s="247">
        <v>12125</v>
      </c>
      <c r="CU17" s="247">
        <v>32324</v>
      </c>
      <c r="CV17" s="247">
        <v>523</v>
      </c>
      <c r="CW17" s="247">
        <v>85617</v>
      </c>
      <c r="CX17" s="247">
        <v>98516</v>
      </c>
      <c r="CY17" s="247">
        <v>15547</v>
      </c>
      <c r="CZ17" s="247">
        <v>4116</v>
      </c>
      <c r="DA17" s="247">
        <v>222</v>
      </c>
      <c r="DB17" s="247">
        <v>11160</v>
      </c>
      <c r="DC17" s="247">
        <v>10</v>
      </c>
      <c r="DD17" s="247">
        <v>212</v>
      </c>
      <c r="DE17" s="247">
        <v>550</v>
      </c>
      <c r="DF17" s="247">
        <v>10072</v>
      </c>
      <c r="DG17" s="247">
        <v>2894841</v>
      </c>
      <c r="DH17" s="247"/>
      <c r="DI17" s="248" t="s">
        <v>42</v>
      </c>
      <c r="DJ17" s="249">
        <v>405707</v>
      </c>
      <c r="DK17" s="249">
        <v>255</v>
      </c>
      <c r="DL17" s="249">
        <v>878</v>
      </c>
      <c r="DM17" s="249">
        <v>145</v>
      </c>
      <c r="DN17" s="249">
        <v>151</v>
      </c>
      <c r="DO17" s="249">
        <v>80</v>
      </c>
      <c r="DP17" s="249">
        <v>1340</v>
      </c>
      <c r="DQ17" s="249">
        <v>1535</v>
      </c>
      <c r="DR17" s="249">
        <v>5872</v>
      </c>
      <c r="DS17" s="249">
        <v>2410</v>
      </c>
      <c r="DT17" s="249">
        <v>2304</v>
      </c>
      <c r="DU17" s="249">
        <v>699</v>
      </c>
      <c r="DV17" s="249">
        <v>191</v>
      </c>
      <c r="DW17" s="249">
        <v>637</v>
      </c>
      <c r="DX17" s="249">
        <v>3999</v>
      </c>
      <c r="DY17" s="249">
        <v>1007</v>
      </c>
      <c r="DZ17" s="249">
        <v>3023</v>
      </c>
      <c r="EA17" s="249">
        <v>380979</v>
      </c>
      <c r="EB17" s="249">
        <v>7</v>
      </c>
      <c r="EC17" s="249">
        <v>450</v>
      </c>
      <c r="ED17" s="249">
        <v>0</v>
      </c>
      <c r="EE17" s="249">
        <v>1</v>
      </c>
      <c r="EF17" s="249">
        <v>259</v>
      </c>
      <c r="EG17" s="249">
        <v>3608</v>
      </c>
      <c r="EH17" s="249">
        <v>70709</v>
      </c>
      <c r="EI17" s="249">
        <v>260</v>
      </c>
      <c r="EJ17" s="249">
        <v>662</v>
      </c>
      <c r="EK17" s="249">
        <v>202</v>
      </c>
      <c r="EL17" s="249">
        <v>0</v>
      </c>
      <c r="EM17" s="249">
        <v>671</v>
      </c>
      <c r="EN17" s="249">
        <v>194</v>
      </c>
      <c r="EO17" s="249">
        <v>0</v>
      </c>
      <c r="EP17" s="249">
        <v>290</v>
      </c>
      <c r="EQ17" s="249">
        <v>0</v>
      </c>
      <c r="ER17" s="249">
        <v>14</v>
      </c>
      <c r="ES17" s="249">
        <v>76870</v>
      </c>
      <c r="ET17" s="249">
        <v>0</v>
      </c>
      <c r="EU17" s="249">
        <v>0</v>
      </c>
      <c r="EV17" s="249">
        <v>0</v>
      </c>
      <c r="EW17" s="249">
        <v>0</v>
      </c>
      <c r="EX17" s="249">
        <v>0</v>
      </c>
      <c r="EY17" s="249">
        <v>0</v>
      </c>
      <c r="EZ17" s="249">
        <v>0</v>
      </c>
      <c r="FA17" s="249">
        <v>1119</v>
      </c>
      <c r="FB17" s="249">
        <v>36460</v>
      </c>
      <c r="FC17" s="249">
        <v>0</v>
      </c>
      <c r="FD17" s="249">
        <v>15</v>
      </c>
      <c r="FE17" s="249">
        <v>0</v>
      </c>
      <c r="FF17" s="249">
        <v>0</v>
      </c>
      <c r="FG17" s="249">
        <v>0</v>
      </c>
      <c r="FH17" s="249">
        <v>0</v>
      </c>
      <c r="FI17" s="249">
        <v>55</v>
      </c>
      <c r="FJ17" s="249">
        <v>258</v>
      </c>
      <c r="FK17" s="249">
        <v>520739</v>
      </c>
    </row>
    <row r="18" spans="1:167" x14ac:dyDescent="0.25">
      <c r="A18" s="236" t="s">
        <v>41</v>
      </c>
      <c r="B18" s="246">
        <f t="shared" si="4"/>
        <v>113957</v>
      </c>
      <c r="C18" s="246">
        <f t="shared" si="4"/>
        <v>19308</v>
      </c>
      <c r="D18" s="246">
        <f t="shared" si="4"/>
        <v>830</v>
      </c>
      <c r="E18" s="246">
        <f t="shared" si="4"/>
        <v>556</v>
      </c>
      <c r="F18" s="246">
        <f t="shared" si="4"/>
        <v>496</v>
      </c>
      <c r="G18" s="246">
        <f t="shared" si="4"/>
        <v>256</v>
      </c>
      <c r="H18" s="246">
        <f t="shared" si="4"/>
        <v>2807</v>
      </c>
      <c r="I18" s="246">
        <f t="shared" si="4"/>
        <v>1425</v>
      </c>
      <c r="J18" s="246">
        <f t="shared" si="4"/>
        <v>547</v>
      </c>
      <c r="K18" s="246">
        <f t="shared" si="4"/>
        <v>1028</v>
      </c>
      <c r="L18" s="246">
        <f t="shared" si="4"/>
        <v>3613</v>
      </c>
      <c r="M18" s="246">
        <f t="shared" si="4"/>
        <v>3101</v>
      </c>
      <c r="N18" s="246">
        <f t="shared" si="4"/>
        <v>572</v>
      </c>
      <c r="O18" s="246">
        <f t="shared" si="4"/>
        <v>1035</v>
      </c>
      <c r="P18" s="246">
        <f t="shared" si="4"/>
        <v>10001</v>
      </c>
      <c r="Q18" s="246">
        <f t="shared" si="4"/>
        <v>4549</v>
      </c>
      <c r="R18" s="246">
        <f t="shared" si="5"/>
        <v>2882</v>
      </c>
      <c r="S18" s="246">
        <f t="shared" si="5"/>
        <v>75187</v>
      </c>
      <c r="T18" s="246">
        <f t="shared" si="5"/>
        <v>485</v>
      </c>
      <c r="U18" s="246">
        <f t="shared" si="5"/>
        <v>4587</v>
      </c>
      <c r="V18" s="246">
        <f t="shared" si="5"/>
        <v>7110</v>
      </c>
      <c r="W18" s="246">
        <f t="shared" si="5"/>
        <v>558</v>
      </c>
      <c r="X18" s="246">
        <f t="shared" si="5"/>
        <v>7067</v>
      </c>
      <c r="Y18" s="246">
        <f t="shared" si="5"/>
        <v>1672</v>
      </c>
      <c r="Z18" s="246">
        <f t="shared" si="5"/>
        <v>10571</v>
      </c>
      <c r="AA18" s="246">
        <f t="shared" si="5"/>
        <v>679</v>
      </c>
      <c r="AB18" s="246">
        <f t="shared" si="5"/>
        <v>388</v>
      </c>
      <c r="AC18" s="246">
        <f t="shared" si="5"/>
        <v>247</v>
      </c>
      <c r="AD18" s="246">
        <f t="shared" si="5"/>
        <v>773</v>
      </c>
      <c r="AE18" s="246">
        <f t="shared" si="5"/>
        <v>3220</v>
      </c>
      <c r="AF18" s="246">
        <f t="shared" si="5"/>
        <v>879</v>
      </c>
      <c r="AG18" s="246">
        <f t="shared" si="5"/>
        <v>868</v>
      </c>
      <c r="AH18" s="246">
        <f t="shared" si="6"/>
        <v>287</v>
      </c>
      <c r="AI18" s="246">
        <f t="shared" si="6"/>
        <v>421</v>
      </c>
      <c r="AJ18" s="246">
        <f t="shared" si="6"/>
        <v>1094</v>
      </c>
      <c r="AK18" s="246">
        <f t="shared" si="6"/>
        <v>35834</v>
      </c>
      <c r="AL18" s="246">
        <f t="shared" si="6"/>
        <v>3715</v>
      </c>
      <c r="AM18" s="246">
        <f t="shared" si="6"/>
        <v>444</v>
      </c>
      <c r="AN18" s="246">
        <f t="shared" si="6"/>
        <v>605</v>
      </c>
      <c r="AO18" s="246">
        <f t="shared" si="6"/>
        <v>1200</v>
      </c>
      <c r="AP18" s="246">
        <f t="shared" si="6"/>
        <v>814</v>
      </c>
      <c r="AQ18" s="246">
        <f t="shared" si="6"/>
        <v>1977</v>
      </c>
      <c r="AR18" s="246">
        <f t="shared" si="6"/>
        <v>2014</v>
      </c>
      <c r="AS18" s="246">
        <f t="shared" si="6"/>
        <v>53509</v>
      </c>
      <c r="AT18" s="246">
        <f t="shared" si="6"/>
        <v>36772</v>
      </c>
      <c r="AU18" s="246">
        <f t="shared" si="6"/>
        <v>6493</v>
      </c>
      <c r="AV18" s="246">
        <f t="shared" si="6"/>
        <v>6086</v>
      </c>
      <c r="AW18" s="246">
        <f t="shared" si="6"/>
        <v>3836</v>
      </c>
      <c r="AX18" s="246">
        <f t="shared" si="7"/>
        <v>4644</v>
      </c>
      <c r="AY18" s="246">
        <f t="shared" si="7"/>
        <v>585</v>
      </c>
      <c r="AZ18" s="246">
        <f t="shared" si="7"/>
        <v>32</v>
      </c>
      <c r="BA18" s="246">
        <f t="shared" si="7"/>
        <v>2001</v>
      </c>
      <c r="BB18" s="246">
        <f t="shared" si="7"/>
        <v>37520</v>
      </c>
      <c r="BC18" s="246">
        <f t="shared" si="7"/>
        <v>331346</v>
      </c>
      <c r="BD18" s="202"/>
      <c r="BE18" s="236" t="s">
        <v>41</v>
      </c>
      <c r="BF18" s="247">
        <v>27728</v>
      </c>
      <c r="BG18" s="247">
        <v>18675</v>
      </c>
      <c r="BH18" s="247">
        <v>475</v>
      </c>
      <c r="BI18" s="247">
        <v>325</v>
      </c>
      <c r="BJ18" s="247">
        <v>297</v>
      </c>
      <c r="BK18" s="247">
        <v>209</v>
      </c>
      <c r="BL18" s="247">
        <v>2070</v>
      </c>
      <c r="BM18" s="247">
        <v>711</v>
      </c>
      <c r="BN18" s="247">
        <v>21</v>
      </c>
      <c r="BO18" s="247">
        <v>691</v>
      </c>
      <c r="BP18" s="247">
        <v>2184</v>
      </c>
      <c r="BQ18" s="247">
        <v>1690</v>
      </c>
      <c r="BR18" s="247">
        <v>438</v>
      </c>
      <c r="BS18" s="247">
        <v>622</v>
      </c>
      <c r="BT18" s="247">
        <v>4488</v>
      </c>
      <c r="BU18" s="247">
        <v>3511</v>
      </c>
      <c r="BV18" s="247">
        <v>2032</v>
      </c>
      <c r="BW18" s="247">
        <v>3487</v>
      </c>
      <c r="BX18" s="247">
        <v>392</v>
      </c>
      <c r="BY18" s="247">
        <v>4085</v>
      </c>
      <c r="BZ18" s="247">
        <v>7110</v>
      </c>
      <c r="CA18" s="247">
        <v>557</v>
      </c>
      <c r="CB18" s="247">
        <v>6990</v>
      </c>
      <c r="CC18" s="247">
        <v>1536</v>
      </c>
      <c r="CD18" s="247">
        <v>1169</v>
      </c>
      <c r="CE18" s="247">
        <v>599</v>
      </c>
      <c r="CF18" s="247">
        <v>377</v>
      </c>
      <c r="CG18" s="247">
        <v>201</v>
      </c>
      <c r="CH18" s="247">
        <v>773</v>
      </c>
      <c r="CI18" s="247">
        <v>2941</v>
      </c>
      <c r="CJ18" s="247">
        <v>865</v>
      </c>
      <c r="CK18" s="247">
        <v>868</v>
      </c>
      <c r="CL18" s="247">
        <v>282</v>
      </c>
      <c r="CM18" s="247">
        <v>421</v>
      </c>
      <c r="CN18" s="247">
        <v>1073</v>
      </c>
      <c r="CO18" s="247">
        <v>25762</v>
      </c>
      <c r="CP18" s="247">
        <v>3702</v>
      </c>
      <c r="CQ18" s="247">
        <v>444</v>
      </c>
      <c r="CR18" s="247">
        <v>603</v>
      </c>
      <c r="CS18" s="247">
        <v>1200</v>
      </c>
      <c r="CT18" s="247">
        <v>814</v>
      </c>
      <c r="CU18" s="247">
        <v>1917</v>
      </c>
      <c r="CV18" s="247">
        <v>2014</v>
      </c>
      <c r="CW18" s="247">
        <v>25028</v>
      </c>
      <c r="CX18" s="247">
        <v>20638</v>
      </c>
      <c r="CY18" s="247">
        <v>6407</v>
      </c>
      <c r="CZ18" s="247">
        <v>4523</v>
      </c>
      <c r="DA18" s="247">
        <v>452</v>
      </c>
      <c r="DB18" s="247">
        <v>2170</v>
      </c>
      <c r="DC18" s="247">
        <v>516</v>
      </c>
      <c r="DD18" s="247">
        <v>32</v>
      </c>
      <c r="DE18" s="247">
        <v>1990</v>
      </c>
      <c r="DF18" s="247">
        <v>37228</v>
      </c>
      <c r="DG18" s="247">
        <v>181843</v>
      </c>
      <c r="DH18" s="247"/>
      <c r="DI18" s="248" t="s">
        <v>41</v>
      </c>
      <c r="DJ18" s="249">
        <v>86229</v>
      </c>
      <c r="DK18" s="249">
        <v>633</v>
      </c>
      <c r="DL18" s="249">
        <v>355</v>
      </c>
      <c r="DM18" s="249">
        <v>231</v>
      </c>
      <c r="DN18" s="249">
        <v>199</v>
      </c>
      <c r="DO18" s="249">
        <v>47</v>
      </c>
      <c r="DP18" s="249">
        <v>737</v>
      </c>
      <c r="DQ18" s="249">
        <v>714</v>
      </c>
      <c r="DR18" s="249">
        <v>526</v>
      </c>
      <c r="DS18" s="249">
        <v>337</v>
      </c>
      <c r="DT18" s="249">
        <v>1429</v>
      </c>
      <c r="DU18" s="249">
        <v>1411</v>
      </c>
      <c r="DV18" s="249">
        <v>134</v>
      </c>
      <c r="DW18" s="249">
        <v>413</v>
      </c>
      <c r="DX18" s="249">
        <v>5513</v>
      </c>
      <c r="DY18" s="249">
        <v>1038</v>
      </c>
      <c r="DZ18" s="249">
        <v>850</v>
      </c>
      <c r="EA18" s="249">
        <v>71700</v>
      </c>
      <c r="EB18" s="249">
        <v>93</v>
      </c>
      <c r="EC18" s="249">
        <v>502</v>
      </c>
      <c r="ED18" s="249">
        <v>0</v>
      </c>
      <c r="EE18" s="249">
        <v>1</v>
      </c>
      <c r="EF18" s="249">
        <v>77</v>
      </c>
      <c r="EG18" s="249">
        <v>136</v>
      </c>
      <c r="EH18" s="249">
        <v>9402</v>
      </c>
      <c r="EI18" s="249">
        <v>80</v>
      </c>
      <c r="EJ18" s="249">
        <v>11</v>
      </c>
      <c r="EK18" s="249">
        <v>46</v>
      </c>
      <c r="EL18" s="249">
        <v>0</v>
      </c>
      <c r="EM18" s="249">
        <v>279</v>
      </c>
      <c r="EN18" s="249">
        <v>14</v>
      </c>
      <c r="EO18" s="249">
        <v>0</v>
      </c>
      <c r="EP18" s="249">
        <v>5</v>
      </c>
      <c r="EQ18" s="249">
        <v>0</v>
      </c>
      <c r="ER18" s="249">
        <v>21</v>
      </c>
      <c r="ES18" s="249">
        <v>10072</v>
      </c>
      <c r="ET18" s="249">
        <v>13</v>
      </c>
      <c r="EU18" s="249">
        <v>0</v>
      </c>
      <c r="EV18" s="249">
        <v>2</v>
      </c>
      <c r="EW18" s="249">
        <v>0</v>
      </c>
      <c r="EX18" s="249">
        <v>0</v>
      </c>
      <c r="EY18" s="249">
        <v>60</v>
      </c>
      <c r="EZ18" s="249">
        <v>0</v>
      </c>
      <c r="FA18" s="249">
        <v>28481</v>
      </c>
      <c r="FB18" s="249">
        <v>16134</v>
      </c>
      <c r="FC18" s="249">
        <v>86</v>
      </c>
      <c r="FD18" s="249">
        <v>1563</v>
      </c>
      <c r="FE18" s="249">
        <v>3384</v>
      </c>
      <c r="FF18" s="249">
        <v>2474</v>
      </c>
      <c r="FG18" s="249">
        <v>69</v>
      </c>
      <c r="FH18" s="249">
        <v>0</v>
      </c>
      <c r="FI18" s="249">
        <v>11</v>
      </c>
      <c r="FJ18" s="249">
        <v>292</v>
      </c>
      <c r="FK18" s="249">
        <v>149503</v>
      </c>
    </row>
    <row r="19" spans="1:167" x14ac:dyDescent="0.25">
      <c r="A19" s="236" t="s">
        <v>40</v>
      </c>
      <c r="B19" s="246">
        <f t="shared" si="4"/>
        <v>35838855</v>
      </c>
      <c r="C19" s="246">
        <f t="shared" si="4"/>
        <v>617913</v>
      </c>
      <c r="D19" s="246">
        <f t="shared" si="4"/>
        <v>1191682</v>
      </c>
      <c r="E19" s="246">
        <f t="shared" si="4"/>
        <v>435265</v>
      </c>
      <c r="F19" s="246">
        <f t="shared" si="4"/>
        <v>449124</v>
      </c>
      <c r="G19" s="246">
        <f t="shared" si="4"/>
        <v>453068</v>
      </c>
      <c r="H19" s="246">
        <f t="shared" si="4"/>
        <v>2982787</v>
      </c>
      <c r="I19" s="246">
        <f t="shared" si="4"/>
        <v>689503</v>
      </c>
      <c r="J19" s="246">
        <f t="shared" si="4"/>
        <v>224387</v>
      </c>
      <c r="K19" s="246">
        <f t="shared" si="4"/>
        <v>1331165</v>
      </c>
      <c r="L19" s="246">
        <f t="shared" si="4"/>
        <v>1466965</v>
      </c>
      <c r="M19" s="246">
        <f t="shared" si="4"/>
        <v>1865945</v>
      </c>
      <c r="N19" s="246">
        <f t="shared" si="4"/>
        <v>661621</v>
      </c>
      <c r="O19" s="246">
        <f t="shared" si="4"/>
        <v>286021</v>
      </c>
      <c r="P19" s="246">
        <f t="shared" si="4"/>
        <v>3413200</v>
      </c>
      <c r="Q19" s="246">
        <f t="shared" si="4"/>
        <v>795434</v>
      </c>
      <c r="R19" s="246">
        <f t="shared" si="5"/>
        <v>1323774</v>
      </c>
      <c r="S19" s="246">
        <f t="shared" si="5"/>
        <v>17010662</v>
      </c>
      <c r="T19" s="246">
        <f t="shared" si="5"/>
        <v>140549</v>
      </c>
      <c r="U19" s="246">
        <f t="shared" si="5"/>
        <v>1117703</v>
      </c>
      <c r="V19" s="246">
        <f t="shared" si="5"/>
        <v>3162778</v>
      </c>
      <c r="W19" s="246">
        <f t="shared" si="5"/>
        <v>367287</v>
      </c>
      <c r="X19" s="246">
        <f t="shared" si="5"/>
        <v>5388828</v>
      </c>
      <c r="Y19" s="246">
        <f t="shared" si="5"/>
        <v>706579</v>
      </c>
      <c r="Z19" s="246">
        <f t="shared" si="5"/>
        <v>1303673</v>
      </c>
      <c r="AA19" s="246">
        <f t="shared" si="5"/>
        <v>181209</v>
      </c>
      <c r="AB19" s="246">
        <f t="shared" si="5"/>
        <v>93070</v>
      </c>
      <c r="AC19" s="246">
        <f t="shared" si="5"/>
        <v>20387</v>
      </c>
      <c r="AD19" s="246">
        <f t="shared" si="5"/>
        <v>331273</v>
      </c>
      <c r="AE19" s="246">
        <f t="shared" si="5"/>
        <v>697764</v>
      </c>
      <c r="AF19" s="246">
        <f t="shared" si="5"/>
        <v>219488</v>
      </c>
      <c r="AG19" s="246">
        <f t="shared" si="5"/>
        <v>138717</v>
      </c>
      <c r="AH19" s="246">
        <f t="shared" si="6"/>
        <v>81800</v>
      </c>
      <c r="AI19" s="246">
        <f t="shared" si="6"/>
        <v>78035</v>
      </c>
      <c r="AJ19" s="246">
        <f t="shared" si="6"/>
        <v>152940</v>
      </c>
      <c r="AK19" s="246">
        <f t="shared" si="6"/>
        <v>12923828</v>
      </c>
      <c r="AL19" s="246">
        <f t="shared" si="6"/>
        <v>312365</v>
      </c>
      <c r="AM19" s="246">
        <f t="shared" si="6"/>
        <v>88144</v>
      </c>
      <c r="AN19" s="246">
        <f t="shared" si="6"/>
        <v>83991</v>
      </c>
      <c r="AO19" s="246">
        <f t="shared" si="6"/>
        <v>618182</v>
      </c>
      <c r="AP19" s="246">
        <f t="shared" si="6"/>
        <v>281966</v>
      </c>
      <c r="AQ19" s="246">
        <f t="shared" si="6"/>
        <v>736478</v>
      </c>
      <c r="AR19" s="246">
        <f t="shared" si="6"/>
        <v>151323</v>
      </c>
      <c r="AS19" s="246">
        <f t="shared" si="6"/>
        <v>2770189</v>
      </c>
      <c r="AT19" s="246">
        <f t="shared" si="6"/>
        <v>3660099</v>
      </c>
      <c r="AU19" s="246">
        <f t="shared" si="6"/>
        <v>385225</v>
      </c>
      <c r="AV19" s="246">
        <f t="shared" si="6"/>
        <v>450306</v>
      </c>
      <c r="AW19" s="246">
        <f t="shared" si="6"/>
        <v>131603</v>
      </c>
      <c r="AX19" s="246">
        <f t="shared" si="7"/>
        <v>1586882</v>
      </c>
      <c r="AY19" s="246">
        <f t="shared" si="7"/>
        <v>37385</v>
      </c>
      <c r="AZ19" s="246">
        <f t="shared" si="7"/>
        <v>6753</v>
      </c>
      <c r="BA19" s="246">
        <f t="shared" si="7"/>
        <v>36634</v>
      </c>
      <c r="BB19" s="246">
        <f t="shared" si="7"/>
        <v>193937</v>
      </c>
      <c r="BC19" s="246">
        <f t="shared" si="7"/>
        <v>60912058</v>
      </c>
      <c r="BD19" s="202"/>
      <c r="BE19" s="236" t="s">
        <v>40</v>
      </c>
      <c r="BF19" s="247">
        <v>21887124</v>
      </c>
      <c r="BG19" s="247">
        <v>562883</v>
      </c>
      <c r="BH19" s="247">
        <v>945879</v>
      </c>
      <c r="BI19" s="247">
        <v>349051</v>
      </c>
      <c r="BJ19" s="247">
        <v>361426</v>
      </c>
      <c r="BK19" s="247">
        <v>398327</v>
      </c>
      <c r="BL19" s="247">
        <v>2257685</v>
      </c>
      <c r="BM19" s="247">
        <v>510108</v>
      </c>
      <c r="BN19" s="247">
        <v>107308</v>
      </c>
      <c r="BO19" s="247">
        <v>925778</v>
      </c>
      <c r="BP19" s="247">
        <v>1077372</v>
      </c>
      <c r="BQ19" s="247">
        <v>1411457</v>
      </c>
      <c r="BR19" s="247">
        <v>603717</v>
      </c>
      <c r="BS19" s="247">
        <v>229156</v>
      </c>
      <c r="BT19" s="247">
        <v>2553862</v>
      </c>
      <c r="BU19" s="247">
        <v>606324</v>
      </c>
      <c r="BV19" s="247">
        <v>1012285</v>
      </c>
      <c r="BW19" s="247">
        <v>7570494</v>
      </c>
      <c r="BX19" s="247">
        <v>120113</v>
      </c>
      <c r="BY19" s="247">
        <v>846782</v>
      </c>
      <c r="BZ19" s="247">
        <v>3162778</v>
      </c>
      <c r="CA19" s="247">
        <v>367061</v>
      </c>
      <c r="CB19" s="247">
        <v>5377768</v>
      </c>
      <c r="CC19" s="247">
        <v>672688</v>
      </c>
      <c r="CD19" s="247">
        <v>396945</v>
      </c>
      <c r="CE19" s="247">
        <v>170738</v>
      </c>
      <c r="CF19" s="247">
        <v>88475</v>
      </c>
      <c r="CG19" s="247">
        <v>15447</v>
      </c>
      <c r="CH19" s="247">
        <v>331273</v>
      </c>
      <c r="CI19" s="247">
        <v>691762</v>
      </c>
      <c r="CJ19" s="247">
        <v>214870</v>
      </c>
      <c r="CK19" s="247">
        <v>138717</v>
      </c>
      <c r="CL19" s="247">
        <v>78698</v>
      </c>
      <c r="CM19" s="247">
        <v>78035</v>
      </c>
      <c r="CN19" s="247">
        <v>151219</v>
      </c>
      <c r="CO19" s="247">
        <v>11936474</v>
      </c>
      <c r="CP19" s="247">
        <v>300816</v>
      </c>
      <c r="CQ19" s="247">
        <v>87862</v>
      </c>
      <c r="CR19" s="247">
        <v>82889</v>
      </c>
      <c r="CS19" s="247">
        <v>618182</v>
      </c>
      <c r="CT19" s="247">
        <v>281966</v>
      </c>
      <c r="CU19" s="247">
        <v>682291</v>
      </c>
      <c r="CV19" s="247">
        <v>150541</v>
      </c>
      <c r="CW19" s="247">
        <v>2407097</v>
      </c>
      <c r="CX19" s="247">
        <v>2065863</v>
      </c>
      <c r="CY19" s="247">
        <v>375400</v>
      </c>
      <c r="CZ19" s="247">
        <v>344000</v>
      </c>
      <c r="DA19" s="247">
        <v>33606</v>
      </c>
      <c r="DB19" s="247">
        <v>867770</v>
      </c>
      <c r="DC19" s="247">
        <v>37296</v>
      </c>
      <c r="DD19" s="247">
        <v>6753</v>
      </c>
      <c r="DE19" s="247">
        <v>35207</v>
      </c>
      <c r="DF19" s="247">
        <v>182323</v>
      </c>
      <c r="DG19" s="247">
        <v>42946343</v>
      </c>
      <c r="DH19" s="247"/>
      <c r="DI19" s="248" t="s">
        <v>40</v>
      </c>
      <c r="DJ19" s="249">
        <v>13951731</v>
      </c>
      <c r="DK19" s="249">
        <v>55030</v>
      </c>
      <c r="DL19" s="249">
        <v>245803</v>
      </c>
      <c r="DM19" s="249">
        <v>86214</v>
      </c>
      <c r="DN19" s="249">
        <v>87698</v>
      </c>
      <c r="DO19" s="249">
        <v>54741</v>
      </c>
      <c r="DP19" s="249">
        <v>725102</v>
      </c>
      <c r="DQ19" s="249">
        <v>179395</v>
      </c>
      <c r="DR19" s="249">
        <v>117079</v>
      </c>
      <c r="DS19" s="249">
        <v>405387</v>
      </c>
      <c r="DT19" s="249">
        <v>389593</v>
      </c>
      <c r="DU19" s="249">
        <v>454488</v>
      </c>
      <c r="DV19" s="249">
        <v>57904</v>
      </c>
      <c r="DW19" s="249">
        <v>56865</v>
      </c>
      <c r="DX19" s="249">
        <v>859338</v>
      </c>
      <c r="DY19" s="249">
        <v>189110</v>
      </c>
      <c r="DZ19" s="249">
        <v>311489</v>
      </c>
      <c r="EA19" s="249">
        <v>9440168</v>
      </c>
      <c r="EB19" s="249">
        <v>20436</v>
      </c>
      <c r="EC19" s="249">
        <v>270921</v>
      </c>
      <c r="ED19" s="249">
        <v>0</v>
      </c>
      <c r="EE19" s="249">
        <v>226</v>
      </c>
      <c r="EF19" s="249">
        <v>11060</v>
      </c>
      <c r="EG19" s="249">
        <v>33891</v>
      </c>
      <c r="EH19" s="249">
        <v>906728</v>
      </c>
      <c r="EI19" s="249">
        <v>10471</v>
      </c>
      <c r="EJ19" s="249">
        <v>4595</v>
      </c>
      <c r="EK19" s="249">
        <v>4940</v>
      </c>
      <c r="EL19" s="249">
        <v>0</v>
      </c>
      <c r="EM19" s="249">
        <v>6002</v>
      </c>
      <c r="EN19" s="249">
        <v>4618</v>
      </c>
      <c r="EO19" s="249">
        <v>0</v>
      </c>
      <c r="EP19" s="249">
        <v>3102</v>
      </c>
      <c r="EQ19" s="249">
        <v>0</v>
      </c>
      <c r="ER19" s="249">
        <v>1721</v>
      </c>
      <c r="ES19" s="249">
        <v>987354</v>
      </c>
      <c r="ET19" s="249">
        <v>11549</v>
      </c>
      <c r="EU19" s="249">
        <v>282</v>
      </c>
      <c r="EV19" s="249">
        <v>1102</v>
      </c>
      <c r="EW19" s="249">
        <v>0</v>
      </c>
      <c r="EX19" s="249">
        <v>0</v>
      </c>
      <c r="EY19" s="249">
        <v>54187</v>
      </c>
      <c r="EZ19" s="249">
        <v>782</v>
      </c>
      <c r="FA19" s="249">
        <v>363092</v>
      </c>
      <c r="FB19" s="249">
        <v>1594236</v>
      </c>
      <c r="FC19" s="249">
        <v>9825</v>
      </c>
      <c r="FD19" s="249">
        <v>106306</v>
      </c>
      <c r="FE19" s="249">
        <v>97997</v>
      </c>
      <c r="FF19" s="249">
        <v>719112</v>
      </c>
      <c r="FG19" s="249">
        <v>89</v>
      </c>
      <c r="FH19" s="249">
        <v>0</v>
      </c>
      <c r="FI19" s="249">
        <v>1427</v>
      </c>
      <c r="FJ19" s="249">
        <v>11614</v>
      </c>
      <c r="FK19" s="249">
        <v>17965715</v>
      </c>
    </row>
    <row r="20" spans="1:167" x14ac:dyDescent="0.25">
      <c r="A20" s="236" t="s">
        <v>39</v>
      </c>
      <c r="B20" s="246">
        <f t="shared" si="4"/>
        <v>2350751</v>
      </c>
      <c r="C20" s="246">
        <f t="shared" si="4"/>
        <v>54608</v>
      </c>
      <c r="D20" s="246">
        <f t="shared" si="4"/>
        <v>26545</v>
      </c>
      <c r="E20" s="246">
        <f t="shared" si="4"/>
        <v>18923</v>
      </c>
      <c r="F20" s="246">
        <f t="shared" si="4"/>
        <v>20838</v>
      </c>
      <c r="G20" s="246">
        <f t="shared" si="4"/>
        <v>73586</v>
      </c>
      <c r="H20" s="246">
        <f t="shared" si="4"/>
        <v>180141</v>
      </c>
      <c r="I20" s="246">
        <f t="shared" si="4"/>
        <v>40131</v>
      </c>
      <c r="J20" s="246">
        <f t="shared" si="4"/>
        <v>21093</v>
      </c>
      <c r="K20" s="246">
        <f t="shared" si="4"/>
        <v>36544</v>
      </c>
      <c r="L20" s="246">
        <f t="shared" si="4"/>
        <v>40549</v>
      </c>
      <c r="M20" s="246">
        <f t="shared" si="4"/>
        <v>84552</v>
      </c>
      <c r="N20" s="246">
        <f t="shared" si="4"/>
        <v>17441</v>
      </c>
      <c r="O20" s="246">
        <f t="shared" si="4"/>
        <v>17265</v>
      </c>
      <c r="P20" s="246">
        <f t="shared" si="4"/>
        <v>182338</v>
      </c>
      <c r="Q20" s="246">
        <f t="shared" si="4"/>
        <v>45089</v>
      </c>
      <c r="R20" s="246">
        <f t="shared" si="5"/>
        <v>120038</v>
      </c>
      <c r="S20" s="246">
        <f t="shared" si="5"/>
        <v>1362863</v>
      </c>
      <c r="T20" s="246">
        <f t="shared" si="5"/>
        <v>6444</v>
      </c>
      <c r="U20" s="246">
        <f t="shared" si="5"/>
        <v>56371</v>
      </c>
      <c r="V20" s="246">
        <f t="shared" si="5"/>
        <v>564580</v>
      </c>
      <c r="W20" s="246">
        <f t="shared" si="5"/>
        <v>82053</v>
      </c>
      <c r="X20" s="246">
        <f t="shared" si="5"/>
        <v>1381635</v>
      </c>
      <c r="Y20" s="246">
        <f t="shared" si="5"/>
        <v>164428</v>
      </c>
      <c r="Z20" s="246">
        <f t="shared" si="5"/>
        <v>175636</v>
      </c>
      <c r="AA20" s="246">
        <f t="shared" si="5"/>
        <v>31562</v>
      </c>
      <c r="AB20" s="246">
        <f t="shared" si="5"/>
        <v>12080</v>
      </c>
      <c r="AC20" s="246">
        <f t="shared" si="5"/>
        <v>1429</v>
      </c>
      <c r="AD20" s="246">
        <f t="shared" si="5"/>
        <v>86837</v>
      </c>
      <c r="AE20" s="246">
        <f t="shared" si="5"/>
        <v>312690</v>
      </c>
      <c r="AF20" s="246">
        <f t="shared" si="5"/>
        <v>46778</v>
      </c>
      <c r="AG20" s="246">
        <f t="shared" si="5"/>
        <v>42483</v>
      </c>
      <c r="AH20" s="246">
        <f t="shared" si="6"/>
        <v>11455</v>
      </c>
      <c r="AI20" s="246">
        <f t="shared" si="6"/>
        <v>6536</v>
      </c>
      <c r="AJ20" s="246">
        <f t="shared" si="6"/>
        <v>26467</v>
      </c>
      <c r="AK20" s="246">
        <f t="shared" si="6"/>
        <v>2946649</v>
      </c>
      <c r="AL20" s="246">
        <f t="shared" si="6"/>
        <v>35619</v>
      </c>
      <c r="AM20" s="246">
        <f t="shared" si="6"/>
        <v>8559</v>
      </c>
      <c r="AN20" s="246">
        <f t="shared" si="6"/>
        <v>5353</v>
      </c>
      <c r="AO20" s="246">
        <f t="shared" si="6"/>
        <v>65008</v>
      </c>
      <c r="AP20" s="246">
        <f t="shared" si="6"/>
        <v>60473</v>
      </c>
      <c r="AQ20" s="246">
        <f t="shared" si="6"/>
        <v>54318</v>
      </c>
      <c r="AR20" s="246">
        <f t="shared" si="6"/>
        <v>1636</v>
      </c>
      <c r="AS20" s="246">
        <f t="shared" si="6"/>
        <v>279959</v>
      </c>
      <c r="AT20" s="246">
        <f t="shared" si="6"/>
        <v>230953</v>
      </c>
      <c r="AU20" s="246">
        <f t="shared" si="6"/>
        <v>25898</v>
      </c>
      <c r="AV20" s="246">
        <f t="shared" si="6"/>
        <v>43509</v>
      </c>
      <c r="AW20" s="246">
        <f t="shared" si="6"/>
        <v>10043</v>
      </c>
      <c r="AX20" s="246">
        <f t="shared" si="7"/>
        <v>17839</v>
      </c>
      <c r="AY20" s="246">
        <f t="shared" si="7"/>
        <v>837</v>
      </c>
      <c r="AZ20" s="246">
        <f t="shared" si="7"/>
        <v>739</v>
      </c>
      <c r="BA20" s="246">
        <f t="shared" si="7"/>
        <v>3659</v>
      </c>
      <c r="BB20" s="246">
        <f t="shared" si="7"/>
        <v>24659</v>
      </c>
      <c r="BC20" s="246">
        <f t="shared" si="7"/>
        <v>6221069</v>
      </c>
      <c r="BD20" s="202"/>
      <c r="BE20" s="236" t="s">
        <v>39</v>
      </c>
      <c r="BF20" s="247">
        <v>873884</v>
      </c>
      <c r="BG20" s="247">
        <v>53728</v>
      </c>
      <c r="BH20" s="247">
        <v>23570</v>
      </c>
      <c r="BI20" s="247">
        <v>17216</v>
      </c>
      <c r="BJ20" s="247">
        <v>18856</v>
      </c>
      <c r="BK20" s="247">
        <v>70830</v>
      </c>
      <c r="BL20" s="247">
        <v>161390</v>
      </c>
      <c r="BM20" s="247">
        <v>35817</v>
      </c>
      <c r="BN20" s="247">
        <v>882</v>
      </c>
      <c r="BO20" s="247">
        <v>26629</v>
      </c>
      <c r="BP20" s="247">
        <v>32121</v>
      </c>
      <c r="BQ20" s="247">
        <v>70873</v>
      </c>
      <c r="BR20" s="247">
        <v>16810</v>
      </c>
      <c r="BS20" s="247">
        <v>15396</v>
      </c>
      <c r="BT20" s="247">
        <v>147130</v>
      </c>
      <c r="BU20" s="247">
        <v>39124</v>
      </c>
      <c r="BV20" s="247">
        <v>100799</v>
      </c>
      <c r="BW20" s="247">
        <v>36117</v>
      </c>
      <c r="BX20" s="247">
        <v>6242</v>
      </c>
      <c r="BY20" s="247">
        <v>54082</v>
      </c>
      <c r="BZ20" s="247">
        <v>564580</v>
      </c>
      <c r="CA20" s="247">
        <v>82047</v>
      </c>
      <c r="CB20" s="247">
        <v>1380620</v>
      </c>
      <c r="CC20" s="247">
        <v>158254</v>
      </c>
      <c r="CD20" s="247">
        <v>86595</v>
      </c>
      <c r="CE20" s="247">
        <v>31080</v>
      </c>
      <c r="CF20" s="247">
        <v>11363</v>
      </c>
      <c r="CG20" s="247">
        <v>1018</v>
      </c>
      <c r="CH20" s="247">
        <v>86837</v>
      </c>
      <c r="CI20" s="247">
        <v>311686</v>
      </c>
      <c r="CJ20" s="247">
        <v>46568</v>
      </c>
      <c r="CK20" s="247">
        <v>42483</v>
      </c>
      <c r="CL20" s="247">
        <v>11059</v>
      </c>
      <c r="CM20" s="247">
        <v>6536</v>
      </c>
      <c r="CN20" s="247">
        <v>26426</v>
      </c>
      <c r="CO20" s="247">
        <v>2847152</v>
      </c>
      <c r="CP20" s="247">
        <v>35619</v>
      </c>
      <c r="CQ20" s="247">
        <v>8558</v>
      </c>
      <c r="CR20" s="247">
        <v>5276</v>
      </c>
      <c r="CS20" s="247">
        <v>65008</v>
      </c>
      <c r="CT20" s="247">
        <v>60473</v>
      </c>
      <c r="CU20" s="247">
        <v>54314</v>
      </c>
      <c r="CV20" s="247">
        <v>1636</v>
      </c>
      <c r="CW20" s="247">
        <v>257703</v>
      </c>
      <c r="CX20" s="247">
        <v>149616</v>
      </c>
      <c r="CY20" s="247">
        <v>25893</v>
      </c>
      <c r="CZ20" s="247">
        <v>28607</v>
      </c>
      <c r="DA20" s="247">
        <v>2089</v>
      </c>
      <c r="DB20" s="247">
        <v>17839</v>
      </c>
      <c r="DC20" s="247">
        <v>837</v>
      </c>
      <c r="DD20" s="247">
        <v>739</v>
      </c>
      <c r="DE20" s="247">
        <v>3592</v>
      </c>
      <c r="DF20" s="247">
        <v>23008</v>
      </c>
      <c r="DG20" s="247">
        <v>4515571</v>
      </c>
      <c r="DH20" s="247"/>
      <c r="DI20" s="248" t="s">
        <v>39</v>
      </c>
      <c r="DJ20" s="249">
        <v>1476867</v>
      </c>
      <c r="DK20" s="249">
        <v>880</v>
      </c>
      <c r="DL20" s="249">
        <v>2975</v>
      </c>
      <c r="DM20" s="249">
        <v>1707</v>
      </c>
      <c r="DN20" s="249">
        <v>1982</v>
      </c>
      <c r="DO20" s="249">
        <v>2756</v>
      </c>
      <c r="DP20" s="249">
        <v>18751</v>
      </c>
      <c r="DQ20" s="249">
        <v>4314</v>
      </c>
      <c r="DR20" s="249">
        <v>20211</v>
      </c>
      <c r="DS20" s="249">
        <v>9915</v>
      </c>
      <c r="DT20" s="249">
        <v>8428</v>
      </c>
      <c r="DU20" s="249">
        <v>13679</v>
      </c>
      <c r="DV20" s="249">
        <v>631</v>
      </c>
      <c r="DW20" s="249">
        <v>1869</v>
      </c>
      <c r="DX20" s="249">
        <v>35208</v>
      </c>
      <c r="DY20" s="249">
        <v>5965</v>
      </c>
      <c r="DZ20" s="249">
        <v>19239</v>
      </c>
      <c r="EA20" s="249">
        <v>1326746</v>
      </c>
      <c r="EB20" s="249">
        <v>202</v>
      </c>
      <c r="EC20" s="249">
        <v>2289</v>
      </c>
      <c r="ED20" s="249">
        <v>0</v>
      </c>
      <c r="EE20" s="249">
        <v>6</v>
      </c>
      <c r="EF20" s="249">
        <v>1015</v>
      </c>
      <c r="EG20" s="249">
        <v>6174</v>
      </c>
      <c r="EH20" s="249">
        <v>89041</v>
      </c>
      <c r="EI20" s="249">
        <v>482</v>
      </c>
      <c r="EJ20" s="249">
        <v>717</v>
      </c>
      <c r="EK20" s="249">
        <v>411</v>
      </c>
      <c r="EL20" s="249">
        <v>0</v>
      </c>
      <c r="EM20" s="249">
        <v>1004</v>
      </c>
      <c r="EN20" s="249">
        <v>210</v>
      </c>
      <c r="EO20" s="249">
        <v>0</v>
      </c>
      <c r="EP20" s="249">
        <v>396</v>
      </c>
      <c r="EQ20" s="249">
        <v>0</v>
      </c>
      <c r="ER20" s="249">
        <v>41</v>
      </c>
      <c r="ES20" s="249">
        <v>99497</v>
      </c>
      <c r="ET20" s="249">
        <v>0</v>
      </c>
      <c r="EU20" s="249">
        <v>1</v>
      </c>
      <c r="EV20" s="249">
        <v>77</v>
      </c>
      <c r="EW20" s="249">
        <v>0</v>
      </c>
      <c r="EX20" s="249">
        <v>0</v>
      </c>
      <c r="EY20" s="249">
        <v>4</v>
      </c>
      <c r="EZ20" s="249">
        <v>0</v>
      </c>
      <c r="FA20" s="249">
        <v>22256</v>
      </c>
      <c r="FB20" s="249">
        <v>81337</v>
      </c>
      <c r="FC20" s="249">
        <v>5</v>
      </c>
      <c r="FD20" s="249">
        <v>14902</v>
      </c>
      <c r="FE20" s="249">
        <v>7954</v>
      </c>
      <c r="FF20" s="249">
        <v>0</v>
      </c>
      <c r="FG20" s="249">
        <v>0</v>
      </c>
      <c r="FH20" s="249">
        <v>0</v>
      </c>
      <c r="FI20" s="249">
        <v>67</v>
      </c>
      <c r="FJ20" s="249">
        <v>1651</v>
      </c>
      <c r="FK20" s="249">
        <v>1705498</v>
      </c>
    </row>
    <row r="21" spans="1:167" x14ac:dyDescent="0.25">
      <c r="A21" s="236" t="s">
        <v>38</v>
      </c>
      <c r="B21" s="246">
        <f t="shared" si="4"/>
        <v>272893</v>
      </c>
      <c r="C21" s="246">
        <f t="shared" si="4"/>
        <v>30636</v>
      </c>
      <c r="D21" s="246">
        <f t="shared" si="4"/>
        <v>1353</v>
      </c>
      <c r="E21" s="246">
        <f t="shared" si="4"/>
        <v>1946</v>
      </c>
      <c r="F21" s="246">
        <f t="shared" si="4"/>
        <v>463</v>
      </c>
      <c r="G21" s="246">
        <f t="shared" si="4"/>
        <v>2905</v>
      </c>
      <c r="H21" s="246">
        <f t="shared" si="4"/>
        <v>7292</v>
      </c>
      <c r="I21" s="246">
        <f t="shared" si="4"/>
        <v>1876</v>
      </c>
      <c r="J21" s="246">
        <f t="shared" si="4"/>
        <v>2065</v>
      </c>
      <c r="K21" s="246">
        <f t="shared" si="4"/>
        <v>2903</v>
      </c>
      <c r="L21" s="246">
        <f t="shared" si="4"/>
        <v>2496</v>
      </c>
      <c r="M21" s="246">
        <f t="shared" si="4"/>
        <v>1947</v>
      </c>
      <c r="N21" s="246">
        <f t="shared" si="4"/>
        <v>851</v>
      </c>
      <c r="O21" s="246">
        <f t="shared" si="4"/>
        <v>535</v>
      </c>
      <c r="P21" s="246">
        <f t="shared" si="4"/>
        <v>10784</v>
      </c>
      <c r="Q21" s="246">
        <f t="shared" si="4"/>
        <v>8166</v>
      </c>
      <c r="R21" s="246">
        <f t="shared" si="5"/>
        <v>2729</v>
      </c>
      <c r="S21" s="246">
        <f t="shared" si="5"/>
        <v>218001</v>
      </c>
      <c r="T21" s="246">
        <f t="shared" si="5"/>
        <v>310</v>
      </c>
      <c r="U21" s="246">
        <f t="shared" si="5"/>
        <v>6271</v>
      </c>
      <c r="V21" s="246">
        <f t="shared" si="5"/>
        <v>16949</v>
      </c>
      <c r="W21" s="246">
        <f t="shared" si="5"/>
        <v>1233</v>
      </c>
      <c r="X21" s="246">
        <f t="shared" si="5"/>
        <v>75760</v>
      </c>
      <c r="Y21" s="246">
        <f t="shared" si="5"/>
        <v>7766</v>
      </c>
      <c r="Z21" s="246">
        <f t="shared" si="5"/>
        <v>64752</v>
      </c>
      <c r="AA21" s="246">
        <f t="shared" si="5"/>
        <v>915</v>
      </c>
      <c r="AB21" s="246">
        <f t="shared" si="5"/>
        <v>373</v>
      </c>
      <c r="AC21" s="246">
        <f t="shared" si="5"/>
        <v>184</v>
      </c>
      <c r="AD21" s="246">
        <f t="shared" si="5"/>
        <v>8162</v>
      </c>
      <c r="AE21" s="246">
        <f t="shared" si="5"/>
        <v>65276</v>
      </c>
      <c r="AF21" s="246">
        <f t="shared" si="5"/>
        <v>3782</v>
      </c>
      <c r="AG21" s="246">
        <f t="shared" si="5"/>
        <v>2814</v>
      </c>
      <c r="AH21" s="246">
        <f t="shared" si="6"/>
        <v>631</v>
      </c>
      <c r="AI21" s="246">
        <f t="shared" si="6"/>
        <v>687</v>
      </c>
      <c r="AJ21" s="246">
        <f t="shared" si="6"/>
        <v>2848</v>
      </c>
      <c r="AK21" s="246">
        <f t="shared" si="6"/>
        <v>252132</v>
      </c>
      <c r="AL21" s="246">
        <f t="shared" si="6"/>
        <v>17089</v>
      </c>
      <c r="AM21" s="246">
        <f t="shared" si="6"/>
        <v>612</v>
      </c>
      <c r="AN21" s="246">
        <f t="shared" si="6"/>
        <v>1194</v>
      </c>
      <c r="AO21" s="246">
        <f t="shared" si="6"/>
        <v>527994</v>
      </c>
      <c r="AP21" s="246">
        <f t="shared" si="6"/>
        <v>108891</v>
      </c>
      <c r="AQ21" s="246">
        <f t="shared" si="6"/>
        <v>20474</v>
      </c>
      <c r="AR21" s="246">
        <f t="shared" si="6"/>
        <v>7</v>
      </c>
      <c r="AS21" s="246">
        <f t="shared" si="6"/>
        <v>1247826</v>
      </c>
      <c r="AT21" s="246">
        <f t="shared" si="6"/>
        <v>199619</v>
      </c>
      <c r="AU21" s="246">
        <f t="shared" si="6"/>
        <v>7958</v>
      </c>
      <c r="AV21" s="246">
        <f t="shared" si="6"/>
        <v>261075</v>
      </c>
      <c r="AW21" s="246">
        <f t="shared" si="6"/>
        <v>17188</v>
      </c>
      <c r="AX21" s="246">
        <f t="shared" si="7"/>
        <v>79393</v>
      </c>
      <c r="AY21" s="246">
        <f t="shared" si="7"/>
        <v>5732</v>
      </c>
      <c r="AZ21" s="246">
        <f t="shared" si="7"/>
        <v>7240</v>
      </c>
      <c r="BA21" s="246">
        <f t="shared" si="7"/>
        <v>603</v>
      </c>
      <c r="BB21" s="246">
        <f t="shared" si="7"/>
        <v>19009</v>
      </c>
      <c r="BC21" s="246">
        <f t="shared" si="7"/>
        <v>3077565</v>
      </c>
      <c r="BD21" s="202"/>
      <c r="BE21" s="236" t="s">
        <v>38</v>
      </c>
      <c r="BF21" s="247">
        <v>38890</v>
      </c>
      <c r="BG21" s="247">
        <v>30484</v>
      </c>
      <c r="BH21" s="247">
        <v>1021</v>
      </c>
      <c r="BI21" s="247">
        <v>1899</v>
      </c>
      <c r="BJ21" s="247">
        <v>263</v>
      </c>
      <c r="BK21" s="247">
        <v>2872</v>
      </c>
      <c r="BL21" s="247">
        <v>6277</v>
      </c>
      <c r="BM21" s="247">
        <v>1772</v>
      </c>
      <c r="BN21" s="247">
        <v>37</v>
      </c>
      <c r="BO21" s="247">
        <v>832</v>
      </c>
      <c r="BP21" s="247">
        <v>1141</v>
      </c>
      <c r="BQ21" s="247">
        <v>1546</v>
      </c>
      <c r="BR21" s="247">
        <v>767</v>
      </c>
      <c r="BS21" s="247">
        <v>370</v>
      </c>
      <c r="BT21" s="247">
        <v>6844</v>
      </c>
      <c r="BU21" s="247">
        <v>6051</v>
      </c>
      <c r="BV21" s="247">
        <v>1746</v>
      </c>
      <c r="BW21" s="247">
        <v>3214</v>
      </c>
      <c r="BX21" s="247">
        <v>155</v>
      </c>
      <c r="BY21" s="247">
        <v>2083</v>
      </c>
      <c r="BZ21" s="247">
        <v>16949</v>
      </c>
      <c r="CA21" s="247">
        <v>1228</v>
      </c>
      <c r="CB21" s="247">
        <v>75542</v>
      </c>
      <c r="CC21" s="247">
        <v>7554</v>
      </c>
      <c r="CD21" s="247">
        <v>10476</v>
      </c>
      <c r="CE21" s="247">
        <v>904</v>
      </c>
      <c r="CF21" s="247">
        <v>362</v>
      </c>
      <c r="CG21" s="247">
        <v>41</v>
      </c>
      <c r="CH21" s="247">
        <v>8162</v>
      </c>
      <c r="CI21" s="247">
        <v>64886</v>
      </c>
      <c r="CJ21" s="247">
        <v>3749</v>
      </c>
      <c r="CK21" s="247">
        <v>2814</v>
      </c>
      <c r="CL21" s="247">
        <v>628</v>
      </c>
      <c r="CM21" s="247">
        <v>687</v>
      </c>
      <c r="CN21" s="247">
        <v>2848</v>
      </c>
      <c r="CO21" s="247">
        <v>196830</v>
      </c>
      <c r="CP21" s="247">
        <v>17089</v>
      </c>
      <c r="CQ21" s="247">
        <v>612</v>
      </c>
      <c r="CR21" s="247">
        <v>1194</v>
      </c>
      <c r="CS21" s="247">
        <v>527994</v>
      </c>
      <c r="CT21" s="247">
        <v>108891</v>
      </c>
      <c r="CU21" s="247">
        <v>19180</v>
      </c>
      <c r="CV21" s="247">
        <v>7</v>
      </c>
      <c r="CW21" s="247">
        <v>1063697</v>
      </c>
      <c r="CX21" s="247">
        <v>134427</v>
      </c>
      <c r="CY21" s="247">
        <v>7950</v>
      </c>
      <c r="CZ21" s="247">
        <v>156636</v>
      </c>
      <c r="DA21" s="247">
        <v>2382</v>
      </c>
      <c r="DB21" s="247">
        <v>61804</v>
      </c>
      <c r="DC21" s="247">
        <v>2893</v>
      </c>
      <c r="DD21" s="247">
        <v>7240</v>
      </c>
      <c r="DE21" s="247">
        <v>536</v>
      </c>
      <c r="DF21" s="247">
        <v>18783</v>
      </c>
      <c r="DG21" s="247">
        <v>2397519</v>
      </c>
      <c r="DH21" s="247"/>
      <c r="DI21" s="248" t="s">
        <v>38</v>
      </c>
      <c r="DJ21" s="249">
        <v>234003</v>
      </c>
      <c r="DK21" s="249">
        <v>152</v>
      </c>
      <c r="DL21" s="249">
        <v>332</v>
      </c>
      <c r="DM21" s="249">
        <v>47</v>
      </c>
      <c r="DN21" s="249">
        <v>200</v>
      </c>
      <c r="DO21" s="249">
        <v>33</v>
      </c>
      <c r="DP21" s="249">
        <v>1015</v>
      </c>
      <c r="DQ21" s="249">
        <v>104</v>
      </c>
      <c r="DR21" s="249">
        <v>2028</v>
      </c>
      <c r="DS21" s="249">
        <v>2071</v>
      </c>
      <c r="DT21" s="249">
        <v>1355</v>
      </c>
      <c r="DU21" s="249">
        <v>401</v>
      </c>
      <c r="DV21" s="249">
        <v>84</v>
      </c>
      <c r="DW21" s="249">
        <v>165</v>
      </c>
      <c r="DX21" s="249">
        <v>3940</v>
      </c>
      <c r="DY21" s="249">
        <v>2115</v>
      </c>
      <c r="DZ21" s="249">
        <v>983</v>
      </c>
      <c r="EA21" s="249">
        <v>214787</v>
      </c>
      <c r="EB21" s="249">
        <v>155</v>
      </c>
      <c r="EC21" s="249">
        <v>4188</v>
      </c>
      <c r="ED21" s="249">
        <v>0</v>
      </c>
      <c r="EE21" s="249">
        <v>5</v>
      </c>
      <c r="EF21" s="249">
        <v>218</v>
      </c>
      <c r="EG21" s="249">
        <v>212</v>
      </c>
      <c r="EH21" s="249">
        <v>54276</v>
      </c>
      <c r="EI21" s="249">
        <v>11</v>
      </c>
      <c r="EJ21" s="249">
        <v>11</v>
      </c>
      <c r="EK21" s="249">
        <v>143</v>
      </c>
      <c r="EL21" s="249">
        <v>0</v>
      </c>
      <c r="EM21" s="249">
        <v>390</v>
      </c>
      <c r="EN21" s="249">
        <v>33</v>
      </c>
      <c r="EO21" s="249">
        <v>0</v>
      </c>
      <c r="EP21" s="249">
        <v>3</v>
      </c>
      <c r="EQ21" s="249">
        <v>0</v>
      </c>
      <c r="ER21" s="249">
        <v>0</v>
      </c>
      <c r="ES21" s="249">
        <v>55302</v>
      </c>
      <c r="ET21" s="249">
        <v>0</v>
      </c>
      <c r="EU21" s="249">
        <v>0</v>
      </c>
      <c r="EV21" s="249">
        <v>0</v>
      </c>
      <c r="EW21" s="249">
        <v>0</v>
      </c>
      <c r="EX21" s="249">
        <v>0</v>
      </c>
      <c r="EY21" s="249">
        <v>1294</v>
      </c>
      <c r="EZ21" s="249">
        <v>0</v>
      </c>
      <c r="FA21" s="249">
        <v>184129</v>
      </c>
      <c r="FB21" s="249">
        <v>65192</v>
      </c>
      <c r="FC21" s="249">
        <v>8</v>
      </c>
      <c r="FD21" s="249">
        <v>104439</v>
      </c>
      <c r="FE21" s="249">
        <v>14806</v>
      </c>
      <c r="FF21" s="249">
        <v>17589</v>
      </c>
      <c r="FG21" s="249">
        <v>2839</v>
      </c>
      <c r="FH21" s="249">
        <v>0</v>
      </c>
      <c r="FI21" s="249">
        <v>67</v>
      </c>
      <c r="FJ21" s="249">
        <v>226</v>
      </c>
      <c r="FK21" s="249">
        <v>680046</v>
      </c>
    </row>
    <row r="22" spans="1:167" x14ac:dyDescent="0.25">
      <c r="A22" s="236" t="s">
        <v>37</v>
      </c>
      <c r="B22" s="246">
        <f t="shared" si="4"/>
        <v>426217</v>
      </c>
      <c r="C22" s="246">
        <f t="shared" si="4"/>
        <v>5217</v>
      </c>
      <c r="D22" s="246">
        <f t="shared" si="4"/>
        <v>12328</v>
      </c>
      <c r="E22" s="246">
        <f t="shared" si="4"/>
        <v>5942</v>
      </c>
      <c r="F22" s="246">
        <f t="shared" si="4"/>
        <v>6632</v>
      </c>
      <c r="G22" s="246">
        <f t="shared" si="4"/>
        <v>6037</v>
      </c>
      <c r="H22" s="246">
        <f t="shared" si="4"/>
        <v>47076</v>
      </c>
      <c r="I22" s="246">
        <f t="shared" si="4"/>
        <v>9609</v>
      </c>
      <c r="J22" s="246">
        <f t="shared" si="4"/>
        <v>2942</v>
      </c>
      <c r="K22" s="246">
        <f t="shared" si="4"/>
        <v>23700</v>
      </c>
      <c r="L22" s="246">
        <f t="shared" si="4"/>
        <v>17334</v>
      </c>
      <c r="M22" s="246">
        <f t="shared" si="4"/>
        <v>32140</v>
      </c>
      <c r="N22" s="246">
        <f t="shared" si="4"/>
        <v>3965</v>
      </c>
      <c r="O22" s="246">
        <f t="shared" si="4"/>
        <v>4059</v>
      </c>
      <c r="P22" s="246">
        <f t="shared" si="4"/>
        <v>65293</v>
      </c>
      <c r="Q22" s="246">
        <f t="shared" si="4"/>
        <v>16236</v>
      </c>
      <c r="R22" s="246">
        <f t="shared" si="5"/>
        <v>41015</v>
      </c>
      <c r="S22" s="246">
        <f t="shared" si="5"/>
        <v>117615</v>
      </c>
      <c r="T22" s="246">
        <f t="shared" si="5"/>
        <v>1953</v>
      </c>
      <c r="U22" s="246">
        <f t="shared" si="5"/>
        <v>12341</v>
      </c>
      <c r="V22" s="246">
        <f t="shared" si="5"/>
        <v>56410</v>
      </c>
      <c r="W22" s="246">
        <f t="shared" si="5"/>
        <v>6759</v>
      </c>
      <c r="X22" s="246">
        <f t="shared" si="5"/>
        <v>118098</v>
      </c>
      <c r="Y22" s="246">
        <f t="shared" si="5"/>
        <v>14829</v>
      </c>
      <c r="Z22" s="246">
        <f t="shared" si="5"/>
        <v>50478</v>
      </c>
      <c r="AA22" s="246">
        <f t="shared" si="5"/>
        <v>4714</v>
      </c>
      <c r="AB22" s="246">
        <f t="shared" si="5"/>
        <v>2719</v>
      </c>
      <c r="AC22" s="246">
        <f t="shared" si="5"/>
        <v>637</v>
      </c>
      <c r="AD22" s="246">
        <f t="shared" si="5"/>
        <v>7081</v>
      </c>
      <c r="AE22" s="246">
        <f t="shared" si="5"/>
        <v>19190</v>
      </c>
      <c r="AF22" s="246">
        <f t="shared" si="5"/>
        <v>5117</v>
      </c>
      <c r="AG22" s="246">
        <f t="shared" si="5"/>
        <v>3557</v>
      </c>
      <c r="AH22" s="246">
        <f t="shared" si="6"/>
        <v>100</v>
      </c>
      <c r="AI22" s="246">
        <f t="shared" si="6"/>
        <v>374</v>
      </c>
      <c r="AJ22" s="246">
        <f t="shared" si="6"/>
        <v>3056</v>
      </c>
      <c r="AK22" s="246">
        <f t="shared" si="6"/>
        <v>293119</v>
      </c>
      <c r="AL22" s="246">
        <f t="shared" si="6"/>
        <v>8135</v>
      </c>
      <c r="AM22" s="246">
        <f t="shared" si="6"/>
        <v>2527</v>
      </c>
      <c r="AN22" s="246">
        <f t="shared" si="6"/>
        <v>1324</v>
      </c>
      <c r="AO22" s="246">
        <f t="shared" si="6"/>
        <v>11367</v>
      </c>
      <c r="AP22" s="246">
        <f t="shared" si="6"/>
        <v>4728</v>
      </c>
      <c r="AQ22" s="246">
        <f t="shared" si="6"/>
        <v>2899</v>
      </c>
      <c r="AR22" s="246">
        <f t="shared" si="6"/>
        <v>1722</v>
      </c>
      <c r="AS22" s="246">
        <f t="shared" si="6"/>
        <v>31945</v>
      </c>
      <c r="AT22" s="246">
        <f t="shared" si="6"/>
        <v>26984</v>
      </c>
      <c r="AU22" s="246">
        <f t="shared" si="6"/>
        <v>4322</v>
      </c>
      <c r="AV22" s="246">
        <f t="shared" si="6"/>
        <v>2564</v>
      </c>
      <c r="AW22" s="246">
        <f t="shared" si="6"/>
        <v>613</v>
      </c>
      <c r="AX22" s="246">
        <f t="shared" si="7"/>
        <v>2890</v>
      </c>
      <c r="AY22" s="246">
        <f t="shared" si="7"/>
        <v>104</v>
      </c>
      <c r="AZ22" s="246">
        <f t="shared" si="7"/>
        <v>119</v>
      </c>
      <c r="BA22" s="246">
        <f t="shared" si="7"/>
        <v>215</v>
      </c>
      <c r="BB22" s="246">
        <f t="shared" si="7"/>
        <v>2317</v>
      </c>
      <c r="BC22" s="246">
        <f t="shared" si="7"/>
        <v>829328</v>
      </c>
      <c r="BD22" s="202"/>
      <c r="BE22" s="236" t="s">
        <v>37</v>
      </c>
      <c r="BF22" s="247">
        <v>144014</v>
      </c>
      <c r="BG22" s="247">
        <v>5217</v>
      </c>
      <c r="BH22" s="247">
        <v>7927</v>
      </c>
      <c r="BI22" s="247">
        <v>2893</v>
      </c>
      <c r="BJ22" s="247">
        <v>3598</v>
      </c>
      <c r="BK22" s="247">
        <v>3194</v>
      </c>
      <c r="BL22" s="247">
        <v>23300</v>
      </c>
      <c r="BM22" s="247">
        <v>5061</v>
      </c>
      <c r="BN22" s="247">
        <v>990</v>
      </c>
      <c r="BO22" s="247">
        <v>6163</v>
      </c>
      <c r="BP22" s="247">
        <v>7887</v>
      </c>
      <c r="BQ22" s="247">
        <v>12001</v>
      </c>
      <c r="BR22" s="247">
        <v>2597</v>
      </c>
      <c r="BS22" s="247">
        <v>2114</v>
      </c>
      <c r="BT22" s="247">
        <v>31651</v>
      </c>
      <c r="BU22" s="247">
        <v>4962</v>
      </c>
      <c r="BV22" s="247">
        <v>15618</v>
      </c>
      <c r="BW22" s="247">
        <v>5108</v>
      </c>
      <c r="BX22" s="247">
        <v>1097</v>
      </c>
      <c r="BY22" s="247">
        <v>7853</v>
      </c>
      <c r="BZ22" s="247">
        <v>56410</v>
      </c>
      <c r="CA22" s="247">
        <v>6757</v>
      </c>
      <c r="CB22" s="247">
        <v>117888</v>
      </c>
      <c r="CC22" s="247">
        <v>14683</v>
      </c>
      <c r="CD22" s="247">
        <v>5318</v>
      </c>
      <c r="CE22" s="247">
        <v>4249</v>
      </c>
      <c r="CF22" s="247">
        <v>2719</v>
      </c>
      <c r="CG22" s="247">
        <v>143</v>
      </c>
      <c r="CH22" s="247">
        <v>7081</v>
      </c>
      <c r="CI22" s="247">
        <v>19190</v>
      </c>
      <c r="CJ22" s="247">
        <v>4677</v>
      </c>
      <c r="CK22" s="247">
        <v>3557</v>
      </c>
      <c r="CL22" s="247">
        <v>100</v>
      </c>
      <c r="CM22" s="247">
        <v>374</v>
      </c>
      <c r="CN22" s="247">
        <v>3056</v>
      </c>
      <c r="CO22" s="247">
        <v>246202</v>
      </c>
      <c r="CP22" s="247">
        <v>8135</v>
      </c>
      <c r="CQ22" s="247">
        <v>2527</v>
      </c>
      <c r="CR22" s="247">
        <v>1287</v>
      </c>
      <c r="CS22" s="247">
        <v>11367</v>
      </c>
      <c r="CT22" s="247">
        <v>4728</v>
      </c>
      <c r="CU22" s="247">
        <v>2899</v>
      </c>
      <c r="CV22" s="247">
        <v>1722</v>
      </c>
      <c r="CW22" s="247">
        <v>31244</v>
      </c>
      <c r="CX22" s="247">
        <v>21511</v>
      </c>
      <c r="CY22" s="247">
        <v>4322</v>
      </c>
      <c r="CZ22" s="247">
        <v>2564</v>
      </c>
      <c r="DA22" s="247">
        <v>613</v>
      </c>
      <c r="DB22" s="247">
        <v>2890</v>
      </c>
      <c r="DC22" s="247">
        <v>104</v>
      </c>
      <c r="DD22" s="247">
        <v>119</v>
      </c>
      <c r="DE22" s="247">
        <v>215</v>
      </c>
      <c r="DF22" s="247">
        <v>2283</v>
      </c>
      <c r="DG22" s="247">
        <v>493963</v>
      </c>
      <c r="DH22" s="247"/>
      <c r="DI22" s="248" t="s">
        <v>37</v>
      </c>
      <c r="DJ22" s="249">
        <v>282203</v>
      </c>
      <c r="DK22" s="249">
        <v>0</v>
      </c>
      <c r="DL22" s="249">
        <v>4401</v>
      </c>
      <c r="DM22" s="249">
        <v>3049</v>
      </c>
      <c r="DN22" s="249">
        <v>3034</v>
      </c>
      <c r="DO22" s="249">
        <v>2843</v>
      </c>
      <c r="DP22" s="249">
        <v>23776</v>
      </c>
      <c r="DQ22" s="249">
        <v>4548</v>
      </c>
      <c r="DR22" s="249">
        <v>1952</v>
      </c>
      <c r="DS22" s="249">
        <v>17537</v>
      </c>
      <c r="DT22" s="249">
        <v>9447</v>
      </c>
      <c r="DU22" s="249">
        <v>20139</v>
      </c>
      <c r="DV22" s="249">
        <v>1368</v>
      </c>
      <c r="DW22" s="249">
        <v>1945</v>
      </c>
      <c r="DX22" s="249">
        <v>33642</v>
      </c>
      <c r="DY22" s="249">
        <v>11274</v>
      </c>
      <c r="DZ22" s="249">
        <v>25397</v>
      </c>
      <c r="EA22" s="249">
        <v>112507</v>
      </c>
      <c r="EB22" s="249">
        <v>856</v>
      </c>
      <c r="EC22" s="249">
        <v>4488</v>
      </c>
      <c r="ED22" s="249">
        <v>0</v>
      </c>
      <c r="EE22" s="249">
        <v>2</v>
      </c>
      <c r="EF22" s="249">
        <v>210</v>
      </c>
      <c r="EG22" s="249">
        <v>146</v>
      </c>
      <c r="EH22" s="249">
        <v>45160</v>
      </c>
      <c r="EI22" s="249">
        <v>465</v>
      </c>
      <c r="EJ22" s="249">
        <v>0</v>
      </c>
      <c r="EK22" s="249">
        <v>494</v>
      </c>
      <c r="EL22" s="249">
        <v>0</v>
      </c>
      <c r="EM22" s="249">
        <v>0</v>
      </c>
      <c r="EN22" s="249">
        <v>440</v>
      </c>
      <c r="EO22" s="249">
        <v>0</v>
      </c>
      <c r="EP22" s="249">
        <v>0</v>
      </c>
      <c r="EQ22" s="249">
        <v>0</v>
      </c>
      <c r="ER22" s="249">
        <v>0</v>
      </c>
      <c r="ES22" s="249">
        <v>46917</v>
      </c>
      <c r="ET22" s="249">
        <v>0</v>
      </c>
      <c r="EU22" s="249">
        <v>0</v>
      </c>
      <c r="EV22" s="249">
        <v>37</v>
      </c>
      <c r="EW22" s="249">
        <v>0</v>
      </c>
      <c r="EX22" s="249">
        <v>0</v>
      </c>
      <c r="EY22" s="249">
        <v>0</v>
      </c>
      <c r="EZ22" s="249">
        <v>0</v>
      </c>
      <c r="FA22" s="249">
        <v>701</v>
      </c>
      <c r="FB22" s="249">
        <v>5473</v>
      </c>
      <c r="FC22" s="249">
        <v>0</v>
      </c>
      <c r="FD22" s="249">
        <v>0</v>
      </c>
      <c r="FE22" s="249">
        <v>0</v>
      </c>
      <c r="FF22" s="249">
        <v>0</v>
      </c>
      <c r="FG22" s="249">
        <v>0</v>
      </c>
      <c r="FH22" s="249">
        <v>0</v>
      </c>
      <c r="FI22" s="249">
        <v>0</v>
      </c>
      <c r="FJ22" s="249">
        <v>34</v>
      </c>
      <c r="FK22" s="249">
        <v>335365</v>
      </c>
    </row>
    <row r="23" spans="1:167" x14ac:dyDescent="0.25">
      <c r="A23" s="236" t="s">
        <v>36</v>
      </c>
      <c r="B23" s="246">
        <f t="shared" si="4"/>
        <v>971314</v>
      </c>
      <c r="C23" s="246">
        <f t="shared" si="4"/>
        <v>22183</v>
      </c>
      <c r="D23" s="246">
        <f t="shared" si="4"/>
        <v>36910</v>
      </c>
      <c r="E23" s="246">
        <f t="shared" si="4"/>
        <v>10064</v>
      </c>
      <c r="F23" s="246">
        <f t="shared" si="4"/>
        <v>8011</v>
      </c>
      <c r="G23" s="246">
        <f t="shared" si="4"/>
        <v>13420</v>
      </c>
      <c r="H23" s="246">
        <f t="shared" si="4"/>
        <v>92867</v>
      </c>
      <c r="I23" s="246">
        <f t="shared" si="4"/>
        <v>22431</v>
      </c>
      <c r="J23" s="246">
        <f t="shared" si="4"/>
        <v>2563</v>
      </c>
      <c r="K23" s="246">
        <f t="shared" si="4"/>
        <v>34334</v>
      </c>
      <c r="L23" s="246">
        <f t="shared" si="4"/>
        <v>42865</v>
      </c>
      <c r="M23" s="246">
        <f t="shared" si="4"/>
        <v>50042</v>
      </c>
      <c r="N23" s="246">
        <f t="shared" si="4"/>
        <v>4054</v>
      </c>
      <c r="O23" s="246">
        <f t="shared" si="4"/>
        <v>11087</v>
      </c>
      <c r="P23" s="246">
        <f t="shared" si="4"/>
        <v>133001</v>
      </c>
      <c r="Q23" s="246">
        <f t="shared" si="4"/>
        <v>28399</v>
      </c>
      <c r="R23" s="246">
        <f t="shared" si="5"/>
        <v>42800</v>
      </c>
      <c r="S23" s="246">
        <f t="shared" si="5"/>
        <v>404313</v>
      </c>
      <c r="T23" s="246">
        <f t="shared" si="5"/>
        <v>2918</v>
      </c>
      <c r="U23" s="246">
        <f t="shared" si="5"/>
        <v>31235</v>
      </c>
      <c r="V23" s="246">
        <f t="shared" si="5"/>
        <v>68008</v>
      </c>
      <c r="W23" s="246">
        <f t="shared" si="5"/>
        <v>7911</v>
      </c>
      <c r="X23" s="246">
        <f t="shared" si="5"/>
        <v>107571</v>
      </c>
      <c r="Y23" s="246">
        <f t="shared" si="5"/>
        <v>12754</v>
      </c>
      <c r="Z23" s="246">
        <f t="shared" si="5"/>
        <v>43698</v>
      </c>
      <c r="AA23" s="246">
        <f t="shared" si="5"/>
        <v>3530</v>
      </c>
      <c r="AB23" s="246">
        <f t="shared" si="5"/>
        <v>1645</v>
      </c>
      <c r="AC23" s="246">
        <f t="shared" si="5"/>
        <v>541</v>
      </c>
      <c r="AD23" s="246">
        <f t="shared" si="5"/>
        <v>13574</v>
      </c>
      <c r="AE23" s="246">
        <f t="shared" si="5"/>
        <v>25536</v>
      </c>
      <c r="AF23" s="246">
        <f t="shared" si="5"/>
        <v>6069</v>
      </c>
      <c r="AG23" s="246">
        <f t="shared" si="5"/>
        <v>5680</v>
      </c>
      <c r="AH23" s="246">
        <f t="shared" si="6"/>
        <v>1409</v>
      </c>
      <c r="AI23" s="246">
        <f t="shared" si="6"/>
        <v>2174</v>
      </c>
      <c r="AJ23" s="246">
        <f t="shared" si="6"/>
        <v>4580</v>
      </c>
      <c r="AK23" s="246">
        <f t="shared" si="6"/>
        <v>304680</v>
      </c>
      <c r="AL23" s="246">
        <f t="shared" si="6"/>
        <v>15887</v>
      </c>
      <c r="AM23" s="246">
        <f t="shared" si="6"/>
        <v>2755</v>
      </c>
      <c r="AN23" s="246">
        <f t="shared" si="6"/>
        <v>6115</v>
      </c>
      <c r="AO23" s="246">
        <f t="shared" si="6"/>
        <v>80573</v>
      </c>
      <c r="AP23" s="246">
        <f t="shared" si="6"/>
        <v>34496</v>
      </c>
      <c r="AQ23" s="246">
        <f t="shared" si="6"/>
        <v>26186</v>
      </c>
      <c r="AR23" s="246">
        <f t="shared" si="6"/>
        <v>1867</v>
      </c>
      <c r="AS23" s="246">
        <f t="shared" si="6"/>
        <v>347812</v>
      </c>
      <c r="AT23" s="246">
        <f t="shared" si="6"/>
        <v>344922</v>
      </c>
      <c r="AU23" s="246">
        <f t="shared" si="6"/>
        <v>26956</v>
      </c>
      <c r="AV23" s="246">
        <f t="shared" si="6"/>
        <v>4991</v>
      </c>
      <c r="AW23" s="246">
        <f t="shared" si="6"/>
        <v>1888</v>
      </c>
      <c r="AX23" s="246">
        <f t="shared" si="7"/>
        <v>21665</v>
      </c>
      <c r="AY23" s="246">
        <f t="shared" si="7"/>
        <v>2015</v>
      </c>
      <c r="AZ23" s="246">
        <f t="shared" si="7"/>
        <v>480</v>
      </c>
      <c r="BA23" s="246">
        <f t="shared" si="7"/>
        <v>3057</v>
      </c>
      <c r="BB23" s="246">
        <f t="shared" si="7"/>
        <v>10400</v>
      </c>
      <c r="BC23" s="246">
        <f t="shared" si="7"/>
        <v>2230242</v>
      </c>
      <c r="BD23" s="202"/>
      <c r="BE23" s="236" t="s">
        <v>36</v>
      </c>
      <c r="BF23" s="247">
        <v>401146</v>
      </c>
      <c r="BG23" s="247">
        <v>19013</v>
      </c>
      <c r="BH23" s="247">
        <v>27177</v>
      </c>
      <c r="BI23" s="247">
        <v>7602</v>
      </c>
      <c r="BJ23" s="247">
        <v>5693</v>
      </c>
      <c r="BK23" s="247">
        <v>10841</v>
      </c>
      <c r="BL23" s="247">
        <v>58693</v>
      </c>
      <c r="BM23" s="247">
        <v>13902</v>
      </c>
      <c r="BN23" s="247">
        <v>839</v>
      </c>
      <c r="BO23" s="247">
        <v>20224</v>
      </c>
      <c r="BP23" s="247">
        <v>27563</v>
      </c>
      <c r="BQ23" s="247">
        <v>35353</v>
      </c>
      <c r="BR23" s="247">
        <v>3376</v>
      </c>
      <c r="BS23" s="247">
        <v>8641</v>
      </c>
      <c r="BT23" s="247">
        <v>89665</v>
      </c>
      <c r="BU23" s="247">
        <v>19571</v>
      </c>
      <c r="BV23" s="247">
        <v>28689</v>
      </c>
      <c r="BW23" s="247">
        <v>18861</v>
      </c>
      <c r="BX23" s="247">
        <v>2136</v>
      </c>
      <c r="BY23" s="247">
        <v>22320</v>
      </c>
      <c r="BZ23" s="247">
        <v>68008</v>
      </c>
      <c r="CA23" s="247">
        <v>7904</v>
      </c>
      <c r="CB23" s="247">
        <v>107215</v>
      </c>
      <c r="CC23" s="247">
        <v>11952</v>
      </c>
      <c r="CD23" s="247">
        <v>11187</v>
      </c>
      <c r="CE23" s="247">
        <v>3052</v>
      </c>
      <c r="CF23" s="247">
        <v>1544</v>
      </c>
      <c r="CG23" s="247">
        <v>259</v>
      </c>
      <c r="CH23" s="247">
        <v>13574</v>
      </c>
      <c r="CI23" s="247">
        <v>25386</v>
      </c>
      <c r="CJ23" s="247">
        <v>5942</v>
      </c>
      <c r="CK23" s="247">
        <v>5680</v>
      </c>
      <c r="CL23" s="247">
        <v>1337</v>
      </c>
      <c r="CM23" s="247">
        <v>2174</v>
      </c>
      <c r="CN23" s="247">
        <v>4507</v>
      </c>
      <c r="CO23" s="247">
        <v>269721</v>
      </c>
      <c r="CP23" s="247">
        <v>15589</v>
      </c>
      <c r="CQ23" s="247">
        <v>2732</v>
      </c>
      <c r="CR23" s="247">
        <v>6063</v>
      </c>
      <c r="CS23" s="247">
        <v>80573</v>
      </c>
      <c r="CT23" s="247">
        <v>34496</v>
      </c>
      <c r="CU23" s="247">
        <v>22312</v>
      </c>
      <c r="CV23" s="247">
        <v>1858</v>
      </c>
      <c r="CW23" s="247">
        <v>277942</v>
      </c>
      <c r="CX23" s="247">
        <v>155197</v>
      </c>
      <c r="CY23" s="247">
        <v>26740</v>
      </c>
      <c r="CZ23" s="247">
        <v>4991</v>
      </c>
      <c r="DA23" s="247">
        <v>1888</v>
      </c>
      <c r="DB23" s="247">
        <v>21665</v>
      </c>
      <c r="DC23" s="247">
        <v>2015</v>
      </c>
      <c r="DD23" s="247">
        <v>480</v>
      </c>
      <c r="DE23" s="247">
        <v>3055</v>
      </c>
      <c r="DF23" s="247">
        <v>10324</v>
      </c>
      <c r="DG23" s="247">
        <v>1357800</v>
      </c>
      <c r="DH23" s="247"/>
      <c r="DI23" s="248" t="s">
        <v>36</v>
      </c>
      <c r="DJ23" s="249">
        <v>570168</v>
      </c>
      <c r="DK23" s="249">
        <v>3170</v>
      </c>
      <c r="DL23" s="249">
        <v>9733</v>
      </c>
      <c r="DM23" s="249">
        <v>2462</v>
      </c>
      <c r="DN23" s="249">
        <v>2318</v>
      </c>
      <c r="DO23" s="249">
        <v>2579</v>
      </c>
      <c r="DP23" s="249">
        <v>34174</v>
      </c>
      <c r="DQ23" s="249">
        <v>8529</v>
      </c>
      <c r="DR23" s="249">
        <v>1724</v>
      </c>
      <c r="DS23" s="249">
        <v>14110</v>
      </c>
      <c r="DT23" s="249">
        <v>15302</v>
      </c>
      <c r="DU23" s="249">
        <v>14689</v>
      </c>
      <c r="DV23" s="249">
        <v>678</v>
      </c>
      <c r="DW23" s="249">
        <v>2446</v>
      </c>
      <c r="DX23" s="249">
        <v>43336</v>
      </c>
      <c r="DY23" s="249">
        <v>8828</v>
      </c>
      <c r="DZ23" s="249">
        <v>14111</v>
      </c>
      <c r="EA23" s="249">
        <v>385452</v>
      </c>
      <c r="EB23" s="249">
        <v>782</v>
      </c>
      <c r="EC23" s="249">
        <v>8915</v>
      </c>
      <c r="ED23" s="249">
        <v>0</v>
      </c>
      <c r="EE23" s="249">
        <v>7</v>
      </c>
      <c r="EF23" s="249">
        <v>356</v>
      </c>
      <c r="EG23" s="249">
        <v>802</v>
      </c>
      <c r="EH23" s="249">
        <v>32511</v>
      </c>
      <c r="EI23" s="249">
        <v>478</v>
      </c>
      <c r="EJ23" s="249">
        <v>101</v>
      </c>
      <c r="EK23" s="249">
        <v>282</v>
      </c>
      <c r="EL23" s="249">
        <v>0</v>
      </c>
      <c r="EM23" s="249">
        <v>150</v>
      </c>
      <c r="EN23" s="249">
        <v>127</v>
      </c>
      <c r="EO23" s="249">
        <v>0</v>
      </c>
      <c r="EP23" s="249">
        <v>72</v>
      </c>
      <c r="EQ23" s="249">
        <v>0</v>
      </c>
      <c r="ER23" s="249">
        <v>73</v>
      </c>
      <c r="ES23" s="249">
        <v>34959</v>
      </c>
      <c r="ET23" s="249">
        <v>298</v>
      </c>
      <c r="EU23" s="249">
        <v>23</v>
      </c>
      <c r="EV23" s="249">
        <v>52</v>
      </c>
      <c r="EW23" s="249">
        <v>0</v>
      </c>
      <c r="EX23" s="249">
        <v>0</v>
      </c>
      <c r="EY23" s="249">
        <v>3874</v>
      </c>
      <c r="EZ23" s="249">
        <v>9</v>
      </c>
      <c r="FA23" s="249">
        <v>69870</v>
      </c>
      <c r="FB23" s="249">
        <v>189725</v>
      </c>
      <c r="FC23" s="249">
        <v>216</v>
      </c>
      <c r="FD23" s="249">
        <v>0</v>
      </c>
      <c r="FE23" s="249">
        <v>0</v>
      </c>
      <c r="FF23" s="249">
        <v>0</v>
      </c>
      <c r="FG23" s="249">
        <v>0</v>
      </c>
      <c r="FH23" s="249">
        <v>0</v>
      </c>
      <c r="FI23" s="249">
        <v>2</v>
      </c>
      <c r="FJ23" s="249">
        <v>76</v>
      </c>
      <c r="FK23" s="249">
        <v>872442</v>
      </c>
    </row>
    <row r="24" spans="1:167" x14ac:dyDescent="0.25">
      <c r="A24" s="236" t="s">
        <v>35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6"/>
      <c r="AV24" s="246"/>
      <c r="AW24" s="246"/>
      <c r="AX24" s="246"/>
      <c r="AY24" s="246"/>
      <c r="AZ24" s="246"/>
      <c r="BA24" s="246"/>
      <c r="BB24" s="246"/>
      <c r="BC24" s="246"/>
      <c r="BD24" s="202"/>
      <c r="BE24" s="236" t="s">
        <v>35</v>
      </c>
      <c r="BF24" s="247" t="s">
        <v>27</v>
      </c>
      <c r="BG24" s="247" t="s">
        <v>27</v>
      </c>
      <c r="BH24" s="247" t="s">
        <v>27</v>
      </c>
      <c r="BI24" s="247" t="s">
        <v>27</v>
      </c>
      <c r="BJ24" s="247" t="s">
        <v>27</v>
      </c>
      <c r="BK24" s="247" t="s">
        <v>27</v>
      </c>
      <c r="BL24" s="247" t="s">
        <v>27</v>
      </c>
      <c r="BM24" s="247" t="s">
        <v>27</v>
      </c>
      <c r="BN24" s="247" t="s">
        <v>27</v>
      </c>
      <c r="BO24" s="247" t="s">
        <v>27</v>
      </c>
      <c r="BP24" s="247" t="s">
        <v>27</v>
      </c>
      <c r="BQ24" s="247" t="s">
        <v>27</v>
      </c>
      <c r="BR24" s="247" t="s">
        <v>27</v>
      </c>
      <c r="BS24" s="247" t="s">
        <v>27</v>
      </c>
      <c r="BT24" s="247" t="s">
        <v>27</v>
      </c>
      <c r="BU24" s="247" t="s">
        <v>27</v>
      </c>
      <c r="BV24" s="247" t="s">
        <v>27</v>
      </c>
      <c r="BW24" s="247" t="s">
        <v>27</v>
      </c>
      <c r="BX24" s="247" t="s">
        <v>27</v>
      </c>
      <c r="BY24" s="247" t="s">
        <v>27</v>
      </c>
      <c r="BZ24" s="247" t="s">
        <v>27</v>
      </c>
      <c r="CA24" s="247" t="s">
        <v>27</v>
      </c>
      <c r="CB24" s="247" t="s">
        <v>27</v>
      </c>
      <c r="CC24" s="247" t="s">
        <v>27</v>
      </c>
      <c r="CD24" s="247" t="s">
        <v>27</v>
      </c>
      <c r="CE24" s="247" t="s">
        <v>27</v>
      </c>
      <c r="CF24" s="247" t="s">
        <v>27</v>
      </c>
      <c r="CG24" s="247" t="s">
        <v>27</v>
      </c>
      <c r="CH24" s="247" t="s">
        <v>27</v>
      </c>
      <c r="CI24" s="247" t="s">
        <v>27</v>
      </c>
      <c r="CJ24" s="247" t="s">
        <v>27</v>
      </c>
      <c r="CK24" s="247" t="s">
        <v>27</v>
      </c>
      <c r="CL24" s="247" t="s">
        <v>27</v>
      </c>
      <c r="CM24" s="247" t="s">
        <v>27</v>
      </c>
      <c r="CN24" s="247" t="s">
        <v>27</v>
      </c>
      <c r="CO24" s="247" t="s">
        <v>27</v>
      </c>
      <c r="CP24" s="247" t="s">
        <v>27</v>
      </c>
      <c r="CQ24" s="247" t="s">
        <v>27</v>
      </c>
      <c r="CR24" s="247" t="s">
        <v>27</v>
      </c>
      <c r="CS24" s="247" t="s">
        <v>27</v>
      </c>
      <c r="CT24" s="247" t="s">
        <v>27</v>
      </c>
      <c r="CU24" s="247" t="s">
        <v>27</v>
      </c>
      <c r="CV24" s="247" t="s">
        <v>27</v>
      </c>
      <c r="CW24" s="247" t="s">
        <v>27</v>
      </c>
      <c r="CX24" s="247" t="s">
        <v>27</v>
      </c>
      <c r="CY24" s="247" t="s">
        <v>27</v>
      </c>
      <c r="CZ24" s="247" t="s">
        <v>27</v>
      </c>
      <c r="DA24" s="247" t="s">
        <v>27</v>
      </c>
      <c r="DB24" s="247" t="s">
        <v>27</v>
      </c>
      <c r="DC24" s="247" t="s">
        <v>27</v>
      </c>
      <c r="DD24" s="247" t="s">
        <v>27</v>
      </c>
      <c r="DE24" s="247" t="s">
        <v>27</v>
      </c>
      <c r="DF24" s="247" t="s">
        <v>27</v>
      </c>
      <c r="DG24" s="247" t="s">
        <v>27</v>
      </c>
      <c r="DH24" s="250"/>
      <c r="DI24" s="248" t="s">
        <v>35</v>
      </c>
      <c r="DJ24" s="249" t="s">
        <v>27</v>
      </c>
      <c r="DK24" s="249" t="s">
        <v>27</v>
      </c>
      <c r="DL24" s="249" t="s">
        <v>27</v>
      </c>
      <c r="DM24" s="249" t="s">
        <v>27</v>
      </c>
      <c r="DN24" s="249" t="s">
        <v>27</v>
      </c>
      <c r="DO24" s="249" t="s">
        <v>27</v>
      </c>
      <c r="DP24" s="249" t="s">
        <v>27</v>
      </c>
      <c r="DQ24" s="249" t="s">
        <v>27</v>
      </c>
      <c r="DR24" s="249" t="s">
        <v>27</v>
      </c>
      <c r="DS24" s="249" t="s">
        <v>27</v>
      </c>
      <c r="DT24" s="249" t="s">
        <v>27</v>
      </c>
      <c r="DU24" s="249" t="s">
        <v>27</v>
      </c>
      <c r="DV24" s="249" t="s">
        <v>27</v>
      </c>
      <c r="DW24" s="249" t="s">
        <v>27</v>
      </c>
      <c r="DX24" s="249" t="s">
        <v>27</v>
      </c>
      <c r="DY24" s="249" t="s">
        <v>27</v>
      </c>
      <c r="DZ24" s="249" t="s">
        <v>27</v>
      </c>
      <c r="EA24" s="249" t="s">
        <v>27</v>
      </c>
      <c r="EB24" s="249" t="s">
        <v>27</v>
      </c>
      <c r="EC24" s="249" t="s">
        <v>27</v>
      </c>
      <c r="ED24" s="249" t="s">
        <v>27</v>
      </c>
      <c r="EE24" s="249" t="s">
        <v>27</v>
      </c>
      <c r="EF24" s="249" t="s">
        <v>27</v>
      </c>
      <c r="EG24" s="249" t="s">
        <v>27</v>
      </c>
      <c r="EH24" s="249" t="s">
        <v>27</v>
      </c>
      <c r="EI24" s="249" t="s">
        <v>27</v>
      </c>
      <c r="EJ24" s="249" t="s">
        <v>27</v>
      </c>
      <c r="EK24" s="249" t="s">
        <v>27</v>
      </c>
      <c r="EL24" s="249" t="s">
        <v>27</v>
      </c>
      <c r="EM24" s="249" t="s">
        <v>27</v>
      </c>
      <c r="EN24" s="249" t="s">
        <v>27</v>
      </c>
      <c r="EO24" s="249" t="s">
        <v>27</v>
      </c>
      <c r="EP24" s="249" t="s">
        <v>27</v>
      </c>
      <c r="EQ24" s="249" t="s">
        <v>27</v>
      </c>
      <c r="ER24" s="249" t="s">
        <v>27</v>
      </c>
      <c r="ES24" s="249" t="s">
        <v>27</v>
      </c>
      <c r="ET24" s="249" t="s">
        <v>27</v>
      </c>
      <c r="EU24" s="249" t="s">
        <v>27</v>
      </c>
      <c r="EV24" s="249" t="s">
        <v>27</v>
      </c>
      <c r="EW24" s="249" t="s">
        <v>27</v>
      </c>
      <c r="EX24" s="249" t="s">
        <v>27</v>
      </c>
      <c r="EY24" s="249" t="s">
        <v>27</v>
      </c>
      <c r="EZ24" s="249" t="s">
        <v>27</v>
      </c>
      <c r="FA24" s="249" t="s">
        <v>27</v>
      </c>
      <c r="FB24" s="249" t="s">
        <v>27</v>
      </c>
      <c r="FC24" s="249" t="s">
        <v>27</v>
      </c>
      <c r="FD24" s="249" t="s">
        <v>27</v>
      </c>
      <c r="FE24" s="249" t="s">
        <v>27</v>
      </c>
      <c r="FF24" s="249" t="s">
        <v>27</v>
      </c>
      <c r="FG24" s="249" t="s">
        <v>27</v>
      </c>
      <c r="FH24" s="249" t="s">
        <v>27</v>
      </c>
      <c r="FI24" s="249" t="s">
        <v>27</v>
      </c>
      <c r="FJ24" s="249" t="s">
        <v>27</v>
      </c>
      <c r="FK24" s="249" t="s">
        <v>27</v>
      </c>
    </row>
    <row r="25" spans="1:167" x14ac:dyDescent="0.25">
      <c r="A25" s="236" t="s">
        <v>34</v>
      </c>
      <c r="B25" s="246">
        <f t="shared" ref="B25:Q30" si="8">BF25+DJ25</f>
        <v>422375</v>
      </c>
      <c r="C25" s="246">
        <f t="shared" si="8"/>
        <v>1222</v>
      </c>
      <c r="D25" s="246">
        <f t="shared" si="8"/>
        <v>15627</v>
      </c>
      <c r="E25" s="246">
        <f t="shared" si="8"/>
        <v>5519</v>
      </c>
      <c r="F25" s="246">
        <f t="shared" si="8"/>
        <v>2416</v>
      </c>
      <c r="G25" s="246">
        <f t="shared" si="8"/>
        <v>731</v>
      </c>
      <c r="H25" s="246">
        <f t="shared" si="8"/>
        <v>30063</v>
      </c>
      <c r="I25" s="246">
        <f t="shared" si="8"/>
        <v>12665</v>
      </c>
      <c r="J25" s="246">
        <f t="shared" si="8"/>
        <v>448</v>
      </c>
      <c r="K25" s="246">
        <f t="shared" si="8"/>
        <v>597</v>
      </c>
      <c r="L25" s="246">
        <f t="shared" si="8"/>
        <v>4307</v>
      </c>
      <c r="M25" s="246">
        <f t="shared" si="8"/>
        <v>64545</v>
      </c>
      <c r="N25" s="246">
        <f t="shared" si="8"/>
        <v>775</v>
      </c>
      <c r="O25" s="246">
        <f t="shared" si="8"/>
        <v>396</v>
      </c>
      <c r="P25" s="246">
        <f t="shared" si="8"/>
        <v>18346</v>
      </c>
      <c r="Q25" s="246">
        <f t="shared" si="8"/>
        <v>4393</v>
      </c>
      <c r="R25" s="246">
        <f t="shared" ref="R25:AG30" si="9">BV25+DZ25</f>
        <v>1843</v>
      </c>
      <c r="S25" s="246">
        <f t="shared" si="9"/>
        <v>149185</v>
      </c>
      <c r="T25" s="246">
        <f t="shared" si="9"/>
        <v>3869</v>
      </c>
      <c r="U25" s="246">
        <f t="shared" si="9"/>
        <v>106650</v>
      </c>
      <c r="V25" s="246">
        <f t="shared" si="9"/>
        <v>2437</v>
      </c>
      <c r="W25" s="246">
        <f t="shared" si="9"/>
        <v>379</v>
      </c>
      <c r="X25" s="246">
        <f t="shared" si="9"/>
        <v>24298</v>
      </c>
      <c r="Y25" s="246">
        <f t="shared" si="9"/>
        <v>27754</v>
      </c>
      <c r="Z25" s="246">
        <f t="shared" si="9"/>
        <v>961755</v>
      </c>
      <c r="AA25" s="246">
        <f t="shared" si="9"/>
        <v>2571</v>
      </c>
      <c r="AB25" s="246">
        <f t="shared" si="9"/>
        <v>1409</v>
      </c>
      <c r="AC25" s="246">
        <f t="shared" si="9"/>
        <v>129</v>
      </c>
      <c r="AD25" s="246">
        <f t="shared" si="9"/>
        <v>71</v>
      </c>
      <c r="AE25" s="246">
        <f t="shared" si="9"/>
        <v>1040</v>
      </c>
      <c r="AF25" s="246">
        <f t="shared" si="9"/>
        <v>35</v>
      </c>
      <c r="AG25" s="246">
        <f t="shared" si="9"/>
        <v>2</v>
      </c>
      <c r="AH25" s="246">
        <f t="shared" ref="AH25:AW30" si="10">CL25+EP25</f>
        <v>2</v>
      </c>
      <c r="AI25" s="246">
        <f t="shared" si="10"/>
        <v>0</v>
      </c>
      <c r="AJ25" s="246">
        <f t="shared" si="10"/>
        <v>103</v>
      </c>
      <c r="AK25" s="246">
        <f t="shared" si="10"/>
        <v>1021985</v>
      </c>
      <c r="AL25" s="246">
        <f t="shared" si="10"/>
        <v>784</v>
      </c>
      <c r="AM25" s="246">
        <f t="shared" si="10"/>
        <v>4</v>
      </c>
      <c r="AN25" s="246">
        <f t="shared" si="10"/>
        <v>226</v>
      </c>
      <c r="AO25" s="246">
        <f t="shared" si="10"/>
        <v>98</v>
      </c>
      <c r="AP25" s="246">
        <f t="shared" si="10"/>
        <v>712</v>
      </c>
      <c r="AQ25" s="246">
        <f t="shared" si="10"/>
        <v>4919</v>
      </c>
      <c r="AR25" s="246">
        <f t="shared" si="10"/>
        <v>118753</v>
      </c>
      <c r="AS25" s="246">
        <f t="shared" si="10"/>
        <v>1022</v>
      </c>
      <c r="AT25" s="246">
        <f t="shared" si="10"/>
        <v>21016</v>
      </c>
      <c r="AU25" s="246">
        <f t="shared" si="10"/>
        <v>860</v>
      </c>
      <c r="AV25" s="246">
        <f t="shared" si="10"/>
        <v>2284</v>
      </c>
      <c r="AW25" s="246">
        <f t="shared" si="10"/>
        <v>4</v>
      </c>
      <c r="AX25" s="246">
        <f t="shared" ref="AP25:BC30" si="11">DB25+FF25</f>
        <v>1487</v>
      </c>
      <c r="AY25" s="246">
        <f t="shared" si="11"/>
        <v>8</v>
      </c>
      <c r="AZ25" s="246">
        <f t="shared" si="11"/>
        <v>12</v>
      </c>
      <c r="BA25" s="246">
        <f t="shared" si="11"/>
        <v>550</v>
      </c>
      <c r="BB25" s="246">
        <f t="shared" si="11"/>
        <v>2780</v>
      </c>
      <c r="BC25" s="246">
        <f t="shared" si="11"/>
        <v>1601101</v>
      </c>
      <c r="BD25" s="202"/>
      <c r="BE25" s="236" t="s">
        <v>34</v>
      </c>
      <c r="BF25" s="247">
        <v>217477</v>
      </c>
      <c r="BG25" s="247">
        <v>1073</v>
      </c>
      <c r="BH25" s="247">
        <v>14167</v>
      </c>
      <c r="BI25" s="247">
        <v>5120</v>
      </c>
      <c r="BJ25" s="247">
        <v>2035</v>
      </c>
      <c r="BK25" s="247">
        <v>357</v>
      </c>
      <c r="BL25" s="247">
        <v>14714</v>
      </c>
      <c r="BM25" s="247">
        <v>7721</v>
      </c>
      <c r="BN25" s="247">
        <v>384</v>
      </c>
      <c r="BO25" s="247">
        <v>579</v>
      </c>
      <c r="BP25" s="247">
        <v>3766</v>
      </c>
      <c r="BQ25" s="247">
        <v>34198</v>
      </c>
      <c r="BR25" s="247">
        <v>485</v>
      </c>
      <c r="BS25" s="247">
        <v>209</v>
      </c>
      <c r="BT25" s="247">
        <v>11722</v>
      </c>
      <c r="BU25" s="247">
        <v>3998</v>
      </c>
      <c r="BV25" s="247">
        <v>1049</v>
      </c>
      <c r="BW25" s="247">
        <v>12992</v>
      </c>
      <c r="BX25" s="247">
        <v>2887</v>
      </c>
      <c r="BY25" s="247">
        <v>101094</v>
      </c>
      <c r="BZ25" s="247">
        <v>2437</v>
      </c>
      <c r="CA25" s="247">
        <v>266</v>
      </c>
      <c r="CB25" s="247">
        <v>14767</v>
      </c>
      <c r="CC25" s="247">
        <v>54</v>
      </c>
      <c r="CD25" s="247">
        <v>105</v>
      </c>
      <c r="CE25" s="247">
        <v>41</v>
      </c>
      <c r="CF25" s="247">
        <v>0</v>
      </c>
      <c r="CG25" s="247">
        <v>0</v>
      </c>
      <c r="CH25" s="247">
        <v>71</v>
      </c>
      <c r="CI25" s="247">
        <v>81</v>
      </c>
      <c r="CJ25" s="247">
        <v>35</v>
      </c>
      <c r="CK25" s="247">
        <v>2</v>
      </c>
      <c r="CL25" s="247">
        <v>2</v>
      </c>
      <c r="CM25" s="247">
        <v>0</v>
      </c>
      <c r="CN25" s="247">
        <v>103</v>
      </c>
      <c r="CO25" s="247">
        <v>17964</v>
      </c>
      <c r="CP25" s="247">
        <v>784</v>
      </c>
      <c r="CQ25" s="247">
        <v>4</v>
      </c>
      <c r="CR25" s="247">
        <v>190</v>
      </c>
      <c r="CS25" s="247">
        <v>98</v>
      </c>
      <c r="CT25" s="247">
        <v>712</v>
      </c>
      <c r="CU25" s="247">
        <v>4733</v>
      </c>
      <c r="CV25" s="247">
        <v>118050</v>
      </c>
      <c r="CW25" s="247">
        <v>104</v>
      </c>
      <c r="CX25" s="247">
        <v>712</v>
      </c>
      <c r="CY25" s="247">
        <v>860</v>
      </c>
      <c r="CZ25" s="247">
        <v>990</v>
      </c>
      <c r="DA25" s="247">
        <v>0</v>
      </c>
      <c r="DB25" s="247">
        <v>1487</v>
      </c>
      <c r="DC25" s="247">
        <v>8</v>
      </c>
      <c r="DD25" s="247">
        <v>12</v>
      </c>
      <c r="DE25" s="247">
        <v>550</v>
      </c>
      <c r="DF25" s="247">
        <v>2581</v>
      </c>
      <c r="DG25" s="247">
        <v>368389</v>
      </c>
      <c r="DH25" s="247"/>
      <c r="DI25" s="248" t="s">
        <v>34</v>
      </c>
      <c r="DJ25" s="249">
        <v>204898</v>
      </c>
      <c r="DK25" s="249">
        <v>149</v>
      </c>
      <c r="DL25" s="249">
        <v>1460</v>
      </c>
      <c r="DM25" s="249">
        <v>399</v>
      </c>
      <c r="DN25" s="249">
        <v>381</v>
      </c>
      <c r="DO25" s="249">
        <v>374</v>
      </c>
      <c r="DP25" s="249">
        <v>15349</v>
      </c>
      <c r="DQ25" s="249">
        <v>4944</v>
      </c>
      <c r="DR25" s="249">
        <v>64</v>
      </c>
      <c r="DS25" s="249">
        <v>18</v>
      </c>
      <c r="DT25" s="249">
        <v>541</v>
      </c>
      <c r="DU25" s="249">
        <v>30347</v>
      </c>
      <c r="DV25" s="249">
        <v>290</v>
      </c>
      <c r="DW25" s="249">
        <v>187</v>
      </c>
      <c r="DX25" s="249">
        <v>6624</v>
      </c>
      <c r="DY25" s="249">
        <v>395</v>
      </c>
      <c r="DZ25" s="249">
        <v>794</v>
      </c>
      <c r="EA25" s="249">
        <v>136193</v>
      </c>
      <c r="EB25" s="249">
        <v>982</v>
      </c>
      <c r="EC25" s="249">
        <v>5556</v>
      </c>
      <c r="ED25" s="249">
        <v>0</v>
      </c>
      <c r="EE25" s="249">
        <v>113</v>
      </c>
      <c r="EF25" s="249">
        <v>9531</v>
      </c>
      <c r="EG25" s="249">
        <v>27700</v>
      </c>
      <c r="EH25" s="249">
        <v>961650</v>
      </c>
      <c r="EI25" s="249">
        <v>2530</v>
      </c>
      <c r="EJ25" s="249">
        <v>1409</v>
      </c>
      <c r="EK25" s="249">
        <v>129</v>
      </c>
      <c r="EL25" s="249">
        <v>0</v>
      </c>
      <c r="EM25" s="249">
        <v>959</v>
      </c>
      <c r="EN25" s="249">
        <v>0</v>
      </c>
      <c r="EO25" s="249">
        <v>0</v>
      </c>
      <c r="EP25" s="249">
        <v>0</v>
      </c>
      <c r="EQ25" s="249">
        <v>0</v>
      </c>
      <c r="ER25" s="249">
        <v>0</v>
      </c>
      <c r="ES25" s="249">
        <v>1004021</v>
      </c>
      <c r="ET25" s="249">
        <v>0</v>
      </c>
      <c r="EU25" s="249">
        <v>0</v>
      </c>
      <c r="EV25" s="249">
        <v>36</v>
      </c>
      <c r="EW25" s="249">
        <v>0</v>
      </c>
      <c r="EX25" s="249">
        <v>0</v>
      </c>
      <c r="EY25" s="249">
        <v>186</v>
      </c>
      <c r="EZ25" s="249">
        <v>703</v>
      </c>
      <c r="FA25" s="249">
        <v>918</v>
      </c>
      <c r="FB25" s="249">
        <v>20304</v>
      </c>
      <c r="FC25" s="249">
        <v>0</v>
      </c>
      <c r="FD25" s="249">
        <v>1294</v>
      </c>
      <c r="FE25" s="249">
        <v>4</v>
      </c>
      <c r="FF25" s="249">
        <v>0</v>
      </c>
      <c r="FG25" s="249">
        <v>0</v>
      </c>
      <c r="FH25" s="249">
        <v>0</v>
      </c>
      <c r="FI25" s="249">
        <v>0</v>
      </c>
      <c r="FJ25" s="249">
        <v>199</v>
      </c>
      <c r="FK25" s="249">
        <v>1232712</v>
      </c>
    </row>
    <row r="26" spans="1:167" x14ac:dyDescent="0.25">
      <c r="A26" s="236" t="s">
        <v>33</v>
      </c>
      <c r="B26" s="246">
        <f t="shared" si="8"/>
        <v>12153709</v>
      </c>
      <c r="C26" s="246">
        <f t="shared" si="8"/>
        <v>47917</v>
      </c>
      <c r="D26" s="246">
        <f t="shared" si="8"/>
        <v>256214</v>
      </c>
      <c r="E26" s="246">
        <f t="shared" si="8"/>
        <v>93224</v>
      </c>
      <c r="F26" s="246">
        <f t="shared" si="8"/>
        <v>96491</v>
      </c>
      <c r="G26" s="246">
        <f t="shared" si="8"/>
        <v>52339</v>
      </c>
      <c r="H26" s="246">
        <f t="shared" si="8"/>
        <v>645384</v>
      </c>
      <c r="I26" s="246">
        <f t="shared" si="8"/>
        <v>171846</v>
      </c>
      <c r="J26" s="246">
        <f t="shared" si="8"/>
        <v>101806</v>
      </c>
      <c r="K26" s="246">
        <f t="shared" si="8"/>
        <v>404139</v>
      </c>
      <c r="L26" s="246">
        <f t="shared" si="8"/>
        <v>372879</v>
      </c>
      <c r="M26" s="246">
        <f t="shared" si="8"/>
        <v>390880</v>
      </c>
      <c r="N26" s="246">
        <f t="shared" si="8"/>
        <v>36060</v>
      </c>
      <c r="O26" s="246">
        <f t="shared" si="8"/>
        <v>53960</v>
      </c>
      <c r="P26" s="246">
        <f t="shared" si="8"/>
        <v>871660</v>
      </c>
      <c r="Q26" s="246">
        <f t="shared" si="8"/>
        <v>169750</v>
      </c>
      <c r="R26" s="246">
        <f t="shared" si="9"/>
        <v>338353</v>
      </c>
      <c r="S26" s="246">
        <f t="shared" si="9"/>
        <v>7886467</v>
      </c>
      <c r="T26" s="246">
        <f t="shared" si="9"/>
        <v>42646</v>
      </c>
      <c r="U26" s="246">
        <f t="shared" si="9"/>
        <v>169611</v>
      </c>
      <c r="V26" s="246">
        <f t="shared" si="9"/>
        <v>11758</v>
      </c>
      <c r="W26" s="246">
        <f t="shared" si="9"/>
        <v>1943</v>
      </c>
      <c r="X26" s="246">
        <f t="shared" si="9"/>
        <v>125669</v>
      </c>
      <c r="Y26" s="246">
        <f t="shared" si="9"/>
        <v>5152</v>
      </c>
      <c r="Z26" s="246">
        <f t="shared" si="9"/>
        <v>3817</v>
      </c>
      <c r="AA26" s="246">
        <f t="shared" si="9"/>
        <v>8954</v>
      </c>
      <c r="AB26" s="246">
        <f t="shared" si="9"/>
        <v>5996</v>
      </c>
      <c r="AC26" s="246">
        <f t="shared" si="9"/>
        <v>709</v>
      </c>
      <c r="AD26" s="246">
        <f t="shared" si="9"/>
        <v>4984</v>
      </c>
      <c r="AE26" s="246">
        <f t="shared" si="9"/>
        <v>653</v>
      </c>
      <c r="AF26" s="246">
        <f t="shared" si="9"/>
        <v>2263</v>
      </c>
      <c r="AG26" s="246">
        <f t="shared" si="9"/>
        <v>98</v>
      </c>
      <c r="AH26" s="246">
        <f t="shared" si="10"/>
        <v>1146</v>
      </c>
      <c r="AI26" s="246">
        <f t="shared" si="10"/>
        <v>125</v>
      </c>
      <c r="AJ26" s="246">
        <f t="shared" si="10"/>
        <v>841</v>
      </c>
      <c r="AK26" s="246">
        <f t="shared" si="10"/>
        <v>174108</v>
      </c>
      <c r="AL26" s="246">
        <f t="shared" si="10"/>
        <v>4698</v>
      </c>
      <c r="AM26" s="246">
        <f t="shared" si="10"/>
        <v>1436</v>
      </c>
      <c r="AN26" s="246">
        <f t="shared" si="10"/>
        <v>4650</v>
      </c>
      <c r="AO26" s="246">
        <f t="shared" si="10"/>
        <v>105</v>
      </c>
      <c r="AP26" s="246">
        <f t="shared" si="11"/>
        <v>78</v>
      </c>
      <c r="AQ26" s="246">
        <f t="shared" si="11"/>
        <v>231917</v>
      </c>
      <c r="AR26" s="246">
        <f t="shared" si="11"/>
        <v>387</v>
      </c>
      <c r="AS26" s="246">
        <f t="shared" si="11"/>
        <v>2858</v>
      </c>
      <c r="AT26" s="246">
        <f t="shared" si="11"/>
        <v>187592</v>
      </c>
      <c r="AU26" s="246">
        <f t="shared" si="11"/>
        <v>17323</v>
      </c>
      <c r="AV26" s="246">
        <f t="shared" si="11"/>
        <v>61070</v>
      </c>
      <c r="AW26" s="246">
        <f t="shared" si="11"/>
        <v>17011</v>
      </c>
      <c r="AX26" s="246">
        <f t="shared" si="11"/>
        <v>366712</v>
      </c>
      <c r="AY26" s="246">
        <f t="shared" si="11"/>
        <v>0</v>
      </c>
      <c r="AZ26" s="246">
        <f t="shared" si="11"/>
        <v>0</v>
      </c>
      <c r="BA26" s="246">
        <f t="shared" si="11"/>
        <v>28</v>
      </c>
      <c r="BB26" s="246">
        <f t="shared" si="11"/>
        <v>6214</v>
      </c>
      <c r="BC26" s="246">
        <f t="shared" si="11"/>
        <v>13277813</v>
      </c>
      <c r="BD26" s="202"/>
      <c r="BE26" s="236" t="s">
        <v>33</v>
      </c>
      <c r="BF26" s="247">
        <v>508599</v>
      </c>
      <c r="BG26" s="247">
        <v>474</v>
      </c>
      <c r="BH26" s="247">
        <v>21124</v>
      </c>
      <c r="BI26" s="247">
        <v>9456</v>
      </c>
      <c r="BJ26" s="247">
        <v>10804</v>
      </c>
      <c r="BK26" s="247">
        <v>7932</v>
      </c>
      <c r="BL26" s="247">
        <v>64109</v>
      </c>
      <c r="BM26" s="247">
        <v>9200</v>
      </c>
      <c r="BN26" s="247">
        <v>2646</v>
      </c>
      <c r="BO26" s="247">
        <v>30530</v>
      </c>
      <c r="BP26" s="247">
        <v>22857</v>
      </c>
      <c r="BQ26" s="247">
        <v>29508</v>
      </c>
      <c r="BR26" s="247">
        <v>1093</v>
      </c>
      <c r="BS26" s="247">
        <v>3207</v>
      </c>
      <c r="BT26" s="247">
        <v>95721</v>
      </c>
      <c r="BU26" s="247">
        <v>17944</v>
      </c>
      <c r="BV26" s="247">
        <v>52392</v>
      </c>
      <c r="BW26" s="247">
        <v>90541</v>
      </c>
      <c r="BX26" s="247">
        <v>24922</v>
      </c>
      <c r="BY26" s="247">
        <v>14613</v>
      </c>
      <c r="BZ26" s="247">
        <v>11758</v>
      </c>
      <c r="CA26" s="247">
        <v>1913</v>
      </c>
      <c r="CB26" s="247">
        <v>124104</v>
      </c>
      <c r="CC26" s="247">
        <v>2692</v>
      </c>
      <c r="CD26" s="247">
        <v>1681</v>
      </c>
      <c r="CE26" s="247">
        <v>5783</v>
      </c>
      <c r="CF26" s="247">
        <v>4826</v>
      </c>
      <c r="CG26" s="247">
        <v>54</v>
      </c>
      <c r="CH26" s="247">
        <v>4984</v>
      </c>
      <c r="CI26" s="247">
        <v>367</v>
      </c>
      <c r="CJ26" s="247">
        <v>457</v>
      </c>
      <c r="CK26" s="247">
        <v>98</v>
      </c>
      <c r="CL26" s="247">
        <v>0</v>
      </c>
      <c r="CM26" s="247">
        <v>125</v>
      </c>
      <c r="CN26" s="247">
        <v>250</v>
      </c>
      <c r="CO26" s="247">
        <v>159092</v>
      </c>
      <c r="CP26" s="247">
        <v>567</v>
      </c>
      <c r="CQ26" s="247">
        <v>1319</v>
      </c>
      <c r="CR26" s="247">
        <v>3914</v>
      </c>
      <c r="CS26" s="247">
        <v>105</v>
      </c>
      <c r="CT26" s="247">
        <v>78</v>
      </c>
      <c r="CU26" s="247">
        <v>183645</v>
      </c>
      <c r="CV26" s="247">
        <v>387</v>
      </c>
      <c r="CW26" s="247">
        <v>1934</v>
      </c>
      <c r="CX26" s="247">
        <v>15016</v>
      </c>
      <c r="CY26" s="247">
        <v>11122</v>
      </c>
      <c r="CZ26" s="247">
        <v>8644</v>
      </c>
      <c r="DA26" s="247">
        <v>843</v>
      </c>
      <c r="DB26" s="247">
        <v>21403</v>
      </c>
      <c r="DC26" s="247">
        <v>0</v>
      </c>
      <c r="DD26" s="247">
        <v>0</v>
      </c>
      <c r="DE26" s="247">
        <v>28</v>
      </c>
      <c r="DF26" s="247">
        <v>436</v>
      </c>
      <c r="DG26" s="247">
        <v>917606</v>
      </c>
      <c r="DH26" s="247"/>
      <c r="DI26" s="248" t="s">
        <v>33</v>
      </c>
      <c r="DJ26" s="249">
        <v>11645110</v>
      </c>
      <c r="DK26" s="249">
        <v>47443</v>
      </c>
      <c r="DL26" s="249">
        <v>235090</v>
      </c>
      <c r="DM26" s="249">
        <v>83768</v>
      </c>
      <c r="DN26" s="249">
        <v>85687</v>
      </c>
      <c r="DO26" s="249">
        <v>44407</v>
      </c>
      <c r="DP26" s="249">
        <v>581275</v>
      </c>
      <c r="DQ26" s="249">
        <v>162646</v>
      </c>
      <c r="DR26" s="249">
        <v>99160</v>
      </c>
      <c r="DS26" s="249">
        <v>373609</v>
      </c>
      <c r="DT26" s="249">
        <v>350022</v>
      </c>
      <c r="DU26" s="249">
        <v>361372</v>
      </c>
      <c r="DV26" s="249">
        <v>34967</v>
      </c>
      <c r="DW26" s="249">
        <v>50753</v>
      </c>
      <c r="DX26" s="249">
        <v>775939</v>
      </c>
      <c r="DY26" s="249">
        <v>151806</v>
      </c>
      <c r="DZ26" s="249">
        <v>285961</v>
      </c>
      <c r="EA26" s="249">
        <v>7795926</v>
      </c>
      <c r="EB26" s="249">
        <v>17724</v>
      </c>
      <c r="EC26" s="249">
        <v>154998</v>
      </c>
      <c r="ED26" s="249">
        <v>0</v>
      </c>
      <c r="EE26" s="249">
        <v>30</v>
      </c>
      <c r="EF26" s="249">
        <v>1565</v>
      </c>
      <c r="EG26" s="249">
        <v>2460</v>
      </c>
      <c r="EH26" s="249">
        <v>2136</v>
      </c>
      <c r="EI26" s="249">
        <v>3171</v>
      </c>
      <c r="EJ26" s="249">
        <v>1170</v>
      </c>
      <c r="EK26" s="249">
        <v>655</v>
      </c>
      <c r="EL26" s="249">
        <v>0</v>
      </c>
      <c r="EM26" s="249">
        <v>286</v>
      </c>
      <c r="EN26" s="249">
        <v>1806</v>
      </c>
      <c r="EO26" s="249">
        <v>0</v>
      </c>
      <c r="EP26" s="249">
        <v>1146</v>
      </c>
      <c r="EQ26" s="249">
        <v>0</v>
      </c>
      <c r="ER26" s="249">
        <v>591</v>
      </c>
      <c r="ES26" s="249">
        <v>15016</v>
      </c>
      <c r="ET26" s="249">
        <v>4131</v>
      </c>
      <c r="EU26" s="249">
        <v>117</v>
      </c>
      <c r="EV26" s="249">
        <v>736</v>
      </c>
      <c r="EW26" s="249">
        <v>0</v>
      </c>
      <c r="EX26" s="249">
        <v>0</v>
      </c>
      <c r="EY26" s="249">
        <v>48272</v>
      </c>
      <c r="EZ26" s="249">
        <v>0</v>
      </c>
      <c r="FA26" s="249">
        <v>924</v>
      </c>
      <c r="FB26" s="249">
        <v>172576</v>
      </c>
      <c r="FC26" s="249">
        <v>6201</v>
      </c>
      <c r="FD26" s="249">
        <v>52426</v>
      </c>
      <c r="FE26" s="249">
        <v>16168</v>
      </c>
      <c r="FF26" s="249">
        <v>345309</v>
      </c>
      <c r="FG26" s="249">
        <v>0</v>
      </c>
      <c r="FH26" s="249">
        <v>0</v>
      </c>
      <c r="FI26" s="249">
        <v>0</v>
      </c>
      <c r="FJ26" s="249">
        <v>5778</v>
      </c>
      <c r="FK26" s="249">
        <v>12360207</v>
      </c>
    </row>
    <row r="27" spans="1:167" x14ac:dyDescent="0.25">
      <c r="A27" s="236" t="s">
        <v>32</v>
      </c>
      <c r="B27" s="246">
        <f t="shared" si="8"/>
        <v>1106122</v>
      </c>
      <c r="C27" s="246">
        <f t="shared" si="8"/>
        <v>472</v>
      </c>
      <c r="D27" s="246">
        <f t="shared" si="8"/>
        <v>3040</v>
      </c>
      <c r="E27" s="246">
        <f t="shared" si="8"/>
        <v>730</v>
      </c>
      <c r="F27" s="246">
        <f t="shared" si="8"/>
        <v>837</v>
      </c>
      <c r="G27" s="246">
        <f t="shared" si="8"/>
        <v>190</v>
      </c>
      <c r="H27" s="246">
        <f t="shared" si="8"/>
        <v>3459</v>
      </c>
      <c r="I27" s="246">
        <f t="shared" si="8"/>
        <v>417</v>
      </c>
      <c r="J27" s="246">
        <f t="shared" si="8"/>
        <v>22893</v>
      </c>
      <c r="K27" s="246">
        <f t="shared" si="8"/>
        <v>23339</v>
      </c>
      <c r="L27" s="246">
        <f t="shared" si="8"/>
        <v>9292</v>
      </c>
      <c r="M27" s="246">
        <f t="shared" si="8"/>
        <v>918</v>
      </c>
      <c r="N27" s="246">
        <f t="shared" si="8"/>
        <v>237</v>
      </c>
      <c r="O27" s="246">
        <f t="shared" si="8"/>
        <v>299</v>
      </c>
      <c r="P27" s="246">
        <f t="shared" si="8"/>
        <v>12669</v>
      </c>
      <c r="Q27" s="246">
        <f t="shared" si="8"/>
        <v>3799</v>
      </c>
      <c r="R27" s="246">
        <f t="shared" si="9"/>
        <v>5432</v>
      </c>
      <c r="S27" s="246">
        <f t="shared" si="9"/>
        <v>916757</v>
      </c>
      <c r="T27" s="246">
        <f t="shared" si="9"/>
        <v>1224</v>
      </c>
      <c r="U27" s="246">
        <f t="shared" si="9"/>
        <v>100590</v>
      </c>
      <c r="V27" s="246">
        <f t="shared" si="9"/>
        <v>203</v>
      </c>
      <c r="W27" s="246">
        <f t="shared" si="9"/>
        <v>13</v>
      </c>
      <c r="X27" s="246">
        <f t="shared" si="9"/>
        <v>2078</v>
      </c>
      <c r="Y27" s="246">
        <f t="shared" si="9"/>
        <v>3954</v>
      </c>
      <c r="Z27" s="246">
        <f t="shared" si="9"/>
        <v>2190</v>
      </c>
      <c r="AA27" s="246">
        <f t="shared" si="9"/>
        <v>118</v>
      </c>
      <c r="AB27" s="246">
        <f t="shared" si="9"/>
        <v>193</v>
      </c>
      <c r="AC27" s="246">
        <f t="shared" si="9"/>
        <v>119</v>
      </c>
      <c r="AD27" s="246">
        <f t="shared" si="9"/>
        <v>184</v>
      </c>
      <c r="AE27" s="246">
        <f t="shared" si="9"/>
        <v>46</v>
      </c>
      <c r="AF27" s="246">
        <f t="shared" si="9"/>
        <v>70</v>
      </c>
      <c r="AG27" s="246">
        <f t="shared" si="9"/>
        <v>39</v>
      </c>
      <c r="AH27" s="246">
        <f t="shared" si="10"/>
        <v>1</v>
      </c>
      <c r="AI27" s="246">
        <f t="shared" si="10"/>
        <v>2</v>
      </c>
      <c r="AJ27" s="246">
        <f t="shared" si="10"/>
        <v>79</v>
      </c>
      <c r="AK27" s="246">
        <f t="shared" si="10"/>
        <v>9289</v>
      </c>
      <c r="AL27" s="246">
        <f t="shared" si="10"/>
        <v>190</v>
      </c>
      <c r="AM27" s="246">
        <f t="shared" si="10"/>
        <v>57</v>
      </c>
      <c r="AN27" s="246">
        <f t="shared" si="10"/>
        <v>333</v>
      </c>
      <c r="AO27" s="246">
        <f t="shared" si="10"/>
        <v>754</v>
      </c>
      <c r="AP27" s="246">
        <f t="shared" si="11"/>
        <v>157</v>
      </c>
      <c r="AQ27" s="246">
        <f t="shared" si="11"/>
        <v>37066</v>
      </c>
      <c r="AR27" s="246">
        <f t="shared" si="11"/>
        <v>207</v>
      </c>
      <c r="AS27" s="246">
        <f t="shared" si="11"/>
        <v>4056</v>
      </c>
      <c r="AT27" s="246">
        <f t="shared" si="11"/>
        <v>80496</v>
      </c>
      <c r="AU27" s="246">
        <f t="shared" si="11"/>
        <v>379</v>
      </c>
      <c r="AV27" s="246">
        <f t="shared" si="11"/>
        <v>5686</v>
      </c>
      <c r="AW27" s="246">
        <f t="shared" si="11"/>
        <v>446</v>
      </c>
      <c r="AX27" s="246">
        <f t="shared" si="11"/>
        <v>192815</v>
      </c>
      <c r="AY27" s="246">
        <f t="shared" si="11"/>
        <v>0</v>
      </c>
      <c r="AZ27" s="246">
        <f t="shared" si="11"/>
        <v>7</v>
      </c>
      <c r="BA27" s="246">
        <f t="shared" si="11"/>
        <v>256</v>
      </c>
      <c r="BB27" s="246">
        <f t="shared" si="11"/>
        <v>389</v>
      </c>
      <c r="BC27" s="246">
        <f t="shared" si="11"/>
        <v>1439177</v>
      </c>
      <c r="BD27" s="202"/>
      <c r="BE27" s="236" t="s">
        <v>32</v>
      </c>
      <c r="BF27" s="247">
        <v>114956</v>
      </c>
      <c r="BG27" s="247">
        <v>342</v>
      </c>
      <c r="BH27" s="247">
        <v>2283</v>
      </c>
      <c r="BI27" s="247">
        <v>234</v>
      </c>
      <c r="BJ27" s="247">
        <v>735</v>
      </c>
      <c r="BK27" s="247">
        <v>182</v>
      </c>
      <c r="BL27" s="247">
        <v>2485</v>
      </c>
      <c r="BM27" s="247">
        <v>370</v>
      </c>
      <c r="BN27" s="247">
        <v>290</v>
      </c>
      <c r="BO27" s="247">
        <v>1937</v>
      </c>
      <c r="BP27" s="247">
        <v>1510</v>
      </c>
      <c r="BQ27" s="247">
        <v>774</v>
      </c>
      <c r="BR27" s="247">
        <v>197</v>
      </c>
      <c r="BS27" s="247">
        <v>168</v>
      </c>
      <c r="BT27" s="247">
        <v>10010</v>
      </c>
      <c r="BU27" s="247">
        <v>3455</v>
      </c>
      <c r="BV27" s="247">
        <v>5060</v>
      </c>
      <c r="BW27" s="247">
        <v>79382</v>
      </c>
      <c r="BX27" s="247">
        <v>1220</v>
      </c>
      <c r="BY27" s="247">
        <v>4664</v>
      </c>
      <c r="BZ27" s="247">
        <v>203</v>
      </c>
      <c r="CA27" s="247">
        <v>13</v>
      </c>
      <c r="CB27" s="247">
        <v>2068</v>
      </c>
      <c r="CC27" s="247">
        <v>3954</v>
      </c>
      <c r="CD27" s="247">
        <v>389</v>
      </c>
      <c r="CE27" s="247">
        <v>118</v>
      </c>
      <c r="CF27" s="247">
        <v>193</v>
      </c>
      <c r="CG27" s="247">
        <v>34</v>
      </c>
      <c r="CH27" s="247">
        <v>184</v>
      </c>
      <c r="CI27" s="247">
        <v>46</v>
      </c>
      <c r="CJ27" s="247">
        <v>70</v>
      </c>
      <c r="CK27" s="247">
        <v>39</v>
      </c>
      <c r="CL27" s="247">
        <v>1</v>
      </c>
      <c r="CM27" s="247">
        <v>2</v>
      </c>
      <c r="CN27" s="247">
        <v>32</v>
      </c>
      <c r="CO27" s="247">
        <v>7346</v>
      </c>
      <c r="CP27" s="247">
        <v>73</v>
      </c>
      <c r="CQ27" s="247">
        <v>57</v>
      </c>
      <c r="CR27" s="247">
        <v>333</v>
      </c>
      <c r="CS27" s="247">
        <v>754</v>
      </c>
      <c r="CT27" s="247">
        <v>157</v>
      </c>
      <c r="CU27" s="247">
        <v>31711</v>
      </c>
      <c r="CV27" s="247">
        <v>207</v>
      </c>
      <c r="CW27" s="247">
        <v>4056</v>
      </c>
      <c r="CX27" s="247">
        <v>61756</v>
      </c>
      <c r="CY27" s="247">
        <v>309</v>
      </c>
      <c r="CZ27" s="247">
        <v>4432</v>
      </c>
      <c r="DA27" s="247">
        <v>2</v>
      </c>
      <c r="DB27" s="247">
        <v>192815</v>
      </c>
      <c r="DC27" s="247">
        <v>0</v>
      </c>
      <c r="DD27" s="247">
        <v>7</v>
      </c>
      <c r="DE27" s="247">
        <v>256</v>
      </c>
      <c r="DF27" s="247">
        <v>389</v>
      </c>
      <c r="DG27" s="247">
        <v>419958</v>
      </c>
      <c r="DH27" s="247"/>
      <c r="DI27" s="248" t="s">
        <v>32</v>
      </c>
      <c r="DJ27" s="249">
        <v>991166</v>
      </c>
      <c r="DK27" s="249">
        <v>130</v>
      </c>
      <c r="DL27" s="249">
        <v>757</v>
      </c>
      <c r="DM27" s="249">
        <v>496</v>
      </c>
      <c r="DN27" s="249">
        <v>102</v>
      </c>
      <c r="DO27" s="249">
        <v>8</v>
      </c>
      <c r="DP27" s="249">
        <v>974</v>
      </c>
      <c r="DQ27" s="249">
        <v>47</v>
      </c>
      <c r="DR27" s="249">
        <v>22603</v>
      </c>
      <c r="DS27" s="249">
        <v>21402</v>
      </c>
      <c r="DT27" s="249">
        <v>7782</v>
      </c>
      <c r="DU27" s="249">
        <v>144</v>
      </c>
      <c r="DV27" s="249">
        <v>40</v>
      </c>
      <c r="DW27" s="249">
        <v>131</v>
      </c>
      <c r="DX27" s="249">
        <v>2659</v>
      </c>
      <c r="DY27" s="249">
        <v>344</v>
      </c>
      <c r="DZ27" s="249">
        <v>372</v>
      </c>
      <c r="EA27" s="249">
        <v>837375</v>
      </c>
      <c r="EB27" s="249">
        <v>4</v>
      </c>
      <c r="EC27" s="249">
        <v>95926</v>
      </c>
      <c r="ED27" s="249">
        <v>0</v>
      </c>
      <c r="EE27" s="249">
        <v>0</v>
      </c>
      <c r="EF27" s="249">
        <v>10</v>
      </c>
      <c r="EG27" s="249">
        <v>0</v>
      </c>
      <c r="EH27" s="249">
        <v>1801</v>
      </c>
      <c r="EI27" s="249">
        <v>0</v>
      </c>
      <c r="EJ27" s="249">
        <v>0</v>
      </c>
      <c r="EK27" s="249">
        <v>85</v>
      </c>
      <c r="EL27" s="249">
        <v>0</v>
      </c>
      <c r="EM27" s="249">
        <v>0</v>
      </c>
      <c r="EN27" s="249">
        <v>0</v>
      </c>
      <c r="EO27" s="249">
        <v>0</v>
      </c>
      <c r="EP27" s="249">
        <v>0</v>
      </c>
      <c r="EQ27" s="249">
        <v>0</v>
      </c>
      <c r="ER27" s="249">
        <v>47</v>
      </c>
      <c r="ES27" s="249">
        <v>1943</v>
      </c>
      <c r="ET27" s="249">
        <v>117</v>
      </c>
      <c r="EU27" s="249">
        <v>0</v>
      </c>
      <c r="EV27" s="249">
        <v>0</v>
      </c>
      <c r="EW27" s="249">
        <v>0</v>
      </c>
      <c r="EX27" s="249">
        <v>0</v>
      </c>
      <c r="EY27" s="249">
        <v>5355</v>
      </c>
      <c r="EZ27" s="249">
        <v>0</v>
      </c>
      <c r="FA27" s="249">
        <v>0</v>
      </c>
      <c r="FB27" s="249">
        <v>18740</v>
      </c>
      <c r="FC27" s="249">
        <v>70</v>
      </c>
      <c r="FD27" s="249">
        <v>1254</v>
      </c>
      <c r="FE27" s="249">
        <v>444</v>
      </c>
      <c r="FF27" s="249">
        <v>0</v>
      </c>
      <c r="FG27" s="249">
        <v>0</v>
      </c>
      <c r="FH27" s="249">
        <v>0</v>
      </c>
      <c r="FI27" s="249">
        <v>0</v>
      </c>
      <c r="FJ27" s="249">
        <v>0</v>
      </c>
      <c r="FK27" s="249">
        <v>1019219</v>
      </c>
    </row>
    <row r="28" spans="1:167" x14ac:dyDescent="0.25">
      <c r="A28" s="236" t="s">
        <v>31</v>
      </c>
      <c r="B28" s="246">
        <f t="shared" si="8"/>
        <v>364998</v>
      </c>
      <c r="C28" s="246">
        <f t="shared" si="8"/>
        <v>2585</v>
      </c>
      <c r="D28" s="246">
        <f t="shared" si="8"/>
        <v>2007</v>
      </c>
      <c r="E28" s="246">
        <f t="shared" si="8"/>
        <v>1660</v>
      </c>
      <c r="F28" s="246">
        <f t="shared" si="8"/>
        <v>1229</v>
      </c>
      <c r="G28" s="246">
        <f t="shared" si="8"/>
        <v>1563</v>
      </c>
      <c r="H28" s="246">
        <f t="shared" si="8"/>
        <v>37942</v>
      </c>
      <c r="I28" s="246">
        <f t="shared" si="8"/>
        <v>7277</v>
      </c>
      <c r="J28" s="246">
        <f t="shared" si="8"/>
        <v>1278</v>
      </c>
      <c r="K28" s="246">
        <f t="shared" si="8"/>
        <v>10446</v>
      </c>
      <c r="L28" s="246">
        <f t="shared" si="8"/>
        <v>9043</v>
      </c>
      <c r="M28" s="246">
        <f t="shared" si="8"/>
        <v>17862</v>
      </c>
      <c r="N28" s="246">
        <f t="shared" si="8"/>
        <v>4804</v>
      </c>
      <c r="O28" s="246">
        <f t="shared" si="8"/>
        <v>1412</v>
      </c>
      <c r="P28" s="246">
        <f t="shared" si="8"/>
        <v>29713</v>
      </c>
      <c r="Q28" s="246">
        <f t="shared" si="8"/>
        <v>2227</v>
      </c>
      <c r="R28" s="246">
        <f t="shared" si="9"/>
        <v>3775</v>
      </c>
      <c r="S28" s="246">
        <f t="shared" si="9"/>
        <v>221604</v>
      </c>
      <c r="T28" s="246">
        <f t="shared" si="9"/>
        <v>1911</v>
      </c>
      <c r="U28" s="246">
        <f t="shared" si="9"/>
        <v>9245</v>
      </c>
      <c r="V28" s="246">
        <f t="shared" si="9"/>
        <v>1245</v>
      </c>
      <c r="W28" s="246">
        <f t="shared" si="9"/>
        <v>57</v>
      </c>
      <c r="X28" s="246">
        <f t="shared" si="9"/>
        <v>5977</v>
      </c>
      <c r="Y28" s="246">
        <f t="shared" si="9"/>
        <v>1868</v>
      </c>
      <c r="Z28" s="246">
        <f t="shared" si="9"/>
        <v>49670</v>
      </c>
      <c r="AA28" s="246">
        <f t="shared" si="9"/>
        <v>1157</v>
      </c>
      <c r="AB28" s="246">
        <f t="shared" si="9"/>
        <v>731</v>
      </c>
      <c r="AC28" s="246">
        <f t="shared" si="9"/>
        <v>1140</v>
      </c>
      <c r="AD28" s="246">
        <f t="shared" si="9"/>
        <v>1069</v>
      </c>
      <c r="AE28" s="246">
        <f t="shared" si="9"/>
        <v>22472</v>
      </c>
      <c r="AF28" s="246">
        <f t="shared" si="9"/>
        <v>4228</v>
      </c>
      <c r="AG28" s="246">
        <f t="shared" si="9"/>
        <v>3731</v>
      </c>
      <c r="AH28" s="246">
        <f t="shared" si="10"/>
        <v>659</v>
      </c>
      <c r="AI28" s="246">
        <f t="shared" si="10"/>
        <v>851</v>
      </c>
      <c r="AJ28" s="246">
        <f t="shared" si="10"/>
        <v>880</v>
      </c>
      <c r="AK28" s="246">
        <f t="shared" si="10"/>
        <v>95735</v>
      </c>
      <c r="AL28" s="246">
        <f t="shared" si="10"/>
        <v>8916</v>
      </c>
      <c r="AM28" s="246">
        <f t="shared" si="10"/>
        <v>423</v>
      </c>
      <c r="AN28" s="246">
        <f t="shared" si="10"/>
        <v>1843</v>
      </c>
      <c r="AO28" s="246">
        <f t="shared" si="10"/>
        <v>29836</v>
      </c>
      <c r="AP28" s="246">
        <f t="shared" si="11"/>
        <v>14087</v>
      </c>
      <c r="AQ28" s="246">
        <f t="shared" si="11"/>
        <v>4704</v>
      </c>
      <c r="AR28" s="246">
        <f t="shared" si="11"/>
        <v>13393</v>
      </c>
      <c r="AS28" s="246">
        <f t="shared" si="11"/>
        <v>62506</v>
      </c>
      <c r="AT28" s="246">
        <f t="shared" si="11"/>
        <v>162135</v>
      </c>
      <c r="AU28" s="246">
        <f t="shared" si="11"/>
        <v>5307</v>
      </c>
      <c r="AV28" s="246">
        <f t="shared" si="11"/>
        <v>768246</v>
      </c>
      <c r="AW28" s="246">
        <f t="shared" si="11"/>
        <v>124281</v>
      </c>
      <c r="AX28" s="246">
        <f t="shared" si="11"/>
        <v>345785</v>
      </c>
      <c r="AY28" s="246">
        <f t="shared" si="11"/>
        <v>36003</v>
      </c>
      <c r="AZ28" s="246">
        <f t="shared" si="11"/>
        <v>3083</v>
      </c>
      <c r="BA28" s="246">
        <f t="shared" si="11"/>
        <v>49126</v>
      </c>
      <c r="BB28" s="246">
        <f t="shared" si="11"/>
        <v>39892</v>
      </c>
      <c r="BC28" s="246">
        <f t="shared" si="11"/>
        <v>2132884</v>
      </c>
      <c r="BD28" s="202"/>
      <c r="BE28" s="236" t="s">
        <v>31</v>
      </c>
      <c r="BF28" s="247">
        <v>104915</v>
      </c>
      <c r="BG28" s="247">
        <v>2254</v>
      </c>
      <c r="BH28" s="247">
        <v>1599</v>
      </c>
      <c r="BI28" s="247">
        <v>1623</v>
      </c>
      <c r="BJ28" s="247">
        <v>1224</v>
      </c>
      <c r="BK28" s="247">
        <v>1444</v>
      </c>
      <c r="BL28" s="247">
        <v>27554</v>
      </c>
      <c r="BM28" s="247">
        <v>6025</v>
      </c>
      <c r="BN28" s="247">
        <v>376</v>
      </c>
      <c r="BO28" s="247">
        <v>5833</v>
      </c>
      <c r="BP28" s="247">
        <v>5251</v>
      </c>
      <c r="BQ28" s="247">
        <v>9514</v>
      </c>
      <c r="BR28" s="247">
        <v>4234</v>
      </c>
      <c r="BS28" s="247">
        <v>1228</v>
      </c>
      <c r="BT28" s="247">
        <v>20176</v>
      </c>
      <c r="BU28" s="247">
        <v>1529</v>
      </c>
      <c r="BV28" s="247">
        <v>2597</v>
      </c>
      <c r="BW28" s="247">
        <v>6413</v>
      </c>
      <c r="BX28" s="247">
        <v>1546</v>
      </c>
      <c r="BY28" s="247">
        <v>6749</v>
      </c>
      <c r="BZ28" s="247">
        <v>1245</v>
      </c>
      <c r="CA28" s="247">
        <v>57</v>
      </c>
      <c r="CB28" s="247">
        <v>5720</v>
      </c>
      <c r="CC28" s="247">
        <v>1848</v>
      </c>
      <c r="CD28" s="247">
        <v>7049</v>
      </c>
      <c r="CE28" s="247">
        <v>949</v>
      </c>
      <c r="CF28" s="247">
        <v>267</v>
      </c>
      <c r="CG28" s="247">
        <v>432</v>
      </c>
      <c r="CH28" s="247">
        <v>1069</v>
      </c>
      <c r="CI28" s="247">
        <v>20235</v>
      </c>
      <c r="CJ28" s="247">
        <v>3947</v>
      </c>
      <c r="CK28" s="247">
        <v>3731</v>
      </c>
      <c r="CL28" s="247">
        <v>382</v>
      </c>
      <c r="CM28" s="247">
        <v>851</v>
      </c>
      <c r="CN28" s="247">
        <v>839</v>
      </c>
      <c r="CO28" s="247">
        <v>48621</v>
      </c>
      <c r="CP28" s="247">
        <v>8858</v>
      </c>
      <c r="CQ28" s="247">
        <v>423</v>
      </c>
      <c r="CR28" s="247">
        <v>1693</v>
      </c>
      <c r="CS28" s="247">
        <v>29836</v>
      </c>
      <c r="CT28" s="247">
        <v>14087</v>
      </c>
      <c r="CU28" s="247">
        <v>4264</v>
      </c>
      <c r="CV28" s="247">
        <v>13393</v>
      </c>
      <c r="CW28" s="247">
        <v>55857</v>
      </c>
      <c r="CX28" s="247">
        <v>98639</v>
      </c>
      <c r="CY28" s="247">
        <v>4969</v>
      </c>
      <c r="CZ28" s="247">
        <v>533478</v>
      </c>
      <c r="DA28" s="247">
        <v>23563</v>
      </c>
      <c r="DB28" s="247">
        <v>100056</v>
      </c>
      <c r="DC28" s="247">
        <v>30785</v>
      </c>
      <c r="DD28" s="247">
        <v>3083</v>
      </c>
      <c r="DE28" s="247">
        <v>48421</v>
      </c>
      <c r="DF28" s="247">
        <v>36584</v>
      </c>
      <c r="DG28" s="247">
        <v>1163779</v>
      </c>
      <c r="DH28" s="247"/>
      <c r="DI28" s="248" t="s">
        <v>31</v>
      </c>
      <c r="DJ28" s="249">
        <v>260083</v>
      </c>
      <c r="DK28" s="249">
        <v>331</v>
      </c>
      <c r="DL28" s="249">
        <v>408</v>
      </c>
      <c r="DM28" s="249">
        <v>37</v>
      </c>
      <c r="DN28" s="249">
        <v>5</v>
      </c>
      <c r="DO28" s="249">
        <v>119</v>
      </c>
      <c r="DP28" s="249">
        <v>10388</v>
      </c>
      <c r="DQ28" s="249">
        <v>1252</v>
      </c>
      <c r="DR28" s="249">
        <v>902</v>
      </c>
      <c r="DS28" s="249">
        <v>4613</v>
      </c>
      <c r="DT28" s="249">
        <v>3792</v>
      </c>
      <c r="DU28" s="249">
        <v>8348</v>
      </c>
      <c r="DV28" s="249">
        <v>570</v>
      </c>
      <c r="DW28" s="249">
        <v>184</v>
      </c>
      <c r="DX28" s="249">
        <v>9537</v>
      </c>
      <c r="DY28" s="249">
        <v>698</v>
      </c>
      <c r="DZ28" s="249">
        <v>1178</v>
      </c>
      <c r="EA28" s="249">
        <v>215191</v>
      </c>
      <c r="EB28" s="249">
        <v>365</v>
      </c>
      <c r="EC28" s="249">
        <v>2496</v>
      </c>
      <c r="ED28" s="249">
        <v>0</v>
      </c>
      <c r="EE28" s="249">
        <v>0</v>
      </c>
      <c r="EF28" s="249">
        <v>257</v>
      </c>
      <c r="EG28" s="249">
        <v>20</v>
      </c>
      <c r="EH28" s="249">
        <v>42621</v>
      </c>
      <c r="EI28" s="249">
        <v>208</v>
      </c>
      <c r="EJ28" s="249">
        <v>464</v>
      </c>
      <c r="EK28" s="249">
        <v>708</v>
      </c>
      <c r="EL28" s="249">
        <v>0</v>
      </c>
      <c r="EM28" s="249">
        <v>2237</v>
      </c>
      <c r="EN28" s="249">
        <v>281</v>
      </c>
      <c r="EO28" s="249">
        <v>0</v>
      </c>
      <c r="EP28" s="249">
        <v>277</v>
      </c>
      <c r="EQ28" s="249">
        <v>0</v>
      </c>
      <c r="ER28" s="249">
        <v>41</v>
      </c>
      <c r="ES28" s="249">
        <v>47114</v>
      </c>
      <c r="ET28" s="249">
        <v>58</v>
      </c>
      <c r="EU28" s="249">
        <v>0</v>
      </c>
      <c r="EV28" s="249">
        <v>150</v>
      </c>
      <c r="EW28" s="249">
        <v>0</v>
      </c>
      <c r="EX28" s="249">
        <v>0</v>
      </c>
      <c r="EY28" s="249">
        <v>440</v>
      </c>
      <c r="EZ28" s="249">
        <v>0</v>
      </c>
      <c r="FA28" s="249">
        <v>6649</v>
      </c>
      <c r="FB28" s="249">
        <v>63496</v>
      </c>
      <c r="FC28" s="249">
        <v>338</v>
      </c>
      <c r="FD28" s="249">
        <v>234768</v>
      </c>
      <c r="FE28" s="249">
        <v>100718</v>
      </c>
      <c r="FF28" s="249">
        <v>245729</v>
      </c>
      <c r="FG28" s="249">
        <v>5218</v>
      </c>
      <c r="FH28" s="249">
        <v>0</v>
      </c>
      <c r="FI28" s="249">
        <v>705</v>
      </c>
      <c r="FJ28" s="249">
        <v>3308</v>
      </c>
      <c r="FK28" s="249">
        <v>969105</v>
      </c>
    </row>
    <row r="29" spans="1:167" x14ac:dyDescent="0.25">
      <c r="A29" s="236" t="s">
        <v>30</v>
      </c>
      <c r="B29" s="246">
        <f t="shared" si="8"/>
        <v>239890</v>
      </c>
      <c r="C29" s="246">
        <f t="shared" si="8"/>
        <v>13524</v>
      </c>
      <c r="D29" s="246">
        <f t="shared" si="8"/>
        <v>724</v>
      </c>
      <c r="E29" s="246">
        <f t="shared" si="8"/>
        <v>521</v>
      </c>
      <c r="F29" s="246">
        <f t="shared" si="8"/>
        <v>2344</v>
      </c>
      <c r="G29" s="246">
        <f t="shared" si="8"/>
        <v>898</v>
      </c>
      <c r="H29" s="246">
        <f t="shared" si="8"/>
        <v>6736</v>
      </c>
      <c r="I29" s="246">
        <f t="shared" si="8"/>
        <v>6226</v>
      </c>
      <c r="J29" s="246">
        <f t="shared" si="8"/>
        <v>5882</v>
      </c>
      <c r="K29" s="246">
        <f t="shared" si="8"/>
        <v>1913</v>
      </c>
      <c r="L29" s="246">
        <f t="shared" si="8"/>
        <v>4148</v>
      </c>
      <c r="M29" s="246">
        <f t="shared" si="8"/>
        <v>5846</v>
      </c>
      <c r="N29" s="246">
        <f t="shared" si="8"/>
        <v>2790</v>
      </c>
      <c r="O29" s="246">
        <f t="shared" si="8"/>
        <v>354</v>
      </c>
      <c r="P29" s="246">
        <f t="shared" si="8"/>
        <v>66080</v>
      </c>
      <c r="Q29" s="246">
        <f t="shared" si="8"/>
        <v>1308</v>
      </c>
      <c r="R29" s="246">
        <f t="shared" si="9"/>
        <v>5372</v>
      </c>
      <c r="S29" s="246">
        <f t="shared" si="9"/>
        <v>121633</v>
      </c>
      <c r="T29" s="246">
        <f t="shared" si="9"/>
        <v>43</v>
      </c>
      <c r="U29" s="246">
        <f t="shared" si="9"/>
        <v>7072</v>
      </c>
      <c r="V29" s="246">
        <f t="shared" si="9"/>
        <v>1754</v>
      </c>
      <c r="W29" s="246">
        <f t="shared" si="9"/>
        <v>405</v>
      </c>
      <c r="X29" s="246">
        <f t="shared" si="9"/>
        <v>2535</v>
      </c>
      <c r="Y29" s="246">
        <f t="shared" si="9"/>
        <v>1028</v>
      </c>
      <c r="Z29" s="246">
        <f t="shared" si="9"/>
        <v>13402</v>
      </c>
      <c r="AA29" s="246">
        <f t="shared" si="9"/>
        <v>1617</v>
      </c>
      <c r="AB29" s="246">
        <f t="shared" si="9"/>
        <v>504</v>
      </c>
      <c r="AC29" s="246">
        <f t="shared" si="9"/>
        <v>430</v>
      </c>
      <c r="AD29" s="246">
        <f t="shared" si="9"/>
        <v>269</v>
      </c>
      <c r="AE29" s="246">
        <f t="shared" si="9"/>
        <v>16646</v>
      </c>
      <c r="AF29" s="246">
        <f t="shared" si="9"/>
        <v>783</v>
      </c>
      <c r="AG29" s="246">
        <f t="shared" si="9"/>
        <v>160</v>
      </c>
      <c r="AH29" s="246">
        <f t="shared" si="10"/>
        <v>74</v>
      </c>
      <c r="AI29" s="246">
        <f t="shared" si="10"/>
        <v>105</v>
      </c>
      <c r="AJ29" s="246">
        <f t="shared" si="10"/>
        <v>233</v>
      </c>
      <c r="AK29" s="246">
        <f t="shared" si="10"/>
        <v>39945</v>
      </c>
      <c r="AL29" s="246">
        <f t="shared" si="10"/>
        <v>11306</v>
      </c>
      <c r="AM29" s="246">
        <f t="shared" si="10"/>
        <v>563</v>
      </c>
      <c r="AN29" s="246">
        <f t="shared" si="10"/>
        <v>2446</v>
      </c>
      <c r="AO29" s="246">
        <f t="shared" si="10"/>
        <v>74536</v>
      </c>
      <c r="AP29" s="246">
        <f t="shared" si="11"/>
        <v>46174</v>
      </c>
      <c r="AQ29" s="246">
        <f t="shared" si="11"/>
        <v>15195</v>
      </c>
      <c r="AR29" s="246">
        <f t="shared" si="11"/>
        <v>20</v>
      </c>
      <c r="AS29" s="246">
        <f t="shared" si="11"/>
        <v>137681</v>
      </c>
      <c r="AT29" s="246">
        <f t="shared" si="11"/>
        <v>2092315</v>
      </c>
      <c r="AU29" s="246">
        <f t="shared" si="11"/>
        <v>1895</v>
      </c>
      <c r="AV29" s="246">
        <f t="shared" si="11"/>
        <v>31904</v>
      </c>
      <c r="AW29" s="246">
        <f t="shared" si="11"/>
        <v>1195</v>
      </c>
      <c r="AX29" s="246">
        <f t="shared" si="11"/>
        <v>8030</v>
      </c>
      <c r="AY29" s="246">
        <f t="shared" si="11"/>
        <v>6608</v>
      </c>
      <c r="AZ29" s="246">
        <f t="shared" si="11"/>
        <v>22</v>
      </c>
      <c r="BA29" s="246">
        <f t="shared" si="11"/>
        <v>2652</v>
      </c>
      <c r="BB29" s="246">
        <f t="shared" si="11"/>
        <v>5082</v>
      </c>
      <c r="BC29" s="246">
        <f t="shared" si="11"/>
        <v>2730983</v>
      </c>
      <c r="BD29" s="202"/>
      <c r="BE29" s="236" t="s">
        <v>30</v>
      </c>
      <c r="BF29" s="247">
        <v>69029</v>
      </c>
      <c r="BG29" s="247">
        <v>12778</v>
      </c>
      <c r="BH29" s="247">
        <v>397</v>
      </c>
      <c r="BI29" s="247">
        <v>200</v>
      </c>
      <c r="BJ29" s="247">
        <v>1125</v>
      </c>
      <c r="BK29" s="247">
        <v>478</v>
      </c>
      <c r="BL29" s="247">
        <v>2122</v>
      </c>
      <c r="BM29" s="247">
        <v>895</v>
      </c>
      <c r="BN29" s="247">
        <v>1</v>
      </c>
      <c r="BO29" s="247">
        <v>425</v>
      </c>
      <c r="BP29" s="247">
        <v>946</v>
      </c>
      <c r="BQ29" s="247">
        <v>3717</v>
      </c>
      <c r="BR29" s="247">
        <v>2579</v>
      </c>
      <c r="BS29" s="247">
        <v>158</v>
      </c>
      <c r="BT29" s="247">
        <v>46949</v>
      </c>
      <c r="BU29" s="247">
        <v>813</v>
      </c>
      <c r="BV29" s="247">
        <v>1699</v>
      </c>
      <c r="BW29" s="247">
        <v>1931</v>
      </c>
      <c r="BX29" s="247">
        <v>39</v>
      </c>
      <c r="BY29" s="247">
        <v>4555</v>
      </c>
      <c r="BZ29" s="247">
        <v>1754</v>
      </c>
      <c r="CA29" s="247">
        <v>402</v>
      </c>
      <c r="CB29" s="247">
        <v>2450</v>
      </c>
      <c r="CC29" s="247">
        <v>697</v>
      </c>
      <c r="CD29" s="247">
        <v>10545</v>
      </c>
      <c r="CE29" s="247">
        <v>1588</v>
      </c>
      <c r="CF29" s="247">
        <v>504</v>
      </c>
      <c r="CG29" s="247">
        <v>423</v>
      </c>
      <c r="CH29" s="247">
        <v>269</v>
      </c>
      <c r="CI29" s="247">
        <v>16616</v>
      </c>
      <c r="CJ29" s="247">
        <v>706</v>
      </c>
      <c r="CK29" s="247">
        <v>160</v>
      </c>
      <c r="CL29" s="247">
        <v>71</v>
      </c>
      <c r="CM29" s="247">
        <v>105</v>
      </c>
      <c r="CN29" s="247">
        <v>228</v>
      </c>
      <c r="CO29" s="247">
        <v>36518</v>
      </c>
      <c r="CP29" s="247">
        <v>11263</v>
      </c>
      <c r="CQ29" s="247">
        <v>563</v>
      </c>
      <c r="CR29" s="247">
        <v>2382</v>
      </c>
      <c r="CS29" s="247">
        <v>74536</v>
      </c>
      <c r="CT29" s="247">
        <v>46174</v>
      </c>
      <c r="CU29" s="247">
        <v>14373</v>
      </c>
      <c r="CV29" s="247">
        <v>20</v>
      </c>
      <c r="CW29" s="247">
        <v>127278</v>
      </c>
      <c r="CX29" s="247">
        <v>1107541</v>
      </c>
      <c r="CY29" s="247">
        <v>1895</v>
      </c>
      <c r="CZ29" s="247">
        <v>30079</v>
      </c>
      <c r="DA29" s="247">
        <v>448</v>
      </c>
      <c r="DB29" s="247">
        <v>8030</v>
      </c>
      <c r="DC29" s="247">
        <v>6608</v>
      </c>
      <c r="DD29" s="247">
        <v>22</v>
      </c>
      <c r="DE29" s="247">
        <v>2652</v>
      </c>
      <c r="DF29" s="247">
        <v>4234</v>
      </c>
      <c r="DG29" s="247">
        <v>1556423</v>
      </c>
      <c r="DH29" s="247"/>
      <c r="DI29" s="248" t="s">
        <v>30</v>
      </c>
      <c r="DJ29" s="249">
        <v>170861</v>
      </c>
      <c r="DK29" s="249">
        <v>746</v>
      </c>
      <c r="DL29" s="249">
        <v>327</v>
      </c>
      <c r="DM29" s="249">
        <v>321</v>
      </c>
      <c r="DN29" s="249">
        <v>1219</v>
      </c>
      <c r="DO29" s="249">
        <v>420</v>
      </c>
      <c r="DP29" s="249">
        <v>4614</v>
      </c>
      <c r="DQ29" s="249">
        <v>5331</v>
      </c>
      <c r="DR29" s="249">
        <v>5881</v>
      </c>
      <c r="DS29" s="249">
        <v>1488</v>
      </c>
      <c r="DT29" s="249">
        <v>3202</v>
      </c>
      <c r="DU29" s="249">
        <v>2129</v>
      </c>
      <c r="DV29" s="249">
        <v>211</v>
      </c>
      <c r="DW29" s="249">
        <v>196</v>
      </c>
      <c r="DX29" s="249">
        <v>19131</v>
      </c>
      <c r="DY29" s="249">
        <v>495</v>
      </c>
      <c r="DZ29" s="249">
        <v>3673</v>
      </c>
      <c r="EA29" s="249">
        <v>119702</v>
      </c>
      <c r="EB29" s="249">
        <v>4</v>
      </c>
      <c r="EC29" s="249">
        <v>2517</v>
      </c>
      <c r="ED29" s="249">
        <v>0</v>
      </c>
      <c r="EE29" s="249">
        <v>3</v>
      </c>
      <c r="EF29" s="249">
        <v>85</v>
      </c>
      <c r="EG29" s="249">
        <v>331</v>
      </c>
      <c r="EH29" s="249">
        <v>2857</v>
      </c>
      <c r="EI29" s="249">
        <v>29</v>
      </c>
      <c r="EJ29" s="249">
        <v>0</v>
      </c>
      <c r="EK29" s="249">
        <v>7</v>
      </c>
      <c r="EL29" s="249">
        <v>0</v>
      </c>
      <c r="EM29" s="249">
        <v>30</v>
      </c>
      <c r="EN29" s="249">
        <v>77</v>
      </c>
      <c r="EO29" s="249">
        <v>0</v>
      </c>
      <c r="EP29" s="249">
        <v>3</v>
      </c>
      <c r="EQ29" s="249">
        <v>0</v>
      </c>
      <c r="ER29" s="249">
        <v>5</v>
      </c>
      <c r="ES29" s="249">
        <v>3427</v>
      </c>
      <c r="ET29" s="249">
        <v>43</v>
      </c>
      <c r="EU29" s="249">
        <v>0</v>
      </c>
      <c r="EV29" s="249">
        <v>64</v>
      </c>
      <c r="EW29" s="249">
        <v>0</v>
      </c>
      <c r="EX29" s="249">
        <v>0</v>
      </c>
      <c r="EY29" s="249">
        <v>822</v>
      </c>
      <c r="EZ29" s="249">
        <v>0</v>
      </c>
      <c r="FA29" s="249">
        <v>10403</v>
      </c>
      <c r="FB29" s="249">
        <v>984774</v>
      </c>
      <c r="FC29" s="249">
        <v>0</v>
      </c>
      <c r="FD29" s="249">
        <v>1825</v>
      </c>
      <c r="FE29" s="249">
        <v>747</v>
      </c>
      <c r="FF29" s="249">
        <v>0</v>
      </c>
      <c r="FG29" s="249">
        <v>0</v>
      </c>
      <c r="FH29" s="249">
        <v>0</v>
      </c>
      <c r="FI29" s="249">
        <v>0</v>
      </c>
      <c r="FJ29" s="249">
        <v>848</v>
      </c>
      <c r="FK29" s="249">
        <v>1174560</v>
      </c>
    </row>
    <row r="30" spans="1:167" x14ac:dyDescent="0.25">
      <c r="A30" s="236" t="s">
        <v>29</v>
      </c>
      <c r="B30" s="246">
        <f t="shared" si="8"/>
        <v>1430945</v>
      </c>
      <c r="C30" s="246">
        <f t="shared" si="8"/>
        <v>67</v>
      </c>
      <c r="D30" s="246">
        <f t="shared" si="8"/>
        <v>24541</v>
      </c>
      <c r="E30" s="246">
        <f t="shared" si="8"/>
        <v>2043</v>
      </c>
      <c r="F30" s="246">
        <f t="shared" si="8"/>
        <v>3103</v>
      </c>
      <c r="G30" s="246">
        <f t="shared" si="8"/>
        <v>67855</v>
      </c>
      <c r="H30" s="246">
        <f t="shared" si="8"/>
        <v>359487</v>
      </c>
      <c r="I30" s="246">
        <f t="shared" si="8"/>
        <v>31192</v>
      </c>
      <c r="J30" s="246">
        <f t="shared" si="8"/>
        <v>4398</v>
      </c>
      <c r="K30" s="246">
        <f t="shared" si="8"/>
        <v>32943</v>
      </c>
      <c r="L30" s="246">
        <f t="shared" si="8"/>
        <v>14316</v>
      </c>
      <c r="M30" s="246">
        <f t="shared" si="8"/>
        <v>206009</v>
      </c>
      <c r="N30" s="246">
        <f t="shared" si="8"/>
        <v>235</v>
      </c>
      <c r="O30" s="246">
        <f t="shared" si="8"/>
        <v>7777</v>
      </c>
      <c r="P30" s="246">
        <f t="shared" si="8"/>
        <v>80164</v>
      </c>
      <c r="Q30" s="246">
        <f t="shared" si="8"/>
        <v>141448</v>
      </c>
      <c r="R30" s="246">
        <f t="shared" si="9"/>
        <v>93313</v>
      </c>
      <c r="S30" s="246">
        <f t="shared" si="9"/>
        <v>322727</v>
      </c>
      <c r="T30" s="246">
        <f t="shared" si="9"/>
        <v>11993</v>
      </c>
      <c r="U30" s="246">
        <f t="shared" si="9"/>
        <v>27401</v>
      </c>
      <c r="V30" s="246">
        <f t="shared" si="9"/>
        <v>225397</v>
      </c>
      <c r="W30" s="246">
        <f t="shared" si="9"/>
        <v>4046</v>
      </c>
      <c r="X30" s="246">
        <f t="shared" si="9"/>
        <v>22987</v>
      </c>
      <c r="Y30" s="246">
        <f t="shared" si="9"/>
        <v>2786</v>
      </c>
      <c r="Z30" s="246">
        <f t="shared" si="9"/>
        <v>2967</v>
      </c>
      <c r="AA30" s="246">
        <f t="shared" si="9"/>
        <v>28425</v>
      </c>
      <c r="AB30" s="246">
        <f t="shared" si="9"/>
        <v>11479</v>
      </c>
      <c r="AC30" s="246">
        <f t="shared" si="9"/>
        <v>844</v>
      </c>
      <c r="AD30" s="246">
        <f t="shared" si="9"/>
        <v>772</v>
      </c>
      <c r="AE30" s="246">
        <f t="shared" si="9"/>
        <v>32282</v>
      </c>
      <c r="AF30" s="246">
        <f t="shared" si="9"/>
        <v>874</v>
      </c>
      <c r="AG30" s="246">
        <f t="shared" si="9"/>
        <v>5317</v>
      </c>
      <c r="AH30" s="246">
        <f t="shared" si="10"/>
        <v>2577</v>
      </c>
      <c r="AI30" s="246">
        <f t="shared" si="10"/>
        <v>2371</v>
      </c>
      <c r="AJ30" s="246">
        <f t="shared" si="10"/>
        <v>1160</v>
      </c>
      <c r="AK30" s="246">
        <f t="shared" si="10"/>
        <v>344284</v>
      </c>
      <c r="AL30" s="246">
        <f t="shared" si="10"/>
        <v>24168</v>
      </c>
      <c r="AM30" s="246">
        <f t="shared" si="10"/>
        <v>84230</v>
      </c>
      <c r="AN30" s="246">
        <f t="shared" si="10"/>
        <v>7184</v>
      </c>
      <c r="AO30" s="246">
        <f t="shared" si="10"/>
        <v>16551</v>
      </c>
      <c r="AP30" s="246">
        <f t="shared" si="11"/>
        <v>17288</v>
      </c>
      <c r="AQ30" s="246">
        <f t="shared" si="11"/>
        <v>6729</v>
      </c>
      <c r="AR30" s="246">
        <f t="shared" si="11"/>
        <v>18632</v>
      </c>
      <c r="AS30" s="246">
        <f t="shared" si="11"/>
        <v>9535</v>
      </c>
      <c r="AT30" s="246">
        <f t="shared" si="11"/>
        <v>35570</v>
      </c>
      <c r="AU30" s="246">
        <f t="shared" si="11"/>
        <v>973</v>
      </c>
      <c r="AV30" s="246">
        <f t="shared" si="11"/>
        <v>16605</v>
      </c>
      <c r="AW30" s="246">
        <f t="shared" si="11"/>
        <v>5643</v>
      </c>
      <c r="AX30" s="246">
        <f t="shared" si="11"/>
        <v>9524</v>
      </c>
      <c r="AY30" s="246">
        <f t="shared" si="11"/>
        <v>0</v>
      </c>
      <c r="AZ30" s="246">
        <f t="shared" si="11"/>
        <v>355</v>
      </c>
      <c r="BA30" s="246">
        <f t="shared" si="11"/>
        <v>458</v>
      </c>
      <c r="BB30" s="246">
        <f t="shared" si="11"/>
        <v>137810</v>
      </c>
      <c r="BC30" s="246">
        <f t="shared" si="11"/>
        <v>2166551</v>
      </c>
      <c r="BD30" s="202"/>
      <c r="BE30" s="236" t="s">
        <v>29</v>
      </c>
      <c r="BF30" s="247">
        <v>758942</v>
      </c>
      <c r="BG30" s="247">
        <v>67</v>
      </c>
      <c r="BH30" s="247">
        <v>17694</v>
      </c>
      <c r="BI30" s="247">
        <v>1197</v>
      </c>
      <c r="BJ30" s="247">
        <v>2353</v>
      </c>
      <c r="BK30" s="247">
        <v>59460</v>
      </c>
      <c r="BL30" s="247">
        <v>240113</v>
      </c>
      <c r="BM30" s="247">
        <v>15269</v>
      </c>
      <c r="BN30" s="247">
        <v>523</v>
      </c>
      <c r="BO30" s="247">
        <v>14630</v>
      </c>
      <c r="BP30" s="247">
        <v>8038</v>
      </c>
      <c r="BQ30" s="247">
        <v>141092</v>
      </c>
      <c r="BR30" s="247">
        <v>96</v>
      </c>
      <c r="BS30" s="247">
        <v>3853</v>
      </c>
      <c r="BT30" s="247">
        <v>49586</v>
      </c>
      <c r="BU30" s="247">
        <v>94117</v>
      </c>
      <c r="BV30" s="247">
        <v>61862</v>
      </c>
      <c r="BW30" s="247">
        <v>21487</v>
      </c>
      <c r="BX30" s="247">
        <v>10544</v>
      </c>
      <c r="BY30" s="247">
        <v>17028</v>
      </c>
      <c r="BZ30" s="247">
        <v>225397</v>
      </c>
      <c r="CA30" s="247">
        <v>4046</v>
      </c>
      <c r="CB30" s="247">
        <v>22987</v>
      </c>
      <c r="CC30" s="247">
        <v>2478</v>
      </c>
      <c r="CD30" s="247">
        <v>793</v>
      </c>
      <c r="CE30" s="247">
        <v>25880</v>
      </c>
      <c r="CF30" s="247">
        <v>11216</v>
      </c>
      <c r="CG30" s="247">
        <v>257</v>
      </c>
      <c r="CH30" s="247">
        <v>772</v>
      </c>
      <c r="CI30" s="247">
        <v>32282</v>
      </c>
      <c r="CJ30" s="247">
        <v>874</v>
      </c>
      <c r="CK30" s="247">
        <v>5317</v>
      </c>
      <c r="CL30" s="247">
        <v>2577</v>
      </c>
      <c r="CM30" s="247">
        <v>2371</v>
      </c>
      <c r="CN30" s="247">
        <v>1160</v>
      </c>
      <c r="CO30" s="247">
        <v>338407</v>
      </c>
      <c r="CP30" s="247">
        <v>24168</v>
      </c>
      <c r="CQ30" s="247">
        <v>83898</v>
      </c>
      <c r="CR30" s="247">
        <v>7021</v>
      </c>
      <c r="CS30" s="247">
        <v>16551</v>
      </c>
      <c r="CT30" s="247">
        <v>17288</v>
      </c>
      <c r="CU30" s="247">
        <v>6729</v>
      </c>
      <c r="CV30" s="247">
        <v>18576</v>
      </c>
      <c r="CW30" s="247">
        <v>8938</v>
      </c>
      <c r="CX30" s="247">
        <v>34950</v>
      </c>
      <c r="CY30" s="247">
        <v>971</v>
      </c>
      <c r="CZ30" s="247">
        <v>16605</v>
      </c>
      <c r="DA30" s="247">
        <v>5643</v>
      </c>
      <c r="DB30" s="247">
        <v>9524</v>
      </c>
      <c r="DC30" s="247">
        <v>0</v>
      </c>
      <c r="DD30" s="247">
        <v>355</v>
      </c>
      <c r="DE30" s="247">
        <v>458</v>
      </c>
      <c r="DF30" s="247">
        <v>137810</v>
      </c>
      <c r="DG30" s="247">
        <v>1486901</v>
      </c>
      <c r="DH30" s="247"/>
      <c r="DI30" s="248" t="s">
        <v>29</v>
      </c>
      <c r="DJ30" s="249">
        <v>672003</v>
      </c>
      <c r="DK30" s="249">
        <v>0</v>
      </c>
      <c r="DL30" s="249">
        <v>6847</v>
      </c>
      <c r="DM30" s="249">
        <v>846</v>
      </c>
      <c r="DN30" s="249">
        <v>750</v>
      </c>
      <c r="DO30" s="249">
        <v>8395</v>
      </c>
      <c r="DP30" s="249">
        <v>119374</v>
      </c>
      <c r="DQ30" s="249">
        <v>15923</v>
      </c>
      <c r="DR30" s="249">
        <v>3875</v>
      </c>
      <c r="DS30" s="249">
        <v>18313</v>
      </c>
      <c r="DT30" s="249">
        <v>6278</v>
      </c>
      <c r="DU30" s="249">
        <v>64917</v>
      </c>
      <c r="DV30" s="249">
        <v>139</v>
      </c>
      <c r="DW30" s="249">
        <v>3924</v>
      </c>
      <c r="DX30" s="249">
        <v>30578</v>
      </c>
      <c r="DY30" s="249">
        <v>47331</v>
      </c>
      <c r="DZ30" s="249">
        <v>31451</v>
      </c>
      <c r="EA30" s="249">
        <v>301240</v>
      </c>
      <c r="EB30" s="249">
        <v>1449</v>
      </c>
      <c r="EC30" s="249">
        <v>10373</v>
      </c>
      <c r="ED30" s="249">
        <v>0</v>
      </c>
      <c r="EE30" s="249">
        <v>0</v>
      </c>
      <c r="EF30" s="249">
        <v>0</v>
      </c>
      <c r="EG30" s="249">
        <v>308</v>
      </c>
      <c r="EH30" s="249">
        <v>2174</v>
      </c>
      <c r="EI30" s="249">
        <v>2545</v>
      </c>
      <c r="EJ30" s="249">
        <v>263</v>
      </c>
      <c r="EK30" s="249">
        <v>587</v>
      </c>
      <c r="EL30" s="249">
        <v>0</v>
      </c>
      <c r="EM30" s="249">
        <v>0</v>
      </c>
      <c r="EN30" s="249">
        <v>0</v>
      </c>
      <c r="EO30" s="249">
        <v>0</v>
      </c>
      <c r="EP30" s="249">
        <v>0</v>
      </c>
      <c r="EQ30" s="249">
        <v>0</v>
      </c>
      <c r="ER30" s="249">
        <v>0</v>
      </c>
      <c r="ES30" s="249">
        <v>5877</v>
      </c>
      <c r="ET30" s="249">
        <v>0</v>
      </c>
      <c r="EU30" s="249">
        <v>332</v>
      </c>
      <c r="EV30" s="249">
        <v>163</v>
      </c>
      <c r="EW30" s="249">
        <v>0</v>
      </c>
      <c r="EX30" s="249">
        <v>0</v>
      </c>
      <c r="EY30" s="249">
        <v>0</v>
      </c>
      <c r="EZ30" s="249">
        <v>56</v>
      </c>
      <c r="FA30" s="249">
        <v>597</v>
      </c>
      <c r="FB30" s="249">
        <v>620</v>
      </c>
      <c r="FC30" s="249">
        <v>2</v>
      </c>
      <c r="FD30" s="249">
        <v>0</v>
      </c>
      <c r="FE30" s="249">
        <v>0</v>
      </c>
      <c r="FF30" s="249">
        <v>0</v>
      </c>
      <c r="FG30" s="249">
        <v>0</v>
      </c>
      <c r="FH30" s="249">
        <v>0</v>
      </c>
      <c r="FI30" s="249">
        <v>0</v>
      </c>
      <c r="FJ30" s="249">
        <v>0</v>
      </c>
      <c r="FK30" s="249">
        <v>679650</v>
      </c>
    </row>
    <row r="31" spans="1:167" x14ac:dyDescent="0.25">
      <c r="A31" s="236" t="s">
        <v>28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02"/>
      <c r="BE31" s="236" t="s">
        <v>28</v>
      </c>
      <c r="BF31" s="247" t="s">
        <v>27</v>
      </c>
      <c r="BG31" s="247" t="s">
        <v>27</v>
      </c>
      <c r="BH31" s="247" t="s">
        <v>27</v>
      </c>
      <c r="BI31" s="247" t="s">
        <v>27</v>
      </c>
      <c r="BJ31" s="247" t="s">
        <v>27</v>
      </c>
      <c r="BK31" s="247" t="s">
        <v>27</v>
      </c>
      <c r="BL31" s="247" t="s">
        <v>27</v>
      </c>
      <c r="BM31" s="247" t="s">
        <v>27</v>
      </c>
      <c r="BN31" s="247" t="s">
        <v>27</v>
      </c>
      <c r="BO31" s="247" t="s">
        <v>27</v>
      </c>
      <c r="BP31" s="247" t="s">
        <v>27</v>
      </c>
      <c r="BQ31" s="247" t="s">
        <v>27</v>
      </c>
      <c r="BR31" s="247" t="s">
        <v>27</v>
      </c>
      <c r="BS31" s="247" t="s">
        <v>27</v>
      </c>
      <c r="BT31" s="247" t="s">
        <v>27</v>
      </c>
      <c r="BU31" s="247" t="s">
        <v>27</v>
      </c>
      <c r="BV31" s="247" t="s">
        <v>27</v>
      </c>
      <c r="BW31" s="247" t="s">
        <v>27</v>
      </c>
      <c r="BX31" s="247" t="s">
        <v>27</v>
      </c>
      <c r="BY31" s="247" t="s">
        <v>27</v>
      </c>
      <c r="BZ31" s="247" t="s">
        <v>27</v>
      </c>
      <c r="CA31" s="247" t="s">
        <v>27</v>
      </c>
      <c r="CB31" s="247" t="s">
        <v>27</v>
      </c>
      <c r="CC31" s="247" t="s">
        <v>27</v>
      </c>
      <c r="CD31" s="247" t="s">
        <v>27</v>
      </c>
      <c r="CE31" s="247" t="s">
        <v>27</v>
      </c>
      <c r="CF31" s="247" t="s">
        <v>27</v>
      </c>
      <c r="CG31" s="247" t="s">
        <v>27</v>
      </c>
      <c r="CH31" s="247" t="s">
        <v>27</v>
      </c>
      <c r="CI31" s="247" t="s">
        <v>27</v>
      </c>
      <c r="CJ31" s="247" t="s">
        <v>27</v>
      </c>
      <c r="CK31" s="247" t="s">
        <v>27</v>
      </c>
      <c r="CL31" s="247" t="s">
        <v>27</v>
      </c>
      <c r="CM31" s="247" t="s">
        <v>27</v>
      </c>
      <c r="CN31" s="247" t="s">
        <v>27</v>
      </c>
      <c r="CO31" s="247" t="s">
        <v>27</v>
      </c>
      <c r="CP31" s="247" t="s">
        <v>27</v>
      </c>
      <c r="CQ31" s="247" t="s">
        <v>27</v>
      </c>
      <c r="CR31" s="247" t="s">
        <v>27</v>
      </c>
      <c r="CS31" s="247" t="s">
        <v>27</v>
      </c>
      <c r="CT31" s="247" t="s">
        <v>27</v>
      </c>
      <c r="CU31" s="247" t="s">
        <v>27</v>
      </c>
      <c r="CV31" s="247" t="s">
        <v>27</v>
      </c>
      <c r="CW31" s="247" t="s">
        <v>27</v>
      </c>
      <c r="CX31" s="247" t="s">
        <v>27</v>
      </c>
      <c r="CY31" s="247" t="s">
        <v>27</v>
      </c>
      <c r="CZ31" s="247" t="s">
        <v>27</v>
      </c>
      <c r="DA31" s="247" t="s">
        <v>27</v>
      </c>
      <c r="DB31" s="247" t="s">
        <v>27</v>
      </c>
      <c r="DC31" s="247" t="s">
        <v>27</v>
      </c>
      <c r="DD31" s="247" t="s">
        <v>27</v>
      </c>
      <c r="DE31" s="247" t="s">
        <v>27</v>
      </c>
      <c r="DF31" s="247" t="s">
        <v>27</v>
      </c>
      <c r="DG31" s="247" t="s">
        <v>27</v>
      </c>
      <c r="DH31" s="250"/>
      <c r="DI31" s="248" t="s">
        <v>28</v>
      </c>
      <c r="DJ31" s="249" t="s">
        <v>27</v>
      </c>
      <c r="DK31" s="249" t="s">
        <v>27</v>
      </c>
      <c r="DL31" s="249" t="s">
        <v>27</v>
      </c>
      <c r="DM31" s="249" t="s">
        <v>27</v>
      </c>
      <c r="DN31" s="249" t="s">
        <v>27</v>
      </c>
      <c r="DO31" s="249" t="s">
        <v>27</v>
      </c>
      <c r="DP31" s="249" t="s">
        <v>27</v>
      </c>
      <c r="DQ31" s="249" t="s">
        <v>27</v>
      </c>
      <c r="DR31" s="249" t="s">
        <v>27</v>
      </c>
      <c r="DS31" s="249" t="s">
        <v>27</v>
      </c>
      <c r="DT31" s="249" t="s">
        <v>27</v>
      </c>
      <c r="DU31" s="249" t="s">
        <v>27</v>
      </c>
      <c r="DV31" s="249" t="s">
        <v>27</v>
      </c>
      <c r="DW31" s="249" t="s">
        <v>27</v>
      </c>
      <c r="DX31" s="249" t="s">
        <v>27</v>
      </c>
      <c r="DY31" s="249" t="s">
        <v>27</v>
      </c>
      <c r="DZ31" s="249" t="s">
        <v>27</v>
      </c>
      <c r="EA31" s="249" t="s">
        <v>27</v>
      </c>
      <c r="EB31" s="249" t="s">
        <v>27</v>
      </c>
      <c r="EC31" s="249" t="s">
        <v>27</v>
      </c>
      <c r="ED31" s="249" t="s">
        <v>27</v>
      </c>
      <c r="EE31" s="249" t="s">
        <v>27</v>
      </c>
      <c r="EF31" s="249" t="s">
        <v>27</v>
      </c>
      <c r="EG31" s="249" t="s">
        <v>27</v>
      </c>
      <c r="EH31" s="249" t="s">
        <v>27</v>
      </c>
      <c r="EI31" s="249" t="s">
        <v>27</v>
      </c>
      <c r="EJ31" s="249" t="s">
        <v>27</v>
      </c>
      <c r="EK31" s="249" t="s">
        <v>27</v>
      </c>
      <c r="EL31" s="249" t="s">
        <v>27</v>
      </c>
      <c r="EM31" s="249" t="s">
        <v>27</v>
      </c>
      <c r="EN31" s="249" t="s">
        <v>27</v>
      </c>
      <c r="EO31" s="249" t="s">
        <v>27</v>
      </c>
      <c r="EP31" s="249" t="s">
        <v>27</v>
      </c>
      <c r="EQ31" s="249" t="s">
        <v>27</v>
      </c>
      <c r="ER31" s="249" t="s">
        <v>27</v>
      </c>
      <c r="ES31" s="249" t="s">
        <v>27</v>
      </c>
      <c r="ET31" s="249" t="s">
        <v>27</v>
      </c>
      <c r="EU31" s="249" t="s">
        <v>27</v>
      </c>
      <c r="EV31" s="249" t="s">
        <v>27</v>
      </c>
      <c r="EW31" s="249" t="s">
        <v>27</v>
      </c>
      <c r="EX31" s="249" t="s">
        <v>27</v>
      </c>
      <c r="EY31" s="249" t="s">
        <v>27</v>
      </c>
      <c r="EZ31" s="249" t="s">
        <v>27</v>
      </c>
      <c r="FA31" s="249" t="s">
        <v>27</v>
      </c>
      <c r="FB31" s="249" t="s">
        <v>27</v>
      </c>
      <c r="FC31" s="249" t="s">
        <v>27</v>
      </c>
      <c r="FD31" s="249" t="s">
        <v>27</v>
      </c>
      <c r="FE31" s="249" t="s">
        <v>27</v>
      </c>
      <c r="FF31" s="249" t="s">
        <v>27</v>
      </c>
      <c r="FG31" s="249" t="s">
        <v>27</v>
      </c>
      <c r="FH31" s="249" t="s">
        <v>27</v>
      </c>
      <c r="FI31" s="249" t="s">
        <v>27</v>
      </c>
      <c r="FJ31" s="249" t="s">
        <v>27</v>
      </c>
      <c r="FK31" s="249" t="s">
        <v>27</v>
      </c>
    </row>
    <row r="32" spans="1:167" x14ac:dyDescent="0.25">
      <c r="A32" s="236" t="s">
        <v>26</v>
      </c>
      <c r="B32" s="246">
        <f t="shared" ref="B32:Q45" si="12">BF32+DJ32</f>
        <v>25963</v>
      </c>
      <c r="C32" s="246">
        <f t="shared" si="12"/>
        <v>1629</v>
      </c>
      <c r="D32" s="246">
        <f t="shared" si="12"/>
        <v>67</v>
      </c>
      <c r="E32" s="246">
        <f t="shared" si="12"/>
        <v>142</v>
      </c>
      <c r="F32" s="246">
        <f t="shared" si="12"/>
        <v>168</v>
      </c>
      <c r="G32" s="246">
        <f t="shared" si="12"/>
        <v>1545</v>
      </c>
      <c r="H32" s="246">
        <f t="shared" si="12"/>
        <v>1710</v>
      </c>
      <c r="I32" s="246">
        <f t="shared" si="12"/>
        <v>604</v>
      </c>
      <c r="J32" s="246">
        <f t="shared" si="12"/>
        <v>33</v>
      </c>
      <c r="K32" s="246">
        <f t="shared" si="12"/>
        <v>405</v>
      </c>
      <c r="L32" s="246">
        <f t="shared" si="12"/>
        <v>1756</v>
      </c>
      <c r="M32" s="246">
        <f t="shared" si="12"/>
        <v>1033</v>
      </c>
      <c r="N32" s="246">
        <f t="shared" si="12"/>
        <v>15187</v>
      </c>
      <c r="O32" s="246">
        <f t="shared" si="12"/>
        <v>136</v>
      </c>
      <c r="P32" s="246">
        <f t="shared" si="12"/>
        <v>786</v>
      </c>
      <c r="Q32" s="246">
        <f t="shared" si="12"/>
        <v>174</v>
      </c>
      <c r="R32" s="246">
        <f t="shared" ref="R32:AG45" si="13">BV32+DZ32</f>
        <v>151</v>
      </c>
      <c r="S32" s="246">
        <f t="shared" si="13"/>
        <v>219</v>
      </c>
      <c r="T32" s="246">
        <f t="shared" si="13"/>
        <v>31</v>
      </c>
      <c r="U32" s="246">
        <f t="shared" si="13"/>
        <v>1816</v>
      </c>
      <c r="V32" s="246">
        <f t="shared" si="13"/>
        <v>4081</v>
      </c>
      <c r="W32" s="246">
        <f t="shared" si="13"/>
        <v>117</v>
      </c>
      <c r="X32" s="246">
        <f t="shared" si="13"/>
        <v>2514</v>
      </c>
      <c r="Y32" s="246">
        <f t="shared" si="13"/>
        <v>100</v>
      </c>
      <c r="Z32" s="246">
        <f t="shared" si="13"/>
        <v>284</v>
      </c>
      <c r="AA32" s="246">
        <f t="shared" si="13"/>
        <v>185</v>
      </c>
      <c r="AB32" s="246">
        <f t="shared" si="13"/>
        <v>38</v>
      </c>
      <c r="AC32" s="246">
        <f t="shared" si="13"/>
        <v>0</v>
      </c>
      <c r="AD32" s="246">
        <f t="shared" si="13"/>
        <v>1653</v>
      </c>
      <c r="AE32" s="246">
        <f t="shared" si="13"/>
        <v>1439</v>
      </c>
      <c r="AF32" s="246">
        <f t="shared" si="13"/>
        <v>2903</v>
      </c>
      <c r="AG32" s="246">
        <f t="shared" si="13"/>
        <v>1280</v>
      </c>
      <c r="AH32" s="246">
        <f t="shared" ref="AH32:AW45" si="14">CL32+EP32</f>
        <v>28</v>
      </c>
      <c r="AI32" s="246">
        <f t="shared" si="14"/>
        <v>32</v>
      </c>
      <c r="AJ32" s="246">
        <f t="shared" si="14"/>
        <v>566</v>
      </c>
      <c r="AK32" s="246">
        <f t="shared" si="14"/>
        <v>15220</v>
      </c>
      <c r="AL32" s="246">
        <f t="shared" si="14"/>
        <v>543</v>
      </c>
      <c r="AM32" s="246">
        <f t="shared" si="14"/>
        <v>138</v>
      </c>
      <c r="AN32" s="246">
        <f t="shared" si="14"/>
        <v>301</v>
      </c>
      <c r="AO32" s="246">
        <f t="shared" si="14"/>
        <v>406</v>
      </c>
      <c r="AP32" s="246">
        <f t="shared" si="14"/>
        <v>2188</v>
      </c>
      <c r="AQ32" s="246">
        <f t="shared" si="14"/>
        <v>36</v>
      </c>
      <c r="AR32" s="246">
        <f t="shared" si="14"/>
        <v>0</v>
      </c>
      <c r="AS32" s="246">
        <f t="shared" si="14"/>
        <v>2276</v>
      </c>
      <c r="AT32" s="246">
        <f t="shared" si="14"/>
        <v>6957</v>
      </c>
      <c r="AU32" s="246">
        <f t="shared" si="14"/>
        <v>9908</v>
      </c>
      <c r="AV32" s="246">
        <f t="shared" si="14"/>
        <v>138</v>
      </c>
      <c r="AW32" s="246">
        <f t="shared" si="14"/>
        <v>69</v>
      </c>
      <c r="AX32" s="246">
        <f t="shared" ref="AX32:BC45" si="15">DB32+FF32</f>
        <v>28</v>
      </c>
      <c r="AY32" s="246">
        <f t="shared" si="15"/>
        <v>0</v>
      </c>
      <c r="AZ32" s="246">
        <f t="shared" si="15"/>
        <v>1</v>
      </c>
      <c r="BA32" s="246">
        <f t="shared" si="15"/>
        <v>127</v>
      </c>
      <c r="BB32" s="246">
        <f t="shared" si="15"/>
        <v>1516</v>
      </c>
      <c r="BC32" s="246">
        <f t="shared" si="15"/>
        <v>67444</v>
      </c>
      <c r="BD32" s="202"/>
      <c r="BE32" s="236" t="s">
        <v>26</v>
      </c>
      <c r="BF32" s="247">
        <v>23891</v>
      </c>
      <c r="BG32" s="247">
        <v>1623</v>
      </c>
      <c r="BH32" s="247">
        <v>59</v>
      </c>
      <c r="BI32" s="247">
        <v>121</v>
      </c>
      <c r="BJ32" s="247">
        <v>166</v>
      </c>
      <c r="BK32" s="247">
        <v>1498</v>
      </c>
      <c r="BL32" s="247">
        <v>1505</v>
      </c>
      <c r="BM32" s="247">
        <v>534</v>
      </c>
      <c r="BN32" s="247">
        <v>22</v>
      </c>
      <c r="BO32" s="247">
        <v>317</v>
      </c>
      <c r="BP32" s="247">
        <v>1461</v>
      </c>
      <c r="BQ32" s="247">
        <v>946</v>
      </c>
      <c r="BR32" s="247">
        <v>14364</v>
      </c>
      <c r="BS32" s="247">
        <v>101</v>
      </c>
      <c r="BT32" s="247">
        <v>693</v>
      </c>
      <c r="BU32" s="247">
        <v>173</v>
      </c>
      <c r="BV32" s="247">
        <v>146</v>
      </c>
      <c r="BW32" s="247">
        <v>69</v>
      </c>
      <c r="BX32" s="247">
        <v>19</v>
      </c>
      <c r="BY32" s="247">
        <v>1697</v>
      </c>
      <c r="BZ32" s="247">
        <v>4081</v>
      </c>
      <c r="CA32" s="247">
        <v>117</v>
      </c>
      <c r="CB32" s="247">
        <v>2514</v>
      </c>
      <c r="CC32" s="247">
        <v>100</v>
      </c>
      <c r="CD32" s="247">
        <v>122</v>
      </c>
      <c r="CE32" s="247">
        <v>185</v>
      </c>
      <c r="CF32" s="247">
        <v>38</v>
      </c>
      <c r="CG32" s="247">
        <v>0</v>
      </c>
      <c r="CH32" s="247">
        <v>1653</v>
      </c>
      <c r="CI32" s="247">
        <v>1439</v>
      </c>
      <c r="CJ32" s="247">
        <v>2532</v>
      </c>
      <c r="CK32" s="247">
        <v>1280</v>
      </c>
      <c r="CL32" s="247">
        <v>28</v>
      </c>
      <c r="CM32" s="247">
        <v>32</v>
      </c>
      <c r="CN32" s="247">
        <v>566</v>
      </c>
      <c r="CO32" s="247">
        <v>14687</v>
      </c>
      <c r="CP32" s="247">
        <v>543</v>
      </c>
      <c r="CQ32" s="247">
        <v>138</v>
      </c>
      <c r="CR32" s="247">
        <v>301</v>
      </c>
      <c r="CS32" s="247">
        <v>406</v>
      </c>
      <c r="CT32" s="247">
        <v>2188</v>
      </c>
      <c r="CU32" s="247">
        <v>36</v>
      </c>
      <c r="CV32" s="247">
        <v>0</v>
      </c>
      <c r="CW32" s="247">
        <v>2270</v>
      </c>
      <c r="CX32" s="247">
        <v>6130</v>
      </c>
      <c r="CY32" s="247">
        <v>9798</v>
      </c>
      <c r="CZ32" s="247">
        <v>138</v>
      </c>
      <c r="DA32" s="247">
        <v>14</v>
      </c>
      <c r="DB32" s="247">
        <v>28</v>
      </c>
      <c r="DC32" s="247">
        <v>0</v>
      </c>
      <c r="DD32" s="247">
        <v>1</v>
      </c>
      <c r="DE32" s="247">
        <v>127</v>
      </c>
      <c r="DF32" s="247">
        <v>1516</v>
      </c>
      <c r="DG32" s="247">
        <v>63835</v>
      </c>
      <c r="DH32" s="247"/>
      <c r="DI32" s="248" t="s">
        <v>26</v>
      </c>
      <c r="DJ32" s="249">
        <v>2072</v>
      </c>
      <c r="DK32" s="249">
        <v>6</v>
      </c>
      <c r="DL32" s="249">
        <v>8</v>
      </c>
      <c r="DM32" s="249">
        <v>21</v>
      </c>
      <c r="DN32" s="249">
        <v>2</v>
      </c>
      <c r="DO32" s="249">
        <v>47</v>
      </c>
      <c r="DP32" s="249">
        <v>205</v>
      </c>
      <c r="DQ32" s="249">
        <v>70</v>
      </c>
      <c r="DR32" s="249">
        <v>11</v>
      </c>
      <c r="DS32" s="249">
        <v>88</v>
      </c>
      <c r="DT32" s="249">
        <v>295</v>
      </c>
      <c r="DU32" s="249">
        <v>87</v>
      </c>
      <c r="DV32" s="249">
        <v>823</v>
      </c>
      <c r="DW32" s="249">
        <v>35</v>
      </c>
      <c r="DX32" s="249">
        <v>93</v>
      </c>
      <c r="DY32" s="249">
        <v>1</v>
      </c>
      <c r="DZ32" s="249">
        <v>5</v>
      </c>
      <c r="EA32" s="249">
        <v>150</v>
      </c>
      <c r="EB32" s="249">
        <v>12</v>
      </c>
      <c r="EC32" s="249">
        <v>119</v>
      </c>
      <c r="ED32" s="249">
        <v>0</v>
      </c>
      <c r="EE32" s="249">
        <v>0</v>
      </c>
      <c r="EF32" s="249">
        <v>0</v>
      </c>
      <c r="EG32" s="249">
        <v>0</v>
      </c>
      <c r="EH32" s="249">
        <v>162</v>
      </c>
      <c r="EI32" s="249">
        <v>0</v>
      </c>
      <c r="EJ32" s="249">
        <v>0</v>
      </c>
      <c r="EK32" s="249">
        <v>0</v>
      </c>
      <c r="EL32" s="249">
        <v>0</v>
      </c>
      <c r="EM32" s="249">
        <v>0</v>
      </c>
      <c r="EN32" s="249">
        <v>371</v>
      </c>
      <c r="EO32" s="249">
        <v>0</v>
      </c>
      <c r="EP32" s="249">
        <v>0</v>
      </c>
      <c r="EQ32" s="249">
        <v>0</v>
      </c>
      <c r="ER32" s="249">
        <v>0</v>
      </c>
      <c r="ES32" s="249">
        <v>533</v>
      </c>
      <c r="ET32" s="249">
        <v>0</v>
      </c>
      <c r="EU32" s="249">
        <v>0</v>
      </c>
      <c r="EV32" s="249">
        <v>0</v>
      </c>
      <c r="EW32" s="249">
        <v>0</v>
      </c>
      <c r="EX32" s="249">
        <v>0</v>
      </c>
      <c r="EY32" s="249">
        <v>0</v>
      </c>
      <c r="EZ32" s="249">
        <v>0</v>
      </c>
      <c r="FA32" s="249">
        <v>6</v>
      </c>
      <c r="FB32" s="249">
        <v>827</v>
      </c>
      <c r="FC32" s="249">
        <v>110</v>
      </c>
      <c r="FD32" s="249">
        <v>0</v>
      </c>
      <c r="FE32" s="249">
        <v>55</v>
      </c>
      <c r="FF32" s="249">
        <v>0</v>
      </c>
      <c r="FG32" s="249">
        <v>0</v>
      </c>
      <c r="FH32" s="249">
        <v>0</v>
      </c>
      <c r="FI32" s="249">
        <v>0</v>
      </c>
      <c r="FJ32" s="249">
        <v>0</v>
      </c>
      <c r="FK32" s="249">
        <v>3609</v>
      </c>
    </row>
    <row r="33" spans="1:167" x14ac:dyDescent="0.25">
      <c r="A33" s="236" t="s">
        <v>25</v>
      </c>
      <c r="B33" s="246">
        <f t="shared" si="12"/>
        <v>301040</v>
      </c>
      <c r="C33" s="246">
        <f t="shared" si="12"/>
        <v>11670</v>
      </c>
      <c r="D33" s="246">
        <f t="shared" si="12"/>
        <v>1437</v>
      </c>
      <c r="E33" s="246">
        <f t="shared" si="12"/>
        <v>351</v>
      </c>
      <c r="F33" s="246">
        <f t="shared" si="12"/>
        <v>4450</v>
      </c>
      <c r="G33" s="246">
        <f t="shared" si="12"/>
        <v>1135</v>
      </c>
      <c r="H33" s="246">
        <f t="shared" si="12"/>
        <v>6351</v>
      </c>
      <c r="I33" s="246">
        <f t="shared" si="12"/>
        <v>4824</v>
      </c>
      <c r="J33" s="246">
        <f t="shared" si="12"/>
        <v>1027</v>
      </c>
      <c r="K33" s="246">
        <f t="shared" si="12"/>
        <v>299</v>
      </c>
      <c r="L33" s="246">
        <f t="shared" si="12"/>
        <v>830</v>
      </c>
      <c r="M33" s="246">
        <f t="shared" si="12"/>
        <v>10036</v>
      </c>
      <c r="N33" s="246">
        <f t="shared" si="12"/>
        <v>18783</v>
      </c>
      <c r="O33" s="246">
        <f t="shared" si="12"/>
        <v>633</v>
      </c>
      <c r="P33" s="246">
        <f t="shared" si="12"/>
        <v>16477</v>
      </c>
      <c r="Q33" s="246">
        <f t="shared" si="12"/>
        <v>1658</v>
      </c>
      <c r="R33" s="246">
        <f t="shared" si="13"/>
        <v>1694</v>
      </c>
      <c r="S33" s="246">
        <f t="shared" si="13"/>
        <v>202615</v>
      </c>
      <c r="T33" s="246">
        <f t="shared" si="13"/>
        <v>1034</v>
      </c>
      <c r="U33" s="246">
        <f t="shared" si="13"/>
        <v>27406</v>
      </c>
      <c r="V33" s="246">
        <f t="shared" si="13"/>
        <v>20911</v>
      </c>
      <c r="W33" s="246">
        <f t="shared" si="13"/>
        <v>1739</v>
      </c>
      <c r="X33" s="246">
        <f t="shared" si="13"/>
        <v>94894</v>
      </c>
      <c r="Y33" s="246">
        <f t="shared" si="13"/>
        <v>11224</v>
      </c>
      <c r="Z33" s="246">
        <f t="shared" si="13"/>
        <v>40485</v>
      </c>
      <c r="AA33" s="246">
        <f t="shared" si="13"/>
        <v>9012</v>
      </c>
      <c r="AB33" s="246">
        <f t="shared" si="13"/>
        <v>3449</v>
      </c>
      <c r="AC33" s="246">
        <f t="shared" si="13"/>
        <v>4197</v>
      </c>
      <c r="AD33" s="246">
        <f t="shared" si="13"/>
        <v>6929</v>
      </c>
      <c r="AE33" s="246">
        <f t="shared" si="13"/>
        <v>2785</v>
      </c>
      <c r="AF33" s="246">
        <f t="shared" si="13"/>
        <v>25674</v>
      </c>
      <c r="AG33" s="246">
        <f t="shared" si="13"/>
        <v>2681</v>
      </c>
      <c r="AH33" s="246">
        <f t="shared" si="14"/>
        <v>2988</v>
      </c>
      <c r="AI33" s="246">
        <f t="shared" si="14"/>
        <v>1422</v>
      </c>
      <c r="AJ33" s="246">
        <f t="shared" si="14"/>
        <v>3361</v>
      </c>
      <c r="AK33" s="246">
        <f t="shared" si="14"/>
        <v>231751</v>
      </c>
      <c r="AL33" s="246">
        <f t="shared" si="14"/>
        <v>1881</v>
      </c>
      <c r="AM33" s="246">
        <f t="shared" si="14"/>
        <v>8</v>
      </c>
      <c r="AN33" s="246">
        <f t="shared" si="14"/>
        <v>3439</v>
      </c>
      <c r="AO33" s="246">
        <f t="shared" si="14"/>
        <v>1178</v>
      </c>
      <c r="AP33" s="246">
        <f t="shared" si="14"/>
        <v>506</v>
      </c>
      <c r="AQ33" s="246">
        <f t="shared" si="14"/>
        <v>3319</v>
      </c>
      <c r="AR33" s="246">
        <f t="shared" si="14"/>
        <v>24</v>
      </c>
      <c r="AS33" s="246">
        <f t="shared" si="14"/>
        <v>2831</v>
      </c>
      <c r="AT33" s="246">
        <f t="shared" si="14"/>
        <v>37377</v>
      </c>
      <c r="AU33" s="246">
        <f t="shared" si="14"/>
        <v>18579</v>
      </c>
      <c r="AV33" s="246">
        <f t="shared" si="14"/>
        <v>223</v>
      </c>
      <c r="AW33" s="246">
        <f t="shared" si="14"/>
        <v>881</v>
      </c>
      <c r="AX33" s="246">
        <f t="shared" si="15"/>
        <v>113912</v>
      </c>
      <c r="AY33" s="246">
        <f t="shared" si="15"/>
        <v>0</v>
      </c>
      <c r="AZ33" s="246">
        <f t="shared" si="15"/>
        <v>11</v>
      </c>
      <c r="BA33" s="246">
        <f t="shared" si="15"/>
        <v>726</v>
      </c>
      <c r="BB33" s="246">
        <f t="shared" si="15"/>
        <v>1393</v>
      </c>
      <c r="BC33" s="246">
        <f t="shared" si="15"/>
        <v>730749</v>
      </c>
      <c r="BD33" s="202"/>
      <c r="BE33" s="236" t="s">
        <v>25</v>
      </c>
      <c r="BF33" s="247">
        <v>64391</v>
      </c>
      <c r="BG33" s="247">
        <v>3006</v>
      </c>
      <c r="BH33" s="247">
        <v>672</v>
      </c>
      <c r="BI33" s="247">
        <v>301</v>
      </c>
      <c r="BJ33" s="247">
        <v>2286</v>
      </c>
      <c r="BK33" s="247">
        <v>388</v>
      </c>
      <c r="BL33" s="247">
        <v>6046</v>
      </c>
      <c r="BM33" s="247">
        <v>2633</v>
      </c>
      <c r="BN33" s="247">
        <v>46</v>
      </c>
      <c r="BO33" s="247">
        <v>124</v>
      </c>
      <c r="BP33" s="247">
        <v>320</v>
      </c>
      <c r="BQ33" s="247">
        <v>7502</v>
      </c>
      <c r="BR33" s="247">
        <v>15251</v>
      </c>
      <c r="BS33" s="247">
        <v>583</v>
      </c>
      <c r="BT33" s="247">
        <v>3880</v>
      </c>
      <c r="BU33" s="247">
        <v>139</v>
      </c>
      <c r="BV33" s="247">
        <v>195</v>
      </c>
      <c r="BW33" s="247">
        <v>709</v>
      </c>
      <c r="BX33" s="247">
        <v>649</v>
      </c>
      <c r="BY33" s="247">
        <v>22667</v>
      </c>
      <c r="BZ33" s="247">
        <v>20911</v>
      </c>
      <c r="CA33" s="247">
        <v>1739</v>
      </c>
      <c r="CB33" s="247">
        <v>94806</v>
      </c>
      <c r="CC33" s="247">
        <v>10555</v>
      </c>
      <c r="CD33" s="247">
        <v>10370</v>
      </c>
      <c r="CE33" s="247">
        <v>6834</v>
      </c>
      <c r="CF33" s="247">
        <v>2100</v>
      </c>
      <c r="CG33" s="247">
        <v>698</v>
      </c>
      <c r="CH33" s="247">
        <v>6929</v>
      </c>
      <c r="CI33" s="247">
        <v>2366</v>
      </c>
      <c r="CJ33" s="247">
        <v>25013</v>
      </c>
      <c r="CK33" s="247">
        <v>2681</v>
      </c>
      <c r="CL33" s="247">
        <v>1571</v>
      </c>
      <c r="CM33" s="247">
        <v>1422</v>
      </c>
      <c r="CN33" s="247">
        <v>2925</v>
      </c>
      <c r="CO33" s="247">
        <v>190920</v>
      </c>
      <c r="CP33" s="247">
        <v>790</v>
      </c>
      <c r="CQ33" s="247">
        <v>8</v>
      </c>
      <c r="CR33" s="247">
        <v>3439</v>
      </c>
      <c r="CS33" s="247">
        <v>1178</v>
      </c>
      <c r="CT33" s="247">
        <v>506</v>
      </c>
      <c r="CU33" s="247">
        <v>3077</v>
      </c>
      <c r="CV33" s="247">
        <v>24</v>
      </c>
      <c r="CW33" s="247">
        <v>862</v>
      </c>
      <c r="CX33" s="247">
        <v>8918</v>
      </c>
      <c r="CY33" s="247">
        <v>17094</v>
      </c>
      <c r="CZ33" s="247">
        <v>175</v>
      </c>
      <c r="DA33" s="247">
        <v>0</v>
      </c>
      <c r="DB33" s="247">
        <v>47877</v>
      </c>
      <c r="DC33" s="247">
        <v>0</v>
      </c>
      <c r="DD33" s="247">
        <v>11</v>
      </c>
      <c r="DE33" s="247">
        <v>366</v>
      </c>
      <c r="DF33" s="247">
        <v>701</v>
      </c>
      <c r="DG33" s="247">
        <v>343343</v>
      </c>
      <c r="DH33" s="247"/>
      <c r="DI33" s="248" t="s">
        <v>25</v>
      </c>
      <c r="DJ33" s="249">
        <v>236649</v>
      </c>
      <c r="DK33" s="249">
        <v>8664</v>
      </c>
      <c r="DL33" s="249">
        <v>765</v>
      </c>
      <c r="DM33" s="249">
        <v>50</v>
      </c>
      <c r="DN33" s="249">
        <v>2164</v>
      </c>
      <c r="DO33" s="249">
        <v>747</v>
      </c>
      <c r="DP33" s="249">
        <v>305</v>
      </c>
      <c r="DQ33" s="249">
        <v>2191</v>
      </c>
      <c r="DR33" s="249">
        <v>981</v>
      </c>
      <c r="DS33" s="249">
        <v>175</v>
      </c>
      <c r="DT33" s="249">
        <v>510</v>
      </c>
      <c r="DU33" s="249">
        <v>2534</v>
      </c>
      <c r="DV33" s="249">
        <v>3532</v>
      </c>
      <c r="DW33" s="249">
        <v>50</v>
      </c>
      <c r="DX33" s="249">
        <v>12597</v>
      </c>
      <c r="DY33" s="249">
        <v>1519</v>
      </c>
      <c r="DZ33" s="249">
        <v>1499</v>
      </c>
      <c r="EA33" s="249">
        <v>201906</v>
      </c>
      <c r="EB33" s="249">
        <v>385</v>
      </c>
      <c r="EC33" s="249">
        <v>4739</v>
      </c>
      <c r="ED33" s="249">
        <v>0</v>
      </c>
      <c r="EE33" s="249">
        <v>0</v>
      </c>
      <c r="EF33" s="249">
        <v>88</v>
      </c>
      <c r="EG33" s="249">
        <v>669</v>
      </c>
      <c r="EH33" s="249">
        <v>30115</v>
      </c>
      <c r="EI33" s="249">
        <v>2178</v>
      </c>
      <c r="EJ33" s="249">
        <v>1349</v>
      </c>
      <c r="EK33" s="249">
        <v>3499</v>
      </c>
      <c r="EL33" s="249">
        <v>0</v>
      </c>
      <c r="EM33" s="249">
        <v>419</v>
      </c>
      <c r="EN33" s="249">
        <v>661</v>
      </c>
      <c r="EO33" s="249">
        <v>0</v>
      </c>
      <c r="EP33" s="249">
        <v>1417</v>
      </c>
      <c r="EQ33" s="249">
        <v>0</v>
      </c>
      <c r="ER33" s="249">
        <v>436</v>
      </c>
      <c r="ES33" s="249">
        <v>40831</v>
      </c>
      <c r="ET33" s="249">
        <v>1091</v>
      </c>
      <c r="EU33" s="249">
        <v>0</v>
      </c>
      <c r="EV33" s="249">
        <v>0</v>
      </c>
      <c r="EW33" s="249">
        <v>0</v>
      </c>
      <c r="EX33" s="249">
        <v>0</v>
      </c>
      <c r="EY33" s="249">
        <v>242</v>
      </c>
      <c r="EZ33" s="249">
        <v>0</v>
      </c>
      <c r="FA33" s="249">
        <v>1969</v>
      </c>
      <c r="FB33" s="249">
        <v>28459</v>
      </c>
      <c r="FC33" s="249">
        <v>1485</v>
      </c>
      <c r="FD33" s="249">
        <v>48</v>
      </c>
      <c r="FE33" s="249">
        <v>881</v>
      </c>
      <c r="FF33" s="249">
        <v>66035</v>
      </c>
      <c r="FG33" s="249">
        <v>0</v>
      </c>
      <c r="FH33" s="249">
        <v>0</v>
      </c>
      <c r="FI33" s="249">
        <v>360</v>
      </c>
      <c r="FJ33" s="249">
        <v>692</v>
      </c>
      <c r="FK33" s="249">
        <v>387406</v>
      </c>
    </row>
    <row r="34" spans="1:167" x14ac:dyDescent="0.25">
      <c r="A34" s="236" t="s">
        <v>24</v>
      </c>
      <c r="B34" s="246">
        <f t="shared" si="12"/>
        <v>19109</v>
      </c>
      <c r="C34" s="246">
        <f t="shared" si="12"/>
        <v>420</v>
      </c>
      <c r="D34" s="246">
        <f t="shared" si="12"/>
        <v>1</v>
      </c>
      <c r="E34" s="246">
        <f t="shared" si="12"/>
        <v>2</v>
      </c>
      <c r="F34" s="246">
        <f t="shared" si="12"/>
        <v>18</v>
      </c>
      <c r="G34" s="246">
        <f t="shared" si="12"/>
        <v>0</v>
      </c>
      <c r="H34" s="246">
        <f t="shared" si="12"/>
        <v>4</v>
      </c>
      <c r="I34" s="246">
        <f t="shared" si="12"/>
        <v>15</v>
      </c>
      <c r="J34" s="246">
        <f t="shared" si="12"/>
        <v>1</v>
      </c>
      <c r="K34" s="246">
        <f t="shared" si="12"/>
        <v>7</v>
      </c>
      <c r="L34" s="246">
        <f t="shared" si="12"/>
        <v>6</v>
      </c>
      <c r="M34" s="246">
        <f t="shared" si="12"/>
        <v>1</v>
      </c>
      <c r="N34" s="246">
        <f t="shared" si="12"/>
        <v>17327</v>
      </c>
      <c r="O34" s="246">
        <f t="shared" si="12"/>
        <v>0</v>
      </c>
      <c r="P34" s="246">
        <f t="shared" si="12"/>
        <v>258</v>
      </c>
      <c r="Q34" s="246">
        <f t="shared" si="12"/>
        <v>0</v>
      </c>
      <c r="R34" s="246">
        <f t="shared" si="13"/>
        <v>0</v>
      </c>
      <c r="S34" s="246">
        <f t="shared" si="13"/>
        <v>1131</v>
      </c>
      <c r="T34" s="246">
        <f t="shared" si="13"/>
        <v>31</v>
      </c>
      <c r="U34" s="246">
        <f t="shared" si="13"/>
        <v>307</v>
      </c>
      <c r="V34" s="246">
        <f t="shared" si="13"/>
        <v>197</v>
      </c>
      <c r="W34" s="246">
        <f t="shared" si="13"/>
        <v>6</v>
      </c>
      <c r="X34" s="246">
        <f t="shared" si="13"/>
        <v>600</v>
      </c>
      <c r="Y34" s="246">
        <f t="shared" si="13"/>
        <v>1810</v>
      </c>
      <c r="Z34" s="246">
        <f t="shared" si="13"/>
        <v>1236</v>
      </c>
      <c r="AA34" s="246">
        <f t="shared" si="13"/>
        <v>3</v>
      </c>
      <c r="AB34" s="246">
        <f t="shared" si="13"/>
        <v>7</v>
      </c>
      <c r="AC34" s="246">
        <f t="shared" si="13"/>
        <v>17</v>
      </c>
      <c r="AD34" s="246">
        <f t="shared" si="13"/>
        <v>-1</v>
      </c>
      <c r="AE34" s="246">
        <f t="shared" si="13"/>
        <v>1495</v>
      </c>
      <c r="AF34" s="246">
        <f t="shared" si="13"/>
        <v>2131</v>
      </c>
      <c r="AG34" s="246">
        <f t="shared" si="13"/>
        <v>4</v>
      </c>
      <c r="AH34" s="246">
        <f t="shared" si="14"/>
        <v>0</v>
      </c>
      <c r="AI34" s="246">
        <f t="shared" si="14"/>
        <v>0</v>
      </c>
      <c r="AJ34" s="246">
        <f t="shared" si="14"/>
        <v>137</v>
      </c>
      <c r="AK34" s="246">
        <f t="shared" si="14"/>
        <v>7642</v>
      </c>
      <c r="AL34" s="246">
        <f t="shared" si="14"/>
        <v>132</v>
      </c>
      <c r="AM34" s="246">
        <f t="shared" si="14"/>
        <v>2</v>
      </c>
      <c r="AN34" s="246">
        <f t="shared" si="14"/>
        <v>23</v>
      </c>
      <c r="AO34" s="246">
        <f t="shared" si="14"/>
        <v>14</v>
      </c>
      <c r="AP34" s="246">
        <f t="shared" si="14"/>
        <v>0</v>
      </c>
      <c r="AQ34" s="246">
        <f t="shared" si="14"/>
        <v>501</v>
      </c>
      <c r="AR34" s="246">
        <f t="shared" si="14"/>
        <v>12</v>
      </c>
      <c r="AS34" s="246">
        <f t="shared" si="14"/>
        <v>14</v>
      </c>
      <c r="AT34" s="246">
        <f t="shared" si="14"/>
        <v>610</v>
      </c>
      <c r="AU34" s="246">
        <f t="shared" si="14"/>
        <v>598</v>
      </c>
      <c r="AV34" s="246">
        <f t="shared" si="14"/>
        <v>0</v>
      </c>
      <c r="AW34" s="246">
        <f t="shared" si="14"/>
        <v>1</v>
      </c>
      <c r="AX34" s="246">
        <f t="shared" si="15"/>
        <v>213</v>
      </c>
      <c r="AY34" s="246">
        <f t="shared" si="15"/>
        <v>0</v>
      </c>
      <c r="AZ34" s="246">
        <f t="shared" si="15"/>
        <v>0</v>
      </c>
      <c r="BA34" s="246">
        <f t="shared" si="15"/>
        <v>0</v>
      </c>
      <c r="BB34" s="246">
        <f t="shared" si="15"/>
        <v>58</v>
      </c>
      <c r="BC34" s="246">
        <f t="shared" si="15"/>
        <v>29349</v>
      </c>
      <c r="BD34" s="202"/>
      <c r="BE34" s="236" t="s">
        <v>24</v>
      </c>
      <c r="BF34" s="247">
        <v>369</v>
      </c>
      <c r="BG34" s="247">
        <v>46</v>
      </c>
      <c r="BH34" s="247">
        <v>1</v>
      </c>
      <c r="BI34" s="247">
        <v>1</v>
      </c>
      <c r="BJ34" s="247">
        <v>18</v>
      </c>
      <c r="BK34" s="247">
        <v>0</v>
      </c>
      <c r="BL34" s="247">
        <v>1</v>
      </c>
      <c r="BM34" s="247">
        <v>14</v>
      </c>
      <c r="BN34" s="247">
        <v>0</v>
      </c>
      <c r="BO34" s="247">
        <v>0</v>
      </c>
      <c r="BP34" s="247">
        <v>2</v>
      </c>
      <c r="BQ34" s="247">
        <v>1</v>
      </c>
      <c r="BR34" s="247">
        <v>48</v>
      </c>
      <c r="BS34" s="247">
        <v>0</v>
      </c>
      <c r="BT34" s="247">
        <v>204</v>
      </c>
      <c r="BU34" s="247">
        <v>0</v>
      </c>
      <c r="BV34" s="247">
        <v>0</v>
      </c>
      <c r="BW34" s="247">
        <v>4</v>
      </c>
      <c r="BX34" s="247">
        <v>31</v>
      </c>
      <c r="BY34" s="247">
        <v>44</v>
      </c>
      <c r="BZ34" s="247">
        <v>197</v>
      </c>
      <c r="CA34" s="247">
        <v>6</v>
      </c>
      <c r="CB34" s="247">
        <v>600</v>
      </c>
      <c r="CC34" s="247">
        <v>89</v>
      </c>
      <c r="CD34" s="247">
        <v>308</v>
      </c>
      <c r="CE34" s="247">
        <v>3</v>
      </c>
      <c r="CF34" s="247">
        <v>7</v>
      </c>
      <c r="CG34" s="247">
        <v>3</v>
      </c>
      <c r="CH34" s="247">
        <v>-1</v>
      </c>
      <c r="CI34" s="247">
        <v>4</v>
      </c>
      <c r="CJ34" s="247">
        <v>158</v>
      </c>
      <c r="CK34" s="247">
        <v>4</v>
      </c>
      <c r="CL34" s="247">
        <v>0</v>
      </c>
      <c r="CM34" s="247">
        <v>0</v>
      </c>
      <c r="CN34" s="247">
        <v>137</v>
      </c>
      <c r="CO34" s="247">
        <v>1515</v>
      </c>
      <c r="CP34" s="247">
        <v>94</v>
      </c>
      <c r="CQ34" s="247">
        <v>2</v>
      </c>
      <c r="CR34" s="247">
        <v>23</v>
      </c>
      <c r="CS34" s="247">
        <v>14</v>
      </c>
      <c r="CT34" s="247">
        <v>0</v>
      </c>
      <c r="CU34" s="247">
        <v>501</v>
      </c>
      <c r="CV34" s="247">
        <v>12</v>
      </c>
      <c r="CW34" s="247">
        <v>13</v>
      </c>
      <c r="CX34" s="247">
        <v>343</v>
      </c>
      <c r="CY34" s="247">
        <v>598</v>
      </c>
      <c r="CZ34" s="247">
        <v>0</v>
      </c>
      <c r="DA34" s="247">
        <v>0</v>
      </c>
      <c r="DB34" s="247">
        <v>213</v>
      </c>
      <c r="DC34" s="247">
        <v>0</v>
      </c>
      <c r="DD34" s="247">
        <v>0</v>
      </c>
      <c r="DE34" s="247">
        <v>0</v>
      </c>
      <c r="DF34" s="247">
        <v>58</v>
      </c>
      <c r="DG34" s="247">
        <v>3801</v>
      </c>
      <c r="DH34" s="247"/>
      <c r="DI34" s="248" t="s">
        <v>24</v>
      </c>
      <c r="DJ34" s="249">
        <v>18740</v>
      </c>
      <c r="DK34" s="249">
        <v>374</v>
      </c>
      <c r="DL34" s="249">
        <v>0</v>
      </c>
      <c r="DM34" s="249">
        <v>1</v>
      </c>
      <c r="DN34" s="249">
        <v>0</v>
      </c>
      <c r="DO34" s="249">
        <v>0</v>
      </c>
      <c r="DP34" s="249">
        <v>3</v>
      </c>
      <c r="DQ34" s="249">
        <v>1</v>
      </c>
      <c r="DR34" s="249">
        <v>1</v>
      </c>
      <c r="DS34" s="249">
        <v>7</v>
      </c>
      <c r="DT34" s="249">
        <v>4</v>
      </c>
      <c r="DU34" s="249">
        <v>0</v>
      </c>
      <c r="DV34" s="249">
        <v>17279</v>
      </c>
      <c r="DW34" s="249">
        <v>0</v>
      </c>
      <c r="DX34" s="249">
        <v>54</v>
      </c>
      <c r="DY34" s="249">
        <v>0</v>
      </c>
      <c r="DZ34" s="249">
        <v>0</v>
      </c>
      <c r="EA34" s="249">
        <v>1127</v>
      </c>
      <c r="EB34" s="249">
        <v>0</v>
      </c>
      <c r="EC34" s="249">
        <v>263</v>
      </c>
      <c r="ED34" s="249">
        <v>0</v>
      </c>
      <c r="EE34" s="249">
        <v>0</v>
      </c>
      <c r="EF34" s="249">
        <v>0</v>
      </c>
      <c r="EG34" s="249">
        <v>1721</v>
      </c>
      <c r="EH34" s="249">
        <v>928</v>
      </c>
      <c r="EI34" s="249">
        <v>0</v>
      </c>
      <c r="EJ34" s="249">
        <v>0</v>
      </c>
      <c r="EK34" s="249">
        <v>14</v>
      </c>
      <c r="EL34" s="249">
        <v>0</v>
      </c>
      <c r="EM34" s="249">
        <v>1491</v>
      </c>
      <c r="EN34" s="249">
        <v>1973</v>
      </c>
      <c r="EO34" s="249">
        <v>0</v>
      </c>
      <c r="EP34" s="249">
        <v>0</v>
      </c>
      <c r="EQ34" s="249">
        <v>0</v>
      </c>
      <c r="ER34" s="249">
        <v>0</v>
      </c>
      <c r="ES34" s="249">
        <v>6127</v>
      </c>
      <c r="ET34" s="249">
        <v>38</v>
      </c>
      <c r="EU34" s="249">
        <v>0</v>
      </c>
      <c r="EV34" s="249">
        <v>0</v>
      </c>
      <c r="EW34" s="249">
        <v>0</v>
      </c>
      <c r="EX34" s="249">
        <v>0</v>
      </c>
      <c r="EY34" s="249">
        <v>0</v>
      </c>
      <c r="EZ34" s="249">
        <v>0</v>
      </c>
      <c r="FA34" s="249">
        <v>1</v>
      </c>
      <c r="FB34" s="249">
        <v>267</v>
      </c>
      <c r="FC34" s="249">
        <v>0</v>
      </c>
      <c r="FD34" s="249">
        <v>0</v>
      </c>
      <c r="FE34" s="249">
        <v>1</v>
      </c>
      <c r="FF34" s="249">
        <v>0</v>
      </c>
      <c r="FG34" s="249">
        <v>0</v>
      </c>
      <c r="FH34" s="249">
        <v>0</v>
      </c>
      <c r="FI34" s="249">
        <v>0</v>
      </c>
      <c r="FJ34" s="249">
        <v>0</v>
      </c>
      <c r="FK34" s="249">
        <v>25548</v>
      </c>
    </row>
    <row r="35" spans="1:167" x14ac:dyDescent="0.25">
      <c r="A35" s="236" t="s">
        <v>23</v>
      </c>
      <c r="B35" s="246">
        <f t="shared" si="12"/>
        <v>71763</v>
      </c>
      <c r="C35" s="246">
        <f t="shared" si="12"/>
        <v>810</v>
      </c>
      <c r="D35" s="246">
        <f t="shared" si="12"/>
        <v>174</v>
      </c>
      <c r="E35" s="246">
        <f t="shared" si="12"/>
        <v>201</v>
      </c>
      <c r="F35" s="246">
        <f t="shared" si="12"/>
        <v>367</v>
      </c>
      <c r="G35" s="246">
        <f t="shared" si="12"/>
        <v>333</v>
      </c>
      <c r="H35" s="246">
        <f t="shared" si="12"/>
        <v>1407</v>
      </c>
      <c r="I35" s="246">
        <f t="shared" si="12"/>
        <v>391</v>
      </c>
      <c r="J35" s="246">
        <f t="shared" si="12"/>
        <v>-4</v>
      </c>
      <c r="K35" s="246">
        <f t="shared" si="12"/>
        <v>301</v>
      </c>
      <c r="L35" s="246">
        <f t="shared" si="12"/>
        <v>328</v>
      </c>
      <c r="M35" s="246">
        <f t="shared" si="12"/>
        <v>1642</v>
      </c>
      <c r="N35" s="246">
        <f t="shared" si="12"/>
        <v>211</v>
      </c>
      <c r="O35" s="246">
        <f t="shared" si="12"/>
        <v>129</v>
      </c>
      <c r="P35" s="246">
        <f t="shared" si="12"/>
        <v>23989</v>
      </c>
      <c r="Q35" s="246">
        <f t="shared" si="12"/>
        <v>472</v>
      </c>
      <c r="R35" s="246">
        <f t="shared" si="13"/>
        <v>884</v>
      </c>
      <c r="S35" s="246">
        <f t="shared" si="13"/>
        <v>35773</v>
      </c>
      <c r="T35" s="246">
        <f t="shared" si="13"/>
        <v>100</v>
      </c>
      <c r="U35" s="246">
        <f t="shared" si="13"/>
        <v>5065</v>
      </c>
      <c r="V35" s="246">
        <f t="shared" si="13"/>
        <v>3355</v>
      </c>
      <c r="W35" s="246">
        <f t="shared" si="13"/>
        <v>236</v>
      </c>
      <c r="X35" s="246">
        <f t="shared" si="13"/>
        <v>4776</v>
      </c>
      <c r="Y35" s="246">
        <f t="shared" si="13"/>
        <v>1353</v>
      </c>
      <c r="Z35" s="246">
        <f t="shared" si="13"/>
        <v>2268</v>
      </c>
      <c r="AA35" s="246">
        <f t="shared" si="13"/>
        <v>213</v>
      </c>
      <c r="AB35" s="246">
        <f t="shared" si="13"/>
        <v>130</v>
      </c>
      <c r="AC35" s="246">
        <f t="shared" si="13"/>
        <v>13</v>
      </c>
      <c r="AD35" s="246">
        <f t="shared" si="13"/>
        <v>336</v>
      </c>
      <c r="AE35" s="246">
        <f t="shared" si="13"/>
        <v>360</v>
      </c>
      <c r="AF35" s="246">
        <f t="shared" si="13"/>
        <v>267</v>
      </c>
      <c r="AG35" s="246">
        <f t="shared" si="13"/>
        <v>118</v>
      </c>
      <c r="AH35" s="246">
        <f t="shared" si="14"/>
        <v>59</v>
      </c>
      <c r="AI35" s="246">
        <f t="shared" si="14"/>
        <v>97</v>
      </c>
      <c r="AJ35" s="246">
        <f t="shared" si="14"/>
        <v>178</v>
      </c>
      <c r="AK35" s="246">
        <f t="shared" si="14"/>
        <v>13759</v>
      </c>
      <c r="AL35" s="246">
        <f t="shared" si="14"/>
        <v>218</v>
      </c>
      <c r="AM35" s="246">
        <f t="shared" si="14"/>
        <v>56</v>
      </c>
      <c r="AN35" s="246">
        <f t="shared" si="14"/>
        <v>64</v>
      </c>
      <c r="AO35" s="246">
        <f t="shared" si="14"/>
        <v>202</v>
      </c>
      <c r="AP35" s="246">
        <f t="shared" si="14"/>
        <v>197</v>
      </c>
      <c r="AQ35" s="246">
        <f t="shared" si="14"/>
        <v>4073</v>
      </c>
      <c r="AR35" s="246">
        <f t="shared" si="14"/>
        <v>278</v>
      </c>
      <c r="AS35" s="246">
        <f t="shared" si="14"/>
        <v>362</v>
      </c>
      <c r="AT35" s="246">
        <f t="shared" si="14"/>
        <v>16113</v>
      </c>
      <c r="AU35" s="246">
        <f t="shared" si="14"/>
        <v>177</v>
      </c>
      <c r="AV35" s="246">
        <f t="shared" si="14"/>
        <v>178</v>
      </c>
      <c r="AW35" s="246">
        <f t="shared" si="14"/>
        <v>20</v>
      </c>
      <c r="AX35" s="246">
        <f t="shared" si="15"/>
        <v>2711</v>
      </c>
      <c r="AY35" s="246">
        <f t="shared" si="15"/>
        <v>3</v>
      </c>
      <c r="AZ35" s="246">
        <f t="shared" si="15"/>
        <v>1</v>
      </c>
      <c r="BA35" s="246">
        <f t="shared" si="15"/>
        <v>6</v>
      </c>
      <c r="BB35" s="246">
        <f t="shared" si="15"/>
        <v>94</v>
      </c>
      <c r="BC35" s="246">
        <f t="shared" si="15"/>
        <v>111085</v>
      </c>
      <c r="BD35" s="202"/>
      <c r="BE35" s="236" t="s">
        <v>23</v>
      </c>
      <c r="BF35" s="247">
        <v>38402</v>
      </c>
      <c r="BG35" s="247">
        <v>743</v>
      </c>
      <c r="BH35" s="247">
        <v>151</v>
      </c>
      <c r="BI35" s="247">
        <v>176</v>
      </c>
      <c r="BJ35" s="247">
        <v>322</v>
      </c>
      <c r="BK35" s="247">
        <v>321</v>
      </c>
      <c r="BL35" s="247">
        <v>1156</v>
      </c>
      <c r="BM35" s="247">
        <v>317</v>
      </c>
      <c r="BN35" s="247">
        <v>3</v>
      </c>
      <c r="BO35" s="247">
        <v>254</v>
      </c>
      <c r="BP35" s="247">
        <v>246</v>
      </c>
      <c r="BQ35" s="247">
        <v>1453</v>
      </c>
      <c r="BR35" s="247">
        <v>162</v>
      </c>
      <c r="BS35" s="247">
        <v>107</v>
      </c>
      <c r="BT35" s="247">
        <v>15627</v>
      </c>
      <c r="BU35" s="247">
        <v>344</v>
      </c>
      <c r="BV35" s="247">
        <v>671</v>
      </c>
      <c r="BW35" s="247">
        <v>11984</v>
      </c>
      <c r="BX35" s="247">
        <v>78</v>
      </c>
      <c r="BY35" s="247">
        <v>5030</v>
      </c>
      <c r="BZ35" s="247">
        <v>3355</v>
      </c>
      <c r="CA35" s="247">
        <v>236</v>
      </c>
      <c r="CB35" s="247">
        <v>4773</v>
      </c>
      <c r="CC35" s="247">
        <v>1328</v>
      </c>
      <c r="CD35" s="247">
        <v>682</v>
      </c>
      <c r="CE35" s="247">
        <v>198</v>
      </c>
      <c r="CF35" s="247">
        <v>129</v>
      </c>
      <c r="CG35" s="247">
        <v>4</v>
      </c>
      <c r="CH35" s="247">
        <v>336</v>
      </c>
      <c r="CI35" s="247">
        <v>353</v>
      </c>
      <c r="CJ35" s="247">
        <v>267</v>
      </c>
      <c r="CK35" s="247">
        <v>118</v>
      </c>
      <c r="CL35" s="247">
        <v>46</v>
      </c>
      <c r="CM35" s="247">
        <v>97</v>
      </c>
      <c r="CN35" s="247">
        <v>171</v>
      </c>
      <c r="CO35" s="247">
        <v>12093</v>
      </c>
      <c r="CP35" s="247">
        <v>218</v>
      </c>
      <c r="CQ35" s="247">
        <v>56</v>
      </c>
      <c r="CR35" s="247">
        <v>63</v>
      </c>
      <c r="CS35" s="247">
        <v>202</v>
      </c>
      <c r="CT35" s="247">
        <v>197</v>
      </c>
      <c r="CU35" s="247">
        <v>3947</v>
      </c>
      <c r="CV35" s="247">
        <v>278</v>
      </c>
      <c r="CW35" s="247">
        <v>322</v>
      </c>
      <c r="CX35" s="247">
        <v>7836</v>
      </c>
      <c r="CY35" s="247">
        <v>175</v>
      </c>
      <c r="CZ35" s="247">
        <v>178</v>
      </c>
      <c r="DA35" s="247">
        <v>12</v>
      </c>
      <c r="DB35" s="247">
        <v>2711</v>
      </c>
      <c r="DC35" s="247">
        <v>3</v>
      </c>
      <c r="DD35" s="247">
        <v>1</v>
      </c>
      <c r="DE35" s="247">
        <v>6</v>
      </c>
      <c r="DF35" s="247">
        <v>89</v>
      </c>
      <c r="DG35" s="247">
        <v>67532</v>
      </c>
      <c r="DH35" s="247"/>
      <c r="DI35" s="248" t="s">
        <v>23</v>
      </c>
      <c r="DJ35" s="249">
        <v>33361</v>
      </c>
      <c r="DK35" s="249">
        <v>67</v>
      </c>
      <c r="DL35" s="249">
        <v>23</v>
      </c>
      <c r="DM35" s="249">
        <v>25</v>
      </c>
      <c r="DN35" s="249">
        <v>45</v>
      </c>
      <c r="DO35" s="249">
        <v>12</v>
      </c>
      <c r="DP35" s="249">
        <v>251</v>
      </c>
      <c r="DQ35" s="249">
        <v>74</v>
      </c>
      <c r="DR35" s="249">
        <v>-7</v>
      </c>
      <c r="DS35" s="249">
        <v>47</v>
      </c>
      <c r="DT35" s="249">
        <v>82</v>
      </c>
      <c r="DU35" s="249">
        <v>189</v>
      </c>
      <c r="DV35" s="249">
        <v>49</v>
      </c>
      <c r="DW35" s="249">
        <v>22</v>
      </c>
      <c r="DX35" s="249">
        <v>8362</v>
      </c>
      <c r="DY35" s="249">
        <v>128</v>
      </c>
      <c r="DZ35" s="249">
        <v>213</v>
      </c>
      <c r="EA35" s="249">
        <v>23789</v>
      </c>
      <c r="EB35" s="249">
        <v>22</v>
      </c>
      <c r="EC35" s="249">
        <v>35</v>
      </c>
      <c r="ED35" s="249">
        <v>0</v>
      </c>
      <c r="EE35" s="249">
        <v>0</v>
      </c>
      <c r="EF35" s="249">
        <v>3</v>
      </c>
      <c r="EG35" s="249">
        <v>25</v>
      </c>
      <c r="EH35" s="249">
        <v>1586</v>
      </c>
      <c r="EI35" s="249">
        <v>15</v>
      </c>
      <c r="EJ35" s="249">
        <v>1</v>
      </c>
      <c r="EK35" s="249">
        <v>9</v>
      </c>
      <c r="EL35" s="249">
        <v>0</v>
      </c>
      <c r="EM35" s="249">
        <v>7</v>
      </c>
      <c r="EN35" s="249">
        <v>0</v>
      </c>
      <c r="EO35" s="249">
        <v>0</v>
      </c>
      <c r="EP35" s="249">
        <v>13</v>
      </c>
      <c r="EQ35" s="249">
        <v>0</v>
      </c>
      <c r="ER35" s="249">
        <v>7</v>
      </c>
      <c r="ES35" s="249">
        <v>1666</v>
      </c>
      <c r="ET35" s="249">
        <v>0</v>
      </c>
      <c r="EU35" s="249">
        <v>0</v>
      </c>
      <c r="EV35" s="249">
        <v>1</v>
      </c>
      <c r="EW35" s="249">
        <v>0</v>
      </c>
      <c r="EX35" s="249">
        <v>0</v>
      </c>
      <c r="EY35" s="249">
        <v>126</v>
      </c>
      <c r="EZ35" s="249">
        <v>0</v>
      </c>
      <c r="FA35" s="249">
        <v>40</v>
      </c>
      <c r="FB35" s="249">
        <v>8277</v>
      </c>
      <c r="FC35" s="249">
        <v>2</v>
      </c>
      <c r="FD35" s="249">
        <v>0</v>
      </c>
      <c r="FE35" s="249">
        <v>8</v>
      </c>
      <c r="FF35" s="249">
        <v>0</v>
      </c>
      <c r="FG35" s="249">
        <v>0</v>
      </c>
      <c r="FH35" s="249">
        <v>0</v>
      </c>
      <c r="FI35" s="249">
        <v>0</v>
      </c>
      <c r="FJ35" s="249">
        <v>5</v>
      </c>
      <c r="FK35" s="249">
        <v>43553</v>
      </c>
    </row>
    <row r="36" spans="1:167" x14ac:dyDescent="0.25">
      <c r="A36" s="236" t="s">
        <v>22</v>
      </c>
      <c r="B36" s="246">
        <f t="shared" si="12"/>
        <v>1457</v>
      </c>
      <c r="C36" s="246">
        <f t="shared" si="12"/>
        <v>1598</v>
      </c>
      <c r="D36" s="246">
        <f t="shared" si="12"/>
        <v>1</v>
      </c>
      <c r="E36" s="246">
        <f t="shared" si="12"/>
        <v>0</v>
      </c>
      <c r="F36" s="246">
        <f t="shared" si="12"/>
        <v>18</v>
      </c>
      <c r="G36" s="246">
        <f t="shared" si="12"/>
        <v>1</v>
      </c>
      <c r="H36" s="246">
        <f t="shared" si="12"/>
        <v>22</v>
      </c>
      <c r="I36" s="246">
        <f t="shared" si="12"/>
        <v>20</v>
      </c>
      <c r="J36" s="246">
        <f t="shared" si="12"/>
        <v>0</v>
      </c>
      <c r="K36" s="246">
        <f t="shared" si="12"/>
        <v>1</v>
      </c>
      <c r="L36" s="246">
        <f t="shared" si="12"/>
        <v>11</v>
      </c>
      <c r="M36" s="246">
        <f t="shared" si="12"/>
        <v>1</v>
      </c>
      <c r="N36" s="246">
        <f t="shared" si="12"/>
        <v>67</v>
      </c>
      <c r="O36" s="246">
        <f t="shared" si="12"/>
        <v>0</v>
      </c>
      <c r="P36" s="246">
        <f t="shared" si="12"/>
        <v>123</v>
      </c>
      <c r="Q36" s="246">
        <f t="shared" si="12"/>
        <v>1</v>
      </c>
      <c r="R36" s="246">
        <f t="shared" si="13"/>
        <v>2</v>
      </c>
      <c r="S36" s="246">
        <f t="shared" si="13"/>
        <v>1015</v>
      </c>
      <c r="T36" s="246">
        <f t="shared" si="13"/>
        <v>2</v>
      </c>
      <c r="U36" s="246">
        <f t="shared" si="13"/>
        <v>172</v>
      </c>
      <c r="V36" s="246">
        <f t="shared" si="13"/>
        <v>7</v>
      </c>
      <c r="W36" s="246">
        <f t="shared" si="13"/>
        <v>2</v>
      </c>
      <c r="X36" s="246">
        <f t="shared" si="13"/>
        <v>139</v>
      </c>
      <c r="Y36" s="246">
        <f t="shared" si="13"/>
        <v>276</v>
      </c>
      <c r="Z36" s="246">
        <f t="shared" si="13"/>
        <v>1518</v>
      </c>
      <c r="AA36" s="246">
        <f t="shared" si="13"/>
        <v>3</v>
      </c>
      <c r="AB36" s="246">
        <f t="shared" si="13"/>
        <v>2</v>
      </c>
      <c r="AC36" s="246">
        <f t="shared" si="13"/>
        <v>11</v>
      </c>
      <c r="AD36" s="246">
        <f t="shared" si="13"/>
        <v>37</v>
      </c>
      <c r="AE36" s="246">
        <f t="shared" si="13"/>
        <v>241</v>
      </c>
      <c r="AF36" s="246">
        <f t="shared" si="13"/>
        <v>286</v>
      </c>
      <c r="AG36" s="246">
        <f t="shared" si="13"/>
        <v>159</v>
      </c>
      <c r="AH36" s="246">
        <f t="shared" si="14"/>
        <v>0</v>
      </c>
      <c r="AI36" s="246">
        <f t="shared" si="14"/>
        <v>0</v>
      </c>
      <c r="AJ36" s="246">
        <f t="shared" si="14"/>
        <v>176</v>
      </c>
      <c r="AK36" s="246">
        <f t="shared" si="14"/>
        <v>2857</v>
      </c>
      <c r="AL36" s="246">
        <f t="shared" si="14"/>
        <v>792</v>
      </c>
      <c r="AM36" s="246">
        <f t="shared" si="14"/>
        <v>0</v>
      </c>
      <c r="AN36" s="246">
        <f t="shared" si="14"/>
        <v>1053</v>
      </c>
      <c r="AO36" s="246">
        <f t="shared" si="14"/>
        <v>30</v>
      </c>
      <c r="AP36" s="246">
        <f t="shared" si="14"/>
        <v>6</v>
      </c>
      <c r="AQ36" s="246">
        <f t="shared" si="14"/>
        <v>0</v>
      </c>
      <c r="AR36" s="246">
        <f t="shared" si="14"/>
        <v>76</v>
      </c>
      <c r="AS36" s="246">
        <f t="shared" si="14"/>
        <v>124</v>
      </c>
      <c r="AT36" s="246">
        <f t="shared" si="14"/>
        <v>792</v>
      </c>
      <c r="AU36" s="246">
        <f t="shared" si="14"/>
        <v>13413</v>
      </c>
      <c r="AV36" s="246">
        <f t="shared" si="14"/>
        <v>44</v>
      </c>
      <c r="AW36" s="246">
        <f t="shared" si="14"/>
        <v>7</v>
      </c>
      <c r="AX36" s="246">
        <f t="shared" si="15"/>
        <v>395</v>
      </c>
      <c r="AY36" s="246">
        <f t="shared" si="15"/>
        <v>0</v>
      </c>
      <c r="AZ36" s="246">
        <f t="shared" si="15"/>
        <v>0</v>
      </c>
      <c r="BA36" s="246">
        <f t="shared" si="15"/>
        <v>0</v>
      </c>
      <c r="BB36" s="246">
        <f t="shared" si="15"/>
        <v>620</v>
      </c>
      <c r="BC36" s="246">
        <f t="shared" si="15"/>
        <v>23264</v>
      </c>
      <c r="BD36" s="202"/>
      <c r="BE36" s="236" t="s">
        <v>22</v>
      </c>
      <c r="BF36" s="247">
        <v>415</v>
      </c>
      <c r="BG36" s="247">
        <v>116</v>
      </c>
      <c r="BH36" s="247">
        <v>1</v>
      </c>
      <c r="BI36" s="247">
        <v>0</v>
      </c>
      <c r="BJ36" s="247">
        <v>18</v>
      </c>
      <c r="BK36" s="247">
        <v>1</v>
      </c>
      <c r="BL36" s="247">
        <v>22</v>
      </c>
      <c r="BM36" s="247">
        <v>20</v>
      </c>
      <c r="BN36" s="247">
        <v>0</v>
      </c>
      <c r="BO36" s="247">
        <v>1</v>
      </c>
      <c r="BP36" s="247">
        <v>1</v>
      </c>
      <c r="BQ36" s="247">
        <v>1</v>
      </c>
      <c r="BR36" s="247">
        <v>67</v>
      </c>
      <c r="BS36" s="247">
        <v>0</v>
      </c>
      <c r="BT36" s="247">
        <v>123</v>
      </c>
      <c r="BU36" s="247">
        <v>1</v>
      </c>
      <c r="BV36" s="247">
        <v>2</v>
      </c>
      <c r="BW36" s="247">
        <v>1</v>
      </c>
      <c r="BX36" s="247">
        <v>2</v>
      </c>
      <c r="BY36" s="247">
        <v>154</v>
      </c>
      <c r="BZ36" s="247">
        <v>7</v>
      </c>
      <c r="CA36" s="247">
        <v>2</v>
      </c>
      <c r="CB36" s="247">
        <v>139</v>
      </c>
      <c r="CC36" s="247">
        <v>276</v>
      </c>
      <c r="CD36" s="247">
        <v>795</v>
      </c>
      <c r="CE36" s="247">
        <v>3</v>
      </c>
      <c r="CF36" s="247">
        <v>2</v>
      </c>
      <c r="CG36" s="247">
        <v>0</v>
      </c>
      <c r="CH36" s="247">
        <v>37</v>
      </c>
      <c r="CI36" s="247">
        <v>241</v>
      </c>
      <c r="CJ36" s="247">
        <v>286</v>
      </c>
      <c r="CK36" s="247">
        <v>159</v>
      </c>
      <c r="CL36" s="247">
        <v>0</v>
      </c>
      <c r="CM36" s="247">
        <v>0</v>
      </c>
      <c r="CN36" s="247">
        <v>172</v>
      </c>
      <c r="CO36" s="247">
        <v>2119</v>
      </c>
      <c r="CP36" s="247">
        <v>688</v>
      </c>
      <c r="CQ36" s="247">
        <v>0</v>
      </c>
      <c r="CR36" s="247">
        <v>1053</v>
      </c>
      <c r="CS36" s="247">
        <v>30</v>
      </c>
      <c r="CT36" s="247">
        <v>6</v>
      </c>
      <c r="CU36" s="247">
        <v>0</v>
      </c>
      <c r="CV36" s="247">
        <v>76</v>
      </c>
      <c r="CW36" s="247">
        <v>124</v>
      </c>
      <c r="CX36" s="247">
        <v>499</v>
      </c>
      <c r="CY36" s="247">
        <v>11714</v>
      </c>
      <c r="CZ36" s="247">
        <v>11</v>
      </c>
      <c r="DA36" s="247">
        <v>0</v>
      </c>
      <c r="DB36" s="247">
        <v>392</v>
      </c>
      <c r="DC36" s="247">
        <v>0</v>
      </c>
      <c r="DD36" s="247">
        <v>0</v>
      </c>
      <c r="DE36" s="247">
        <v>0</v>
      </c>
      <c r="DF36" s="247">
        <v>182</v>
      </c>
      <c r="DG36" s="247">
        <v>17425</v>
      </c>
      <c r="DH36" s="247"/>
      <c r="DI36" s="248" t="s">
        <v>22</v>
      </c>
      <c r="DJ36" s="249">
        <v>1042</v>
      </c>
      <c r="DK36" s="249">
        <v>1482</v>
      </c>
      <c r="DL36" s="249">
        <v>0</v>
      </c>
      <c r="DM36" s="249">
        <v>0</v>
      </c>
      <c r="DN36" s="249">
        <v>0</v>
      </c>
      <c r="DO36" s="249">
        <v>0</v>
      </c>
      <c r="DP36" s="249">
        <v>0</v>
      </c>
      <c r="DQ36" s="249">
        <v>0</v>
      </c>
      <c r="DR36" s="249">
        <v>0</v>
      </c>
      <c r="DS36" s="249">
        <v>0</v>
      </c>
      <c r="DT36" s="249">
        <v>10</v>
      </c>
      <c r="DU36" s="249">
        <v>0</v>
      </c>
      <c r="DV36" s="249">
        <v>0</v>
      </c>
      <c r="DW36" s="249">
        <v>0</v>
      </c>
      <c r="DX36" s="249">
        <v>0</v>
      </c>
      <c r="DY36" s="249">
        <v>0</v>
      </c>
      <c r="DZ36" s="249">
        <v>0</v>
      </c>
      <c r="EA36" s="249">
        <v>1014</v>
      </c>
      <c r="EB36" s="249">
        <v>0</v>
      </c>
      <c r="EC36" s="249">
        <v>18</v>
      </c>
      <c r="ED36" s="249">
        <v>0</v>
      </c>
      <c r="EE36" s="249">
        <v>0</v>
      </c>
      <c r="EF36" s="249">
        <v>0</v>
      </c>
      <c r="EG36" s="249">
        <v>0</v>
      </c>
      <c r="EH36" s="249">
        <v>723</v>
      </c>
      <c r="EI36" s="249">
        <v>0</v>
      </c>
      <c r="EJ36" s="249">
        <v>0</v>
      </c>
      <c r="EK36" s="249">
        <v>11</v>
      </c>
      <c r="EL36" s="249">
        <v>0</v>
      </c>
      <c r="EM36" s="249">
        <v>0</v>
      </c>
      <c r="EN36" s="249">
        <v>0</v>
      </c>
      <c r="EO36" s="249">
        <v>0</v>
      </c>
      <c r="EP36" s="249">
        <v>0</v>
      </c>
      <c r="EQ36" s="249">
        <v>0</v>
      </c>
      <c r="ER36" s="249">
        <v>4</v>
      </c>
      <c r="ES36" s="249">
        <v>738</v>
      </c>
      <c r="ET36" s="249">
        <v>104</v>
      </c>
      <c r="EU36" s="249">
        <v>0</v>
      </c>
      <c r="EV36" s="249">
        <v>0</v>
      </c>
      <c r="EW36" s="249">
        <v>0</v>
      </c>
      <c r="EX36" s="249">
        <v>0</v>
      </c>
      <c r="EY36" s="249">
        <v>0</v>
      </c>
      <c r="EZ36" s="249">
        <v>0</v>
      </c>
      <c r="FA36" s="249">
        <v>0</v>
      </c>
      <c r="FB36" s="249">
        <v>293</v>
      </c>
      <c r="FC36" s="249">
        <v>1699</v>
      </c>
      <c r="FD36" s="249">
        <v>33</v>
      </c>
      <c r="FE36" s="249">
        <v>7</v>
      </c>
      <c r="FF36" s="249">
        <v>3</v>
      </c>
      <c r="FG36" s="249">
        <v>0</v>
      </c>
      <c r="FH36" s="249">
        <v>0</v>
      </c>
      <c r="FI36" s="249">
        <v>0</v>
      </c>
      <c r="FJ36" s="249">
        <v>438</v>
      </c>
      <c r="FK36" s="249">
        <v>5839</v>
      </c>
    </row>
    <row r="37" spans="1:167" x14ac:dyDescent="0.25">
      <c r="A37" s="236" t="s">
        <v>21</v>
      </c>
      <c r="B37" s="246">
        <f t="shared" si="12"/>
        <v>43070</v>
      </c>
      <c r="C37" s="246">
        <f t="shared" si="12"/>
        <v>3580</v>
      </c>
      <c r="D37" s="246">
        <f t="shared" si="12"/>
        <v>886</v>
      </c>
      <c r="E37" s="246">
        <f t="shared" si="12"/>
        <v>279</v>
      </c>
      <c r="F37" s="246">
        <f t="shared" si="12"/>
        <v>350</v>
      </c>
      <c r="G37" s="246">
        <f t="shared" si="12"/>
        <v>80</v>
      </c>
      <c r="H37" s="246">
        <f t="shared" si="12"/>
        <v>329</v>
      </c>
      <c r="I37" s="246">
        <f t="shared" si="12"/>
        <v>437</v>
      </c>
      <c r="J37" s="246">
        <f t="shared" si="12"/>
        <v>71</v>
      </c>
      <c r="K37" s="246">
        <f t="shared" si="12"/>
        <v>90</v>
      </c>
      <c r="L37" s="246">
        <f t="shared" si="12"/>
        <v>211</v>
      </c>
      <c r="M37" s="246">
        <f t="shared" si="12"/>
        <v>733</v>
      </c>
      <c r="N37" s="246">
        <f t="shared" si="12"/>
        <v>1470</v>
      </c>
      <c r="O37" s="246">
        <f t="shared" si="12"/>
        <v>46</v>
      </c>
      <c r="P37" s="246">
        <f t="shared" si="12"/>
        <v>3899</v>
      </c>
      <c r="Q37" s="246">
        <f t="shared" si="12"/>
        <v>63</v>
      </c>
      <c r="R37" s="246">
        <f t="shared" si="13"/>
        <v>212</v>
      </c>
      <c r="S37" s="246">
        <f t="shared" si="13"/>
        <v>30494</v>
      </c>
      <c r="T37" s="246">
        <f t="shared" si="13"/>
        <v>41</v>
      </c>
      <c r="U37" s="246">
        <f t="shared" si="13"/>
        <v>3379</v>
      </c>
      <c r="V37" s="246">
        <f t="shared" si="13"/>
        <v>1459</v>
      </c>
      <c r="W37" s="246">
        <f t="shared" si="13"/>
        <v>189</v>
      </c>
      <c r="X37" s="246">
        <f t="shared" si="13"/>
        <v>4264</v>
      </c>
      <c r="Y37" s="246">
        <f t="shared" si="13"/>
        <v>2559</v>
      </c>
      <c r="Z37" s="246">
        <f t="shared" si="13"/>
        <v>3634</v>
      </c>
      <c r="AA37" s="246">
        <f t="shared" si="13"/>
        <v>622</v>
      </c>
      <c r="AB37" s="246">
        <f t="shared" si="13"/>
        <v>195</v>
      </c>
      <c r="AC37" s="246">
        <f t="shared" si="13"/>
        <v>293</v>
      </c>
      <c r="AD37" s="246">
        <f t="shared" si="13"/>
        <v>481</v>
      </c>
      <c r="AE37" s="246">
        <f t="shared" si="13"/>
        <v>2178</v>
      </c>
      <c r="AF37" s="246">
        <f t="shared" si="13"/>
        <v>2142</v>
      </c>
      <c r="AG37" s="246">
        <f t="shared" si="13"/>
        <v>975</v>
      </c>
      <c r="AH37" s="246">
        <f t="shared" si="14"/>
        <v>427</v>
      </c>
      <c r="AI37" s="246">
        <f t="shared" si="14"/>
        <v>404</v>
      </c>
      <c r="AJ37" s="246">
        <f t="shared" si="14"/>
        <v>1372</v>
      </c>
      <c r="AK37" s="246">
        <f t="shared" si="14"/>
        <v>21194</v>
      </c>
      <c r="AL37" s="246">
        <f t="shared" si="14"/>
        <v>463</v>
      </c>
      <c r="AM37" s="246">
        <f t="shared" si="14"/>
        <v>49</v>
      </c>
      <c r="AN37" s="246">
        <f t="shared" si="14"/>
        <v>1378</v>
      </c>
      <c r="AO37" s="246">
        <f t="shared" si="14"/>
        <v>520</v>
      </c>
      <c r="AP37" s="246">
        <f t="shared" si="14"/>
        <v>95</v>
      </c>
      <c r="AQ37" s="246">
        <f t="shared" si="14"/>
        <v>963</v>
      </c>
      <c r="AR37" s="246">
        <f t="shared" si="14"/>
        <v>68</v>
      </c>
      <c r="AS37" s="246">
        <f t="shared" si="14"/>
        <v>688</v>
      </c>
      <c r="AT37" s="246">
        <f t="shared" si="14"/>
        <v>7120</v>
      </c>
      <c r="AU37" s="246">
        <f t="shared" si="14"/>
        <v>5311</v>
      </c>
      <c r="AV37" s="246">
        <f t="shared" si="14"/>
        <v>12</v>
      </c>
      <c r="AW37" s="246">
        <f t="shared" si="14"/>
        <v>36</v>
      </c>
      <c r="AX37" s="246">
        <f t="shared" si="15"/>
        <v>3043</v>
      </c>
      <c r="AY37" s="246">
        <f t="shared" si="15"/>
        <v>0</v>
      </c>
      <c r="AZ37" s="246">
        <f t="shared" si="15"/>
        <v>106</v>
      </c>
      <c r="BA37" s="246">
        <f t="shared" si="15"/>
        <v>16</v>
      </c>
      <c r="BB37" s="246">
        <f t="shared" si="15"/>
        <v>4242</v>
      </c>
      <c r="BC37" s="246">
        <f t="shared" si="15"/>
        <v>91954</v>
      </c>
      <c r="BD37" s="202"/>
      <c r="BE37" s="236" t="s">
        <v>21</v>
      </c>
      <c r="BF37" s="247">
        <v>11852</v>
      </c>
      <c r="BG37" s="247">
        <v>985</v>
      </c>
      <c r="BH37" s="247">
        <v>764</v>
      </c>
      <c r="BI37" s="247">
        <v>127</v>
      </c>
      <c r="BJ37" s="247">
        <v>342</v>
      </c>
      <c r="BK37" s="247">
        <v>79</v>
      </c>
      <c r="BL37" s="247">
        <v>284</v>
      </c>
      <c r="BM37" s="247">
        <v>437</v>
      </c>
      <c r="BN37" s="247">
        <v>4</v>
      </c>
      <c r="BO37" s="247">
        <v>59</v>
      </c>
      <c r="BP37" s="247">
        <v>81</v>
      </c>
      <c r="BQ37" s="247">
        <v>610</v>
      </c>
      <c r="BR37" s="247">
        <v>1423</v>
      </c>
      <c r="BS37" s="247">
        <v>45</v>
      </c>
      <c r="BT37" s="247">
        <v>3566</v>
      </c>
      <c r="BU37" s="247">
        <v>55</v>
      </c>
      <c r="BV37" s="247">
        <v>178</v>
      </c>
      <c r="BW37" s="247">
        <v>2229</v>
      </c>
      <c r="BX37" s="247">
        <v>41</v>
      </c>
      <c r="BY37" s="247">
        <v>1528</v>
      </c>
      <c r="BZ37" s="247">
        <v>1459</v>
      </c>
      <c r="CA37" s="247">
        <v>189</v>
      </c>
      <c r="CB37" s="247">
        <v>4237</v>
      </c>
      <c r="CC37" s="247">
        <v>2466</v>
      </c>
      <c r="CD37" s="247">
        <v>551</v>
      </c>
      <c r="CE37" s="247">
        <v>622</v>
      </c>
      <c r="CF37" s="247">
        <v>191</v>
      </c>
      <c r="CG37" s="247">
        <v>185</v>
      </c>
      <c r="CH37" s="247">
        <v>481</v>
      </c>
      <c r="CI37" s="247">
        <v>2160</v>
      </c>
      <c r="CJ37" s="247">
        <v>2142</v>
      </c>
      <c r="CK37" s="247">
        <v>975</v>
      </c>
      <c r="CL37" s="247">
        <v>191</v>
      </c>
      <c r="CM37" s="247">
        <v>404</v>
      </c>
      <c r="CN37" s="247">
        <v>1047</v>
      </c>
      <c r="CO37" s="247">
        <v>17300</v>
      </c>
      <c r="CP37" s="247">
        <v>267</v>
      </c>
      <c r="CQ37" s="247">
        <v>49</v>
      </c>
      <c r="CR37" s="247">
        <v>1378</v>
      </c>
      <c r="CS37" s="247">
        <v>520</v>
      </c>
      <c r="CT37" s="247">
        <v>95</v>
      </c>
      <c r="CU37" s="247">
        <v>906</v>
      </c>
      <c r="CV37" s="247">
        <v>68</v>
      </c>
      <c r="CW37" s="247">
        <v>521</v>
      </c>
      <c r="CX37" s="247">
        <v>4157</v>
      </c>
      <c r="CY37" s="247">
        <v>5249</v>
      </c>
      <c r="CZ37" s="247">
        <v>12</v>
      </c>
      <c r="DA37" s="247">
        <v>33</v>
      </c>
      <c r="DB37" s="247">
        <v>2360</v>
      </c>
      <c r="DC37" s="247">
        <v>0</v>
      </c>
      <c r="DD37" s="247">
        <v>106</v>
      </c>
      <c r="DE37" s="247">
        <v>16</v>
      </c>
      <c r="DF37" s="247">
        <v>4082</v>
      </c>
      <c r="DG37" s="247">
        <v>49956</v>
      </c>
      <c r="DH37" s="247"/>
      <c r="DI37" s="248" t="s">
        <v>21</v>
      </c>
      <c r="DJ37" s="249">
        <v>31218</v>
      </c>
      <c r="DK37" s="249">
        <v>2595</v>
      </c>
      <c r="DL37" s="249">
        <v>122</v>
      </c>
      <c r="DM37" s="249">
        <v>152</v>
      </c>
      <c r="DN37" s="249">
        <v>8</v>
      </c>
      <c r="DO37" s="249">
        <v>1</v>
      </c>
      <c r="DP37" s="249">
        <v>45</v>
      </c>
      <c r="DQ37" s="249">
        <v>0</v>
      </c>
      <c r="DR37" s="249">
        <v>67</v>
      </c>
      <c r="DS37" s="249">
        <v>31</v>
      </c>
      <c r="DT37" s="249">
        <v>130</v>
      </c>
      <c r="DU37" s="249">
        <v>123</v>
      </c>
      <c r="DV37" s="249">
        <v>47</v>
      </c>
      <c r="DW37" s="249">
        <v>1</v>
      </c>
      <c r="DX37" s="249">
        <v>333</v>
      </c>
      <c r="DY37" s="249">
        <v>8</v>
      </c>
      <c r="DZ37" s="249">
        <v>34</v>
      </c>
      <c r="EA37" s="249">
        <v>28265</v>
      </c>
      <c r="EB37" s="249">
        <v>0</v>
      </c>
      <c r="EC37" s="249">
        <v>1851</v>
      </c>
      <c r="ED37" s="249">
        <v>0</v>
      </c>
      <c r="EE37" s="249">
        <v>0</v>
      </c>
      <c r="EF37" s="249">
        <v>27</v>
      </c>
      <c r="EG37" s="249">
        <v>93</v>
      </c>
      <c r="EH37" s="249">
        <v>3083</v>
      </c>
      <c r="EI37" s="249">
        <v>0</v>
      </c>
      <c r="EJ37" s="249">
        <v>4</v>
      </c>
      <c r="EK37" s="249">
        <v>108</v>
      </c>
      <c r="EL37" s="249">
        <v>0</v>
      </c>
      <c r="EM37" s="249">
        <v>18</v>
      </c>
      <c r="EN37" s="249">
        <v>0</v>
      </c>
      <c r="EO37" s="249">
        <v>0</v>
      </c>
      <c r="EP37" s="249">
        <v>236</v>
      </c>
      <c r="EQ37" s="249">
        <v>0</v>
      </c>
      <c r="ER37" s="249">
        <v>325</v>
      </c>
      <c r="ES37" s="249">
        <v>3894</v>
      </c>
      <c r="ET37" s="249">
        <v>196</v>
      </c>
      <c r="EU37" s="249">
        <v>0</v>
      </c>
      <c r="EV37" s="249">
        <v>0</v>
      </c>
      <c r="EW37" s="249">
        <v>0</v>
      </c>
      <c r="EX37" s="249">
        <v>0</v>
      </c>
      <c r="EY37" s="249">
        <v>57</v>
      </c>
      <c r="EZ37" s="249">
        <v>0</v>
      </c>
      <c r="FA37" s="249">
        <v>167</v>
      </c>
      <c r="FB37" s="249">
        <v>2963</v>
      </c>
      <c r="FC37" s="249">
        <v>62</v>
      </c>
      <c r="FD37" s="249">
        <v>0</v>
      </c>
      <c r="FE37" s="249">
        <v>3</v>
      </c>
      <c r="FF37" s="249">
        <v>683</v>
      </c>
      <c r="FG37" s="249">
        <v>0</v>
      </c>
      <c r="FH37" s="249">
        <v>0</v>
      </c>
      <c r="FI37" s="249">
        <v>0</v>
      </c>
      <c r="FJ37" s="249">
        <v>160</v>
      </c>
      <c r="FK37" s="249">
        <v>41998</v>
      </c>
    </row>
    <row r="38" spans="1:167" x14ac:dyDescent="0.25">
      <c r="A38" s="236" t="s">
        <v>20</v>
      </c>
      <c r="B38" s="246">
        <f t="shared" si="12"/>
        <v>169446</v>
      </c>
      <c r="C38" s="246">
        <f t="shared" si="12"/>
        <v>4274</v>
      </c>
      <c r="D38" s="246">
        <f t="shared" si="12"/>
        <v>1066</v>
      </c>
      <c r="E38" s="246">
        <f t="shared" si="12"/>
        <v>273</v>
      </c>
      <c r="F38" s="246">
        <f t="shared" si="12"/>
        <v>498</v>
      </c>
      <c r="G38" s="246">
        <f t="shared" si="12"/>
        <v>2135</v>
      </c>
      <c r="H38" s="246">
        <f t="shared" si="12"/>
        <v>86529</v>
      </c>
      <c r="I38" s="246">
        <f t="shared" si="12"/>
        <v>9128</v>
      </c>
      <c r="J38" s="246">
        <f t="shared" si="12"/>
        <v>426</v>
      </c>
      <c r="K38" s="246">
        <f t="shared" si="12"/>
        <v>21461</v>
      </c>
      <c r="L38" s="246">
        <f t="shared" si="12"/>
        <v>4706</v>
      </c>
      <c r="M38" s="246">
        <f t="shared" si="12"/>
        <v>2963</v>
      </c>
      <c r="N38" s="246">
        <f t="shared" si="12"/>
        <v>34</v>
      </c>
      <c r="O38" s="246">
        <f t="shared" si="12"/>
        <v>4071</v>
      </c>
      <c r="P38" s="246">
        <f t="shared" si="12"/>
        <v>3584</v>
      </c>
      <c r="Q38" s="246">
        <f t="shared" si="12"/>
        <v>352</v>
      </c>
      <c r="R38" s="246">
        <f t="shared" si="13"/>
        <v>1329</v>
      </c>
      <c r="S38" s="246">
        <f t="shared" si="13"/>
        <v>22072</v>
      </c>
      <c r="T38" s="246">
        <f t="shared" si="13"/>
        <v>130</v>
      </c>
      <c r="U38" s="246">
        <f t="shared" si="13"/>
        <v>8689</v>
      </c>
      <c r="V38" s="246">
        <f t="shared" si="13"/>
        <v>299</v>
      </c>
      <c r="W38" s="246">
        <f t="shared" si="13"/>
        <v>12</v>
      </c>
      <c r="X38" s="246">
        <f t="shared" si="13"/>
        <v>2358</v>
      </c>
      <c r="Y38" s="246">
        <f t="shared" si="13"/>
        <v>278</v>
      </c>
      <c r="Z38" s="246">
        <f t="shared" si="13"/>
        <v>6100</v>
      </c>
      <c r="AA38" s="246">
        <f t="shared" si="13"/>
        <v>439</v>
      </c>
      <c r="AB38" s="246">
        <f t="shared" si="13"/>
        <v>156</v>
      </c>
      <c r="AC38" s="246">
        <f t="shared" si="13"/>
        <v>132</v>
      </c>
      <c r="AD38" s="246">
        <f t="shared" si="13"/>
        <v>753</v>
      </c>
      <c r="AE38" s="246">
        <f t="shared" si="13"/>
        <v>25320</v>
      </c>
      <c r="AF38" s="246">
        <f t="shared" si="13"/>
        <v>658</v>
      </c>
      <c r="AG38" s="246">
        <f t="shared" si="13"/>
        <v>529</v>
      </c>
      <c r="AH38" s="246">
        <f t="shared" si="14"/>
        <v>179</v>
      </c>
      <c r="AI38" s="246">
        <f t="shared" si="14"/>
        <v>354</v>
      </c>
      <c r="AJ38" s="246">
        <f t="shared" si="14"/>
        <v>1378</v>
      </c>
      <c r="AK38" s="246">
        <f t="shared" si="14"/>
        <v>38945</v>
      </c>
      <c r="AL38" s="246">
        <f t="shared" si="14"/>
        <v>5565</v>
      </c>
      <c r="AM38" s="246">
        <f t="shared" si="14"/>
        <v>4</v>
      </c>
      <c r="AN38" s="246">
        <f t="shared" si="14"/>
        <v>51</v>
      </c>
      <c r="AO38" s="246">
        <f t="shared" si="14"/>
        <v>11395</v>
      </c>
      <c r="AP38" s="246">
        <f t="shared" si="14"/>
        <v>15210</v>
      </c>
      <c r="AQ38" s="246">
        <f t="shared" si="14"/>
        <v>3676</v>
      </c>
      <c r="AR38" s="246">
        <f t="shared" si="14"/>
        <v>3</v>
      </c>
      <c r="AS38" s="246">
        <f t="shared" si="14"/>
        <v>631679</v>
      </c>
      <c r="AT38" s="246">
        <f t="shared" si="14"/>
        <v>11520</v>
      </c>
      <c r="AU38" s="246">
        <f t="shared" si="14"/>
        <v>5742</v>
      </c>
      <c r="AV38" s="246">
        <f t="shared" si="14"/>
        <v>6125</v>
      </c>
      <c r="AW38" s="246">
        <f t="shared" si="14"/>
        <v>1085</v>
      </c>
      <c r="AX38" s="246">
        <f t="shared" si="15"/>
        <v>10439</v>
      </c>
      <c r="AY38" s="246">
        <f t="shared" si="15"/>
        <v>3202</v>
      </c>
      <c r="AZ38" s="246">
        <f t="shared" si="15"/>
        <v>14999</v>
      </c>
      <c r="BA38" s="246">
        <f t="shared" si="15"/>
        <v>11543</v>
      </c>
      <c r="BB38" s="246">
        <f t="shared" si="15"/>
        <v>527928</v>
      </c>
      <c r="BC38" s="246">
        <f t="shared" si="15"/>
        <v>1472831</v>
      </c>
      <c r="BD38" s="202"/>
      <c r="BE38" s="236" t="s">
        <v>20</v>
      </c>
      <c r="BF38" s="247">
        <v>96505</v>
      </c>
      <c r="BG38" s="247">
        <v>3681</v>
      </c>
      <c r="BH38" s="247">
        <v>920</v>
      </c>
      <c r="BI38" s="247">
        <v>126</v>
      </c>
      <c r="BJ38" s="247">
        <v>433</v>
      </c>
      <c r="BK38" s="247">
        <v>2049</v>
      </c>
      <c r="BL38" s="247">
        <v>58376</v>
      </c>
      <c r="BM38" s="247">
        <v>7259</v>
      </c>
      <c r="BN38" s="247">
        <v>210</v>
      </c>
      <c r="BO38" s="247">
        <v>8648</v>
      </c>
      <c r="BP38" s="247">
        <v>1763</v>
      </c>
      <c r="BQ38" s="247">
        <v>1706</v>
      </c>
      <c r="BR38" s="247">
        <v>30</v>
      </c>
      <c r="BS38" s="247">
        <v>2265</v>
      </c>
      <c r="BT38" s="247">
        <v>2104</v>
      </c>
      <c r="BU38" s="247">
        <v>156</v>
      </c>
      <c r="BV38" s="247">
        <v>559</v>
      </c>
      <c r="BW38" s="247">
        <v>3600</v>
      </c>
      <c r="BX38" s="247">
        <v>69</v>
      </c>
      <c r="BY38" s="247">
        <v>6232</v>
      </c>
      <c r="BZ38" s="247">
        <v>299</v>
      </c>
      <c r="CA38" s="247">
        <v>12</v>
      </c>
      <c r="CB38" s="247">
        <v>2321</v>
      </c>
      <c r="CC38" s="247">
        <v>278</v>
      </c>
      <c r="CD38" s="247">
        <v>715</v>
      </c>
      <c r="CE38" s="247">
        <v>365</v>
      </c>
      <c r="CF38" s="247">
        <v>153</v>
      </c>
      <c r="CG38" s="247">
        <v>16</v>
      </c>
      <c r="CH38" s="247">
        <v>753</v>
      </c>
      <c r="CI38" s="247">
        <v>25163</v>
      </c>
      <c r="CJ38" s="247">
        <v>658</v>
      </c>
      <c r="CK38" s="247">
        <v>529</v>
      </c>
      <c r="CL38" s="247">
        <v>178</v>
      </c>
      <c r="CM38" s="247">
        <v>354</v>
      </c>
      <c r="CN38" s="247">
        <v>1378</v>
      </c>
      <c r="CO38" s="247">
        <v>33172</v>
      </c>
      <c r="CP38" s="247">
        <v>5562</v>
      </c>
      <c r="CQ38" s="247">
        <v>4</v>
      </c>
      <c r="CR38" s="247">
        <v>51</v>
      </c>
      <c r="CS38" s="247">
        <v>11395</v>
      </c>
      <c r="CT38" s="247">
        <v>15210</v>
      </c>
      <c r="CU38" s="247">
        <v>3568</v>
      </c>
      <c r="CV38" s="247">
        <v>3</v>
      </c>
      <c r="CW38" s="247">
        <v>580901</v>
      </c>
      <c r="CX38" s="247">
        <v>3504</v>
      </c>
      <c r="CY38" s="247">
        <v>5741</v>
      </c>
      <c r="CZ38" s="247">
        <v>5294</v>
      </c>
      <c r="DA38" s="247">
        <v>134</v>
      </c>
      <c r="DB38" s="247">
        <v>7787</v>
      </c>
      <c r="DC38" s="247">
        <v>3064</v>
      </c>
      <c r="DD38" s="247">
        <v>14999</v>
      </c>
      <c r="DE38" s="247">
        <v>11540</v>
      </c>
      <c r="DF38" s="247">
        <v>527680</v>
      </c>
      <c r="DG38" s="247">
        <v>1329795</v>
      </c>
      <c r="DH38" s="247"/>
      <c r="DI38" s="248" t="s">
        <v>20</v>
      </c>
      <c r="DJ38" s="249">
        <v>72941</v>
      </c>
      <c r="DK38" s="249">
        <v>593</v>
      </c>
      <c r="DL38" s="249">
        <v>146</v>
      </c>
      <c r="DM38" s="249">
        <v>147</v>
      </c>
      <c r="DN38" s="249">
        <v>65</v>
      </c>
      <c r="DO38" s="249">
        <v>86</v>
      </c>
      <c r="DP38" s="249">
        <v>28153</v>
      </c>
      <c r="DQ38" s="249">
        <v>1869</v>
      </c>
      <c r="DR38" s="249">
        <v>216</v>
      </c>
      <c r="DS38" s="249">
        <v>12813</v>
      </c>
      <c r="DT38" s="249">
        <v>2943</v>
      </c>
      <c r="DU38" s="249">
        <v>1257</v>
      </c>
      <c r="DV38" s="249">
        <v>4</v>
      </c>
      <c r="DW38" s="249">
        <v>1806</v>
      </c>
      <c r="DX38" s="249">
        <v>1480</v>
      </c>
      <c r="DY38" s="249">
        <v>196</v>
      </c>
      <c r="DZ38" s="249">
        <v>770</v>
      </c>
      <c r="EA38" s="249">
        <v>18472</v>
      </c>
      <c r="EB38" s="249">
        <v>61</v>
      </c>
      <c r="EC38" s="249">
        <v>2457</v>
      </c>
      <c r="ED38" s="249">
        <v>0</v>
      </c>
      <c r="EE38" s="249">
        <v>0</v>
      </c>
      <c r="EF38" s="249">
        <v>37</v>
      </c>
      <c r="EG38" s="249">
        <v>0</v>
      </c>
      <c r="EH38" s="249">
        <v>5385</v>
      </c>
      <c r="EI38" s="249">
        <v>74</v>
      </c>
      <c r="EJ38" s="249">
        <v>3</v>
      </c>
      <c r="EK38" s="249">
        <v>116</v>
      </c>
      <c r="EL38" s="249">
        <v>0</v>
      </c>
      <c r="EM38" s="249">
        <v>157</v>
      </c>
      <c r="EN38" s="249">
        <v>0</v>
      </c>
      <c r="EO38" s="249">
        <v>0</v>
      </c>
      <c r="EP38" s="249">
        <v>1</v>
      </c>
      <c r="EQ38" s="249">
        <v>0</v>
      </c>
      <c r="ER38" s="249">
        <v>0</v>
      </c>
      <c r="ES38" s="249">
        <v>5773</v>
      </c>
      <c r="ET38" s="249">
        <v>3</v>
      </c>
      <c r="EU38" s="249">
        <v>0</v>
      </c>
      <c r="EV38" s="249">
        <v>0</v>
      </c>
      <c r="EW38" s="249">
        <v>0</v>
      </c>
      <c r="EX38" s="249">
        <v>0</v>
      </c>
      <c r="EY38" s="249">
        <v>108</v>
      </c>
      <c r="EZ38" s="249">
        <v>0</v>
      </c>
      <c r="FA38" s="249">
        <v>50778</v>
      </c>
      <c r="FB38" s="249">
        <v>8016</v>
      </c>
      <c r="FC38" s="249">
        <v>1</v>
      </c>
      <c r="FD38" s="249">
        <v>831</v>
      </c>
      <c r="FE38" s="249">
        <v>951</v>
      </c>
      <c r="FF38" s="249">
        <v>2652</v>
      </c>
      <c r="FG38" s="249">
        <v>138</v>
      </c>
      <c r="FH38" s="249">
        <v>0</v>
      </c>
      <c r="FI38" s="249">
        <v>3</v>
      </c>
      <c r="FJ38" s="249">
        <v>248</v>
      </c>
      <c r="FK38" s="249">
        <v>143036</v>
      </c>
    </row>
    <row r="39" spans="1:167" x14ac:dyDescent="0.25">
      <c r="A39" s="236" t="s">
        <v>19</v>
      </c>
      <c r="B39" s="246">
        <f t="shared" si="12"/>
        <v>26463</v>
      </c>
      <c r="C39" s="246">
        <f t="shared" si="12"/>
        <v>293</v>
      </c>
      <c r="D39" s="246">
        <f t="shared" si="12"/>
        <v>251</v>
      </c>
      <c r="E39" s="246">
        <f t="shared" si="12"/>
        <v>6</v>
      </c>
      <c r="F39" s="246">
        <f t="shared" si="12"/>
        <v>3</v>
      </c>
      <c r="G39" s="246">
        <f t="shared" si="12"/>
        <v>5</v>
      </c>
      <c r="H39" s="246">
        <f t="shared" si="12"/>
        <v>723</v>
      </c>
      <c r="I39" s="246">
        <f t="shared" si="12"/>
        <v>144</v>
      </c>
      <c r="J39" s="246">
        <f t="shared" si="12"/>
        <v>19</v>
      </c>
      <c r="K39" s="246">
        <f t="shared" si="12"/>
        <v>129</v>
      </c>
      <c r="L39" s="246">
        <f t="shared" si="12"/>
        <v>42</v>
      </c>
      <c r="M39" s="246">
        <f t="shared" si="12"/>
        <v>18</v>
      </c>
      <c r="N39" s="246">
        <f t="shared" si="12"/>
        <v>7</v>
      </c>
      <c r="O39" s="246">
        <f t="shared" si="12"/>
        <v>2</v>
      </c>
      <c r="P39" s="246">
        <f t="shared" si="12"/>
        <v>258</v>
      </c>
      <c r="Q39" s="246">
        <f t="shared" si="12"/>
        <v>31</v>
      </c>
      <c r="R39" s="246">
        <f t="shared" si="13"/>
        <v>2</v>
      </c>
      <c r="S39" s="246">
        <f t="shared" si="13"/>
        <v>24259</v>
      </c>
      <c r="T39" s="246">
        <f t="shared" si="13"/>
        <v>11</v>
      </c>
      <c r="U39" s="246">
        <f t="shared" si="13"/>
        <v>553</v>
      </c>
      <c r="V39" s="246">
        <f t="shared" si="13"/>
        <v>214</v>
      </c>
      <c r="W39" s="246">
        <f t="shared" si="13"/>
        <v>22</v>
      </c>
      <c r="X39" s="246">
        <f t="shared" si="13"/>
        <v>1925</v>
      </c>
      <c r="Y39" s="246">
        <f t="shared" si="13"/>
        <v>321</v>
      </c>
      <c r="Z39" s="246">
        <f t="shared" si="13"/>
        <v>1125</v>
      </c>
      <c r="AA39" s="246">
        <f t="shared" si="13"/>
        <v>90</v>
      </c>
      <c r="AB39" s="246">
        <f t="shared" si="13"/>
        <v>19</v>
      </c>
      <c r="AC39" s="246">
        <f t="shared" si="13"/>
        <v>17</v>
      </c>
      <c r="AD39" s="246">
        <f t="shared" si="13"/>
        <v>202</v>
      </c>
      <c r="AE39" s="246">
        <f t="shared" si="13"/>
        <v>5610</v>
      </c>
      <c r="AF39" s="246">
        <f t="shared" si="13"/>
        <v>165</v>
      </c>
      <c r="AG39" s="246">
        <f t="shared" si="13"/>
        <v>62</v>
      </c>
      <c r="AH39" s="246">
        <f t="shared" si="14"/>
        <v>48</v>
      </c>
      <c r="AI39" s="246">
        <f t="shared" si="14"/>
        <v>28</v>
      </c>
      <c r="AJ39" s="246">
        <f t="shared" si="14"/>
        <v>236</v>
      </c>
      <c r="AK39" s="246">
        <f t="shared" si="14"/>
        <v>10084</v>
      </c>
      <c r="AL39" s="246">
        <f t="shared" si="14"/>
        <v>997</v>
      </c>
      <c r="AM39" s="246">
        <f t="shared" si="14"/>
        <v>6</v>
      </c>
      <c r="AN39" s="246">
        <f t="shared" si="14"/>
        <v>13</v>
      </c>
      <c r="AO39" s="246">
        <f t="shared" si="14"/>
        <v>3676</v>
      </c>
      <c r="AP39" s="246">
        <f t="shared" si="14"/>
        <v>696</v>
      </c>
      <c r="AQ39" s="246">
        <f t="shared" si="14"/>
        <v>669</v>
      </c>
      <c r="AR39" s="246">
        <f t="shared" si="14"/>
        <v>-1</v>
      </c>
      <c r="AS39" s="246">
        <f t="shared" si="14"/>
        <v>3191762</v>
      </c>
      <c r="AT39" s="246">
        <f t="shared" si="14"/>
        <v>83470</v>
      </c>
      <c r="AU39" s="246">
        <f t="shared" si="14"/>
        <v>427</v>
      </c>
      <c r="AV39" s="246">
        <f t="shared" si="14"/>
        <v>229</v>
      </c>
      <c r="AW39" s="246">
        <f t="shared" si="14"/>
        <v>26</v>
      </c>
      <c r="AX39" s="246">
        <f t="shared" si="15"/>
        <v>722</v>
      </c>
      <c r="AY39" s="246">
        <f t="shared" si="15"/>
        <v>3</v>
      </c>
      <c r="AZ39" s="246">
        <f t="shared" si="15"/>
        <v>272</v>
      </c>
      <c r="BA39" s="246">
        <f t="shared" si="15"/>
        <v>4279</v>
      </c>
      <c r="BB39" s="246">
        <f t="shared" si="15"/>
        <v>63551</v>
      </c>
      <c r="BC39" s="246">
        <f t="shared" si="15"/>
        <v>3387637</v>
      </c>
      <c r="BD39" s="202"/>
      <c r="BE39" s="236" t="s">
        <v>19</v>
      </c>
      <c r="BF39" s="247">
        <v>3169</v>
      </c>
      <c r="BG39" s="247">
        <v>284</v>
      </c>
      <c r="BH39" s="247">
        <v>251</v>
      </c>
      <c r="BI39" s="247">
        <v>6</v>
      </c>
      <c r="BJ39" s="247">
        <v>3</v>
      </c>
      <c r="BK39" s="247">
        <v>5</v>
      </c>
      <c r="BL39" s="247">
        <v>723</v>
      </c>
      <c r="BM39" s="247">
        <v>144</v>
      </c>
      <c r="BN39" s="247">
        <v>2</v>
      </c>
      <c r="BO39" s="247">
        <v>11</v>
      </c>
      <c r="BP39" s="247">
        <v>30</v>
      </c>
      <c r="BQ39" s="247">
        <v>18</v>
      </c>
      <c r="BR39" s="247">
        <v>7</v>
      </c>
      <c r="BS39" s="247">
        <v>2</v>
      </c>
      <c r="BT39" s="247">
        <v>258</v>
      </c>
      <c r="BU39" s="247">
        <v>31</v>
      </c>
      <c r="BV39" s="247">
        <v>2</v>
      </c>
      <c r="BW39" s="247">
        <v>1112</v>
      </c>
      <c r="BX39" s="247">
        <v>11</v>
      </c>
      <c r="BY39" s="247">
        <v>553</v>
      </c>
      <c r="BZ39" s="247">
        <v>214</v>
      </c>
      <c r="CA39" s="247">
        <v>22</v>
      </c>
      <c r="CB39" s="247">
        <v>1925</v>
      </c>
      <c r="CC39" s="247">
        <v>321</v>
      </c>
      <c r="CD39" s="247">
        <v>159</v>
      </c>
      <c r="CE39" s="247">
        <v>90</v>
      </c>
      <c r="CF39" s="247">
        <v>19</v>
      </c>
      <c r="CG39" s="247">
        <v>17</v>
      </c>
      <c r="CH39" s="247">
        <v>202</v>
      </c>
      <c r="CI39" s="247">
        <v>5610</v>
      </c>
      <c r="CJ39" s="247">
        <v>165</v>
      </c>
      <c r="CK39" s="247">
        <v>62</v>
      </c>
      <c r="CL39" s="247">
        <v>48</v>
      </c>
      <c r="CM39" s="247">
        <v>28</v>
      </c>
      <c r="CN39" s="247">
        <v>236</v>
      </c>
      <c r="CO39" s="247">
        <v>9118</v>
      </c>
      <c r="CP39" s="247">
        <v>997</v>
      </c>
      <c r="CQ39" s="247">
        <v>6</v>
      </c>
      <c r="CR39" s="247">
        <v>13</v>
      </c>
      <c r="CS39" s="247">
        <v>3676</v>
      </c>
      <c r="CT39" s="247">
        <v>696</v>
      </c>
      <c r="CU39" s="247">
        <v>669</v>
      </c>
      <c r="CV39" s="247">
        <v>-1</v>
      </c>
      <c r="CW39" s="247">
        <v>2750489</v>
      </c>
      <c r="CX39" s="247">
        <v>41477</v>
      </c>
      <c r="CY39" s="247">
        <v>427</v>
      </c>
      <c r="CZ39" s="247">
        <v>229</v>
      </c>
      <c r="DA39" s="247">
        <v>11</v>
      </c>
      <c r="DB39" s="247">
        <v>722</v>
      </c>
      <c r="DC39" s="247">
        <v>3</v>
      </c>
      <c r="DD39" s="247">
        <v>272</v>
      </c>
      <c r="DE39" s="247">
        <v>4268</v>
      </c>
      <c r="DF39" s="247">
        <v>63551</v>
      </c>
      <c r="DG39" s="247">
        <v>2880076</v>
      </c>
      <c r="DH39" s="247"/>
      <c r="DI39" s="248" t="s">
        <v>19</v>
      </c>
      <c r="DJ39" s="249">
        <v>23294</v>
      </c>
      <c r="DK39" s="249">
        <v>9</v>
      </c>
      <c r="DL39" s="249">
        <v>0</v>
      </c>
      <c r="DM39" s="249">
        <v>0</v>
      </c>
      <c r="DN39" s="249">
        <v>0</v>
      </c>
      <c r="DO39" s="249">
        <v>0</v>
      </c>
      <c r="DP39" s="249">
        <v>0</v>
      </c>
      <c r="DQ39" s="249">
        <v>0</v>
      </c>
      <c r="DR39" s="249">
        <v>17</v>
      </c>
      <c r="DS39" s="249">
        <v>118</v>
      </c>
      <c r="DT39" s="249">
        <v>12</v>
      </c>
      <c r="DU39" s="249">
        <v>0</v>
      </c>
      <c r="DV39" s="249">
        <v>0</v>
      </c>
      <c r="DW39" s="249">
        <v>0</v>
      </c>
      <c r="DX39" s="249">
        <v>0</v>
      </c>
      <c r="DY39" s="249">
        <v>0</v>
      </c>
      <c r="DZ39" s="249">
        <v>0</v>
      </c>
      <c r="EA39" s="249">
        <v>23147</v>
      </c>
      <c r="EB39" s="249">
        <v>0</v>
      </c>
      <c r="EC39" s="249">
        <v>0</v>
      </c>
      <c r="ED39" s="249">
        <v>0</v>
      </c>
      <c r="EE39" s="249">
        <v>0</v>
      </c>
      <c r="EF39" s="249">
        <v>0</v>
      </c>
      <c r="EG39" s="249">
        <v>0</v>
      </c>
      <c r="EH39" s="249">
        <v>966</v>
      </c>
      <c r="EI39" s="249">
        <v>0</v>
      </c>
      <c r="EJ39" s="249">
        <v>0</v>
      </c>
      <c r="EK39" s="249">
        <v>0</v>
      </c>
      <c r="EL39" s="249">
        <v>0</v>
      </c>
      <c r="EM39" s="249">
        <v>0</v>
      </c>
      <c r="EN39" s="249">
        <v>0</v>
      </c>
      <c r="EO39" s="249">
        <v>0</v>
      </c>
      <c r="EP39" s="249">
        <v>0</v>
      </c>
      <c r="EQ39" s="249">
        <v>0</v>
      </c>
      <c r="ER39" s="249">
        <v>0</v>
      </c>
      <c r="ES39" s="249">
        <v>966</v>
      </c>
      <c r="ET39" s="249">
        <v>0</v>
      </c>
      <c r="EU39" s="249">
        <v>0</v>
      </c>
      <c r="EV39" s="249">
        <v>0</v>
      </c>
      <c r="EW39" s="249">
        <v>0</v>
      </c>
      <c r="EX39" s="249">
        <v>0</v>
      </c>
      <c r="EY39" s="249">
        <v>0</v>
      </c>
      <c r="EZ39" s="249">
        <v>0</v>
      </c>
      <c r="FA39" s="249">
        <v>441273</v>
      </c>
      <c r="FB39" s="249">
        <v>41993</v>
      </c>
      <c r="FC39" s="249">
        <v>0</v>
      </c>
      <c r="FD39" s="249">
        <v>0</v>
      </c>
      <c r="FE39" s="249">
        <v>15</v>
      </c>
      <c r="FF39" s="249">
        <v>0</v>
      </c>
      <c r="FG39" s="249">
        <v>0</v>
      </c>
      <c r="FH39" s="249">
        <v>0</v>
      </c>
      <c r="FI39" s="249">
        <v>11</v>
      </c>
      <c r="FJ39" s="249">
        <v>0</v>
      </c>
      <c r="FK39" s="249">
        <v>507561</v>
      </c>
    </row>
    <row r="40" spans="1:167" x14ac:dyDescent="0.25">
      <c r="A40" s="236" t="s">
        <v>18</v>
      </c>
      <c r="B40" s="246">
        <f t="shared" si="12"/>
        <v>69972</v>
      </c>
      <c r="C40" s="246">
        <f t="shared" si="12"/>
        <v>6178</v>
      </c>
      <c r="D40" s="246">
        <f t="shared" si="12"/>
        <v>7450</v>
      </c>
      <c r="E40" s="246">
        <f t="shared" si="12"/>
        <v>477</v>
      </c>
      <c r="F40" s="246">
        <f t="shared" si="12"/>
        <v>1023</v>
      </c>
      <c r="G40" s="246">
        <f t="shared" si="12"/>
        <v>310</v>
      </c>
      <c r="H40" s="246">
        <f t="shared" si="12"/>
        <v>1993</v>
      </c>
      <c r="I40" s="246">
        <f t="shared" si="12"/>
        <v>1456</v>
      </c>
      <c r="J40" s="246">
        <f t="shared" si="12"/>
        <v>251</v>
      </c>
      <c r="K40" s="246">
        <f t="shared" si="12"/>
        <v>3296</v>
      </c>
      <c r="L40" s="246">
        <f t="shared" si="12"/>
        <v>3916</v>
      </c>
      <c r="M40" s="246">
        <f t="shared" si="12"/>
        <v>2116</v>
      </c>
      <c r="N40" s="246">
        <f t="shared" si="12"/>
        <v>520</v>
      </c>
      <c r="O40" s="246">
        <f t="shared" si="12"/>
        <v>1196</v>
      </c>
      <c r="P40" s="246">
        <f t="shared" si="12"/>
        <v>9443</v>
      </c>
      <c r="Q40" s="246">
        <f t="shared" si="12"/>
        <v>1010</v>
      </c>
      <c r="R40" s="246">
        <f t="shared" si="13"/>
        <v>1723</v>
      </c>
      <c r="S40" s="246">
        <f t="shared" si="13"/>
        <v>28984</v>
      </c>
      <c r="T40" s="246">
        <f t="shared" si="13"/>
        <v>868</v>
      </c>
      <c r="U40" s="246">
        <f t="shared" si="13"/>
        <v>3940</v>
      </c>
      <c r="V40" s="246">
        <f t="shared" si="13"/>
        <v>855</v>
      </c>
      <c r="W40" s="246">
        <f t="shared" si="13"/>
        <v>226</v>
      </c>
      <c r="X40" s="246">
        <f t="shared" si="13"/>
        <v>5559</v>
      </c>
      <c r="Y40" s="246">
        <f t="shared" si="13"/>
        <v>2902</v>
      </c>
      <c r="Z40" s="246">
        <f t="shared" si="13"/>
        <v>8118</v>
      </c>
      <c r="AA40" s="246">
        <f t="shared" si="13"/>
        <v>511</v>
      </c>
      <c r="AB40" s="246">
        <f t="shared" si="13"/>
        <v>117</v>
      </c>
      <c r="AC40" s="246">
        <f t="shared" si="13"/>
        <v>152</v>
      </c>
      <c r="AD40" s="246">
        <f t="shared" si="13"/>
        <v>4882</v>
      </c>
      <c r="AE40" s="246">
        <f t="shared" si="13"/>
        <v>3453</v>
      </c>
      <c r="AF40" s="246">
        <f t="shared" si="13"/>
        <v>872</v>
      </c>
      <c r="AG40" s="246">
        <f t="shared" si="13"/>
        <v>1033</v>
      </c>
      <c r="AH40" s="246">
        <f t="shared" si="14"/>
        <v>136</v>
      </c>
      <c r="AI40" s="246">
        <f t="shared" si="14"/>
        <v>404</v>
      </c>
      <c r="AJ40" s="246">
        <f t="shared" si="14"/>
        <v>773</v>
      </c>
      <c r="AK40" s="246">
        <f t="shared" si="14"/>
        <v>29993</v>
      </c>
      <c r="AL40" s="246">
        <f t="shared" si="14"/>
        <v>5072</v>
      </c>
      <c r="AM40" s="246">
        <f t="shared" si="14"/>
        <v>489</v>
      </c>
      <c r="AN40" s="246">
        <f t="shared" si="14"/>
        <v>1742</v>
      </c>
      <c r="AO40" s="246">
        <f t="shared" si="14"/>
        <v>6867</v>
      </c>
      <c r="AP40" s="246">
        <f t="shared" si="14"/>
        <v>1542</v>
      </c>
      <c r="AQ40" s="246">
        <f t="shared" si="14"/>
        <v>2813</v>
      </c>
      <c r="AR40" s="246">
        <f t="shared" si="14"/>
        <v>512</v>
      </c>
      <c r="AS40" s="246">
        <f t="shared" si="14"/>
        <v>56909</v>
      </c>
      <c r="AT40" s="246">
        <f t="shared" si="14"/>
        <v>56255</v>
      </c>
      <c r="AU40" s="246">
        <f t="shared" si="14"/>
        <v>3555</v>
      </c>
      <c r="AV40" s="246">
        <f t="shared" si="14"/>
        <v>4632</v>
      </c>
      <c r="AW40" s="246">
        <f t="shared" si="14"/>
        <v>1815</v>
      </c>
      <c r="AX40" s="246">
        <f t="shared" si="15"/>
        <v>75140</v>
      </c>
      <c r="AY40" s="246">
        <f t="shared" si="15"/>
        <v>4958</v>
      </c>
      <c r="AZ40" s="246">
        <f t="shared" si="15"/>
        <v>93</v>
      </c>
      <c r="BA40" s="246">
        <f t="shared" si="15"/>
        <v>13177</v>
      </c>
      <c r="BB40" s="246">
        <f t="shared" si="15"/>
        <v>464992</v>
      </c>
      <c r="BC40" s="246">
        <f t="shared" si="15"/>
        <v>806706</v>
      </c>
      <c r="BD40" s="202"/>
      <c r="BE40" s="236" t="s">
        <v>18</v>
      </c>
      <c r="BF40" s="247">
        <v>34067</v>
      </c>
      <c r="BG40" s="247">
        <v>5369</v>
      </c>
      <c r="BH40" s="247">
        <v>6303</v>
      </c>
      <c r="BI40" s="247">
        <v>432</v>
      </c>
      <c r="BJ40" s="247">
        <v>957</v>
      </c>
      <c r="BK40" s="247">
        <v>306</v>
      </c>
      <c r="BL40" s="247">
        <v>1591</v>
      </c>
      <c r="BM40" s="247">
        <v>1371</v>
      </c>
      <c r="BN40" s="247">
        <v>22</v>
      </c>
      <c r="BO40" s="247">
        <v>2405</v>
      </c>
      <c r="BP40" s="247">
        <v>2752</v>
      </c>
      <c r="BQ40" s="247">
        <v>1839</v>
      </c>
      <c r="BR40" s="247">
        <v>466</v>
      </c>
      <c r="BS40" s="247">
        <v>208</v>
      </c>
      <c r="BT40" s="247">
        <v>7274</v>
      </c>
      <c r="BU40" s="247">
        <v>566</v>
      </c>
      <c r="BV40" s="247">
        <v>979</v>
      </c>
      <c r="BW40" s="247">
        <v>2754</v>
      </c>
      <c r="BX40" s="247">
        <v>509</v>
      </c>
      <c r="BY40" s="247">
        <v>3333</v>
      </c>
      <c r="BZ40" s="247">
        <v>855</v>
      </c>
      <c r="CA40" s="247">
        <v>226</v>
      </c>
      <c r="CB40" s="247">
        <v>5463</v>
      </c>
      <c r="CC40" s="247">
        <v>2342</v>
      </c>
      <c r="CD40" s="247">
        <v>859</v>
      </c>
      <c r="CE40" s="247">
        <v>508</v>
      </c>
      <c r="CF40" s="247">
        <v>115</v>
      </c>
      <c r="CG40" s="247">
        <v>146</v>
      </c>
      <c r="CH40" s="247">
        <v>4882</v>
      </c>
      <c r="CI40" s="247">
        <v>3345</v>
      </c>
      <c r="CJ40" s="247">
        <v>871</v>
      </c>
      <c r="CK40" s="247">
        <v>1033</v>
      </c>
      <c r="CL40" s="247">
        <v>135</v>
      </c>
      <c r="CM40" s="247">
        <v>404</v>
      </c>
      <c r="CN40" s="247">
        <v>770</v>
      </c>
      <c r="CO40" s="247">
        <v>21954</v>
      </c>
      <c r="CP40" s="247">
        <v>5062</v>
      </c>
      <c r="CQ40" s="247">
        <v>489</v>
      </c>
      <c r="CR40" s="247">
        <v>1741</v>
      </c>
      <c r="CS40" s="247">
        <v>6867</v>
      </c>
      <c r="CT40" s="247">
        <v>1542</v>
      </c>
      <c r="CU40" s="247">
        <v>2238</v>
      </c>
      <c r="CV40" s="247">
        <v>512</v>
      </c>
      <c r="CW40" s="247">
        <v>43076</v>
      </c>
      <c r="CX40" s="247">
        <v>46864</v>
      </c>
      <c r="CY40" s="247">
        <v>3501</v>
      </c>
      <c r="CZ40" s="247">
        <v>2881</v>
      </c>
      <c r="DA40" s="247">
        <v>1350</v>
      </c>
      <c r="DB40" s="247">
        <v>70169</v>
      </c>
      <c r="DC40" s="247">
        <v>4958</v>
      </c>
      <c r="DD40" s="247">
        <v>93</v>
      </c>
      <c r="DE40" s="247">
        <v>13156</v>
      </c>
      <c r="DF40" s="247">
        <v>464849</v>
      </c>
      <c r="DG40" s="247">
        <v>730738</v>
      </c>
      <c r="DH40" s="247"/>
      <c r="DI40" s="248" t="s">
        <v>18</v>
      </c>
      <c r="DJ40" s="249">
        <v>35905</v>
      </c>
      <c r="DK40" s="249">
        <v>809</v>
      </c>
      <c r="DL40" s="249">
        <v>1147</v>
      </c>
      <c r="DM40" s="249">
        <v>45</v>
      </c>
      <c r="DN40" s="249">
        <v>66</v>
      </c>
      <c r="DO40" s="249">
        <v>4</v>
      </c>
      <c r="DP40" s="249">
        <v>402</v>
      </c>
      <c r="DQ40" s="249">
        <v>85</v>
      </c>
      <c r="DR40" s="249">
        <v>229</v>
      </c>
      <c r="DS40" s="249">
        <v>891</v>
      </c>
      <c r="DT40" s="249">
        <v>1164</v>
      </c>
      <c r="DU40" s="249">
        <v>277</v>
      </c>
      <c r="DV40" s="249">
        <v>54</v>
      </c>
      <c r="DW40" s="249">
        <v>988</v>
      </c>
      <c r="DX40" s="249">
        <v>2169</v>
      </c>
      <c r="DY40" s="249">
        <v>444</v>
      </c>
      <c r="DZ40" s="249">
        <v>744</v>
      </c>
      <c r="EA40" s="249">
        <v>26230</v>
      </c>
      <c r="EB40" s="249">
        <v>359</v>
      </c>
      <c r="EC40" s="249">
        <v>607</v>
      </c>
      <c r="ED40" s="249">
        <v>0</v>
      </c>
      <c r="EE40" s="249">
        <v>0</v>
      </c>
      <c r="EF40" s="249">
        <v>96</v>
      </c>
      <c r="EG40" s="249">
        <v>560</v>
      </c>
      <c r="EH40" s="249">
        <v>7259</v>
      </c>
      <c r="EI40" s="249">
        <v>3</v>
      </c>
      <c r="EJ40" s="249">
        <v>2</v>
      </c>
      <c r="EK40" s="249">
        <v>6</v>
      </c>
      <c r="EL40" s="249">
        <v>0</v>
      </c>
      <c r="EM40" s="249">
        <v>108</v>
      </c>
      <c r="EN40" s="249">
        <v>1</v>
      </c>
      <c r="EO40" s="249">
        <v>0</v>
      </c>
      <c r="EP40" s="249">
        <v>1</v>
      </c>
      <c r="EQ40" s="249">
        <v>0</v>
      </c>
      <c r="ER40" s="249">
        <v>3</v>
      </c>
      <c r="ES40" s="249">
        <v>8039</v>
      </c>
      <c r="ET40" s="249">
        <v>10</v>
      </c>
      <c r="EU40" s="249">
        <v>0</v>
      </c>
      <c r="EV40" s="249">
        <v>1</v>
      </c>
      <c r="EW40" s="249">
        <v>0</v>
      </c>
      <c r="EX40" s="249">
        <v>0</v>
      </c>
      <c r="EY40" s="249">
        <v>575</v>
      </c>
      <c r="EZ40" s="249">
        <v>0</v>
      </c>
      <c r="FA40" s="249">
        <v>13833</v>
      </c>
      <c r="FB40" s="249">
        <v>9391</v>
      </c>
      <c r="FC40" s="249">
        <v>54</v>
      </c>
      <c r="FD40" s="249">
        <v>1751</v>
      </c>
      <c r="FE40" s="249">
        <v>465</v>
      </c>
      <c r="FF40" s="249">
        <v>4971</v>
      </c>
      <c r="FG40" s="249">
        <v>0</v>
      </c>
      <c r="FH40" s="249">
        <v>0</v>
      </c>
      <c r="FI40" s="249">
        <v>21</v>
      </c>
      <c r="FJ40" s="249">
        <v>143</v>
      </c>
      <c r="FK40" s="249">
        <v>75968</v>
      </c>
    </row>
    <row r="41" spans="1:167" x14ac:dyDescent="0.25">
      <c r="A41" s="236" t="s">
        <v>17</v>
      </c>
      <c r="B41" s="246">
        <f t="shared" si="12"/>
        <v>16446322</v>
      </c>
      <c r="C41" s="246">
        <f t="shared" si="12"/>
        <v>96239</v>
      </c>
      <c r="D41" s="246">
        <f t="shared" si="12"/>
        <v>313486</v>
      </c>
      <c r="E41" s="246">
        <f t="shared" si="12"/>
        <v>105428</v>
      </c>
      <c r="F41" s="246">
        <f t="shared" si="12"/>
        <v>113315</v>
      </c>
      <c r="G41" s="246">
        <f t="shared" si="12"/>
        <v>129120</v>
      </c>
      <c r="H41" s="246">
        <f t="shared" si="12"/>
        <v>1182139</v>
      </c>
      <c r="I41" s="246">
        <f t="shared" si="12"/>
        <v>246642</v>
      </c>
      <c r="J41" s="246">
        <f t="shared" si="12"/>
        <v>138529</v>
      </c>
      <c r="K41" s="246">
        <f t="shared" si="12"/>
        <v>499366</v>
      </c>
      <c r="L41" s="246">
        <f t="shared" si="12"/>
        <v>425791</v>
      </c>
      <c r="M41" s="246">
        <f t="shared" si="12"/>
        <v>704603</v>
      </c>
      <c r="N41" s="246">
        <f t="shared" si="12"/>
        <v>98507</v>
      </c>
      <c r="O41" s="246">
        <f t="shared" si="12"/>
        <v>70411</v>
      </c>
      <c r="P41" s="246">
        <f t="shared" si="12"/>
        <v>1137449</v>
      </c>
      <c r="Q41" s="246">
        <f t="shared" si="12"/>
        <v>326686</v>
      </c>
      <c r="R41" s="246">
        <f t="shared" si="13"/>
        <v>454085</v>
      </c>
      <c r="S41" s="246">
        <f t="shared" si="13"/>
        <v>9964935</v>
      </c>
      <c r="T41" s="246">
        <f t="shared" si="13"/>
        <v>63934</v>
      </c>
      <c r="U41" s="246">
        <f t="shared" si="13"/>
        <v>471896</v>
      </c>
      <c r="V41" s="246">
        <f t="shared" si="13"/>
        <v>274172</v>
      </c>
      <c r="W41" s="246">
        <f t="shared" si="13"/>
        <v>9392</v>
      </c>
      <c r="X41" s="246">
        <f t="shared" si="13"/>
        <v>300573</v>
      </c>
      <c r="Y41" s="246">
        <f t="shared" si="13"/>
        <v>63365</v>
      </c>
      <c r="Z41" s="246">
        <f t="shared" si="13"/>
        <v>1098569</v>
      </c>
      <c r="AA41" s="246">
        <f t="shared" si="13"/>
        <v>53920</v>
      </c>
      <c r="AB41" s="246">
        <f t="shared" si="13"/>
        <v>24425</v>
      </c>
      <c r="AC41" s="246">
        <f t="shared" si="13"/>
        <v>8203</v>
      </c>
      <c r="AD41" s="246">
        <f t="shared" si="13"/>
        <v>22621</v>
      </c>
      <c r="AE41" s="246">
        <f t="shared" si="13"/>
        <v>116020</v>
      </c>
      <c r="AF41" s="246">
        <f t="shared" si="13"/>
        <v>43351</v>
      </c>
      <c r="AG41" s="246">
        <f t="shared" si="13"/>
        <v>16188</v>
      </c>
      <c r="AH41" s="246">
        <f t="shared" si="14"/>
        <v>8324</v>
      </c>
      <c r="AI41" s="246">
        <f t="shared" si="14"/>
        <v>6195</v>
      </c>
      <c r="AJ41" s="246">
        <f t="shared" si="14"/>
        <v>11473</v>
      </c>
      <c r="AK41" s="246">
        <f t="shared" si="14"/>
        <v>2056791</v>
      </c>
      <c r="AL41" s="246">
        <f t="shared" si="14"/>
        <v>65725</v>
      </c>
      <c r="AM41" s="246">
        <f t="shared" si="14"/>
        <v>87465</v>
      </c>
      <c r="AN41" s="246">
        <f t="shared" si="14"/>
        <v>24746</v>
      </c>
      <c r="AO41" s="246">
        <f t="shared" si="14"/>
        <v>146168</v>
      </c>
      <c r="AP41" s="246">
        <f t="shared" si="14"/>
        <v>98936</v>
      </c>
      <c r="AQ41" s="246">
        <f t="shared" si="14"/>
        <v>316580</v>
      </c>
      <c r="AR41" s="246">
        <f t="shared" si="14"/>
        <v>152364</v>
      </c>
      <c r="AS41" s="246">
        <f t="shared" si="14"/>
        <v>4104303</v>
      </c>
      <c r="AT41" s="246">
        <f t="shared" si="14"/>
        <v>2799338</v>
      </c>
      <c r="AU41" s="246">
        <f t="shared" si="14"/>
        <v>84447</v>
      </c>
      <c r="AV41" s="246">
        <f t="shared" si="14"/>
        <v>897376</v>
      </c>
      <c r="AW41" s="246">
        <f t="shared" si="14"/>
        <v>152520</v>
      </c>
      <c r="AX41" s="246">
        <f t="shared" si="15"/>
        <v>1130956</v>
      </c>
      <c r="AY41" s="246">
        <f t="shared" si="15"/>
        <v>50785</v>
      </c>
      <c r="AZ41" s="246">
        <f t="shared" si="15"/>
        <v>18962</v>
      </c>
      <c r="BA41" s="246">
        <f t="shared" si="15"/>
        <v>82944</v>
      </c>
      <c r="BB41" s="246">
        <f t="shared" si="15"/>
        <v>1256561</v>
      </c>
      <c r="BC41" s="246">
        <f t="shared" si="15"/>
        <v>30069528</v>
      </c>
      <c r="BD41" s="202"/>
      <c r="BE41" s="236" t="s">
        <v>17</v>
      </c>
      <c r="BF41" s="247">
        <v>2046979</v>
      </c>
      <c r="BG41" s="247">
        <v>32841</v>
      </c>
      <c r="BH41" s="247">
        <v>66386</v>
      </c>
      <c r="BI41" s="247">
        <v>19120</v>
      </c>
      <c r="BJ41" s="247">
        <v>22821</v>
      </c>
      <c r="BK41" s="247">
        <v>74500</v>
      </c>
      <c r="BL41" s="247">
        <v>420801</v>
      </c>
      <c r="BM41" s="247">
        <v>52209</v>
      </c>
      <c r="BN41" s="247">
        <v>4529</v>
      </c>
      <c r="BO41" s="247">
        <v>65753</v>
      </c>
      <c r="BP41" s="247">
        <v>49024</v>
      </c>
      <c r="BQ41" s="247">
        <v>232879</v>
      </c>
      <c r="BR41" s="247">
        <v>40502</v>
      </c>
      <c r="BS41" s="247">
        <v>12134</v>
      </c>
      <c r="BT41" s="247">
        <v>267893</v>
      </c>
      <c r="BU41" s="247">
        <v>123321</v>
      </c>
      <c r="BV41" s="247">
        <v>127391</v>
      </c>
      <c r="BW41" s="247">
        <v>235208</v>
      </c>
      <c r="BX41" s="247">
        <v>42567</v>
      </c>
      <c r="BY41" s="247">
        <v>189941</v>
      </c>
      <c r="BZ41" s="247">
        <v>274172</v>
      </c>
      <c r="CA41" s="247">
        <v>9246</v>
      </c>
      <c r="CB41" s="247">
        <v>288874</v>
      </c>
      <c r="CC41" s="247">
        <v>29478</v>
      </c>
      <c r="CD41" s="247">
        <v>35123</v>
      </c>
      <c r="CE41" s="247">
        <v>43167</v>
      </c>
      <c r="CF41" s="247">
        <v>19760</v>
      </c>
      <c r="CG41" s="247">
        <v>2269</v>
      </c>
      <c r="CH41" s="247">
        <v>22621</v>
      </c>
      <c r="CI41" s="247">
        <v>110308</v>
      </c>
      <c r="CJ41" s="247">
        <v>38181</v>
      </c>
      <c r="CK41" s="247">
        <v>16188</v>
      </c>
      <c r="CL41" s="247">
        <v>5230</v>
      </c>
      <c r="CM41" s="247">
        <v>6195</v>
      </c>
      <c r="CN41" s="247">
        <v>10014</v>
      </c>
      <c r="CO41" s="247">
        <v>910826</v>
      </c>
      <c r="CP41" s="247">
        <v>59934</v>
      </c>
      <c r="CQ41" s="247">
        <v>87016</v>
      </c>
      <c r="CR41" s="247">
        <v>23595</v>
      </c>
      <c r="CS41" s="247">
        <v>146168</v>
      </c>
      <c r="CT41" s="247">
        <v>98936</v>
      </c>
      <c r="CU41" s="247">
        <v>260397</v>
      </c>
      <c r="CV41" s="247">
        <v>151605</v>
      </c>
      <c r="CW41" s="247">
        <v>3576745</v>
      </c>
      <c r="CX41" s="247">
        <v>1438342</v>
      </c>
      <c r="CY41" s="247">
        <v>74423</v>
      </c>
      <c r="CZ41" s="247">
        <v>603146</v>
      </c>
      <c r="DA41" s="247">
        <v>32053</v>
      </c>
      <c r="DB41" s="247">
        <v>465574</v>
      </c>
      <c r="DC41" s="247">
        <v>45429</v>
      </c>
      <c r="DD41" s="247">
        <v>18962</v>
      </c>
      <c r="DE41" s="247">
        <v>81844</v>
      </c>
      <c r="DF41" s="247">
        <v>1244742</v>
      </c>
      <c r="DG41" s="247">
        <v>11399557</v>
      </c>
      <c r="DH41" s="247"/>
      <c r="DI41" s="248" t="s">
        <v>17</v>
      </c>
      <c r="DJ41" s="249">
        <v>14399343</v>
      </c>
      <c r="DK41" s="249">
        <v>63398</v>
      </c>
      <c r="DL41" s="249">
        <v>247100</v>
      </c>
      <c r="DM41" s="249">
        <v>86308</v>
      </c>
      <c r="DN41" s="249">
        <v>90494</v>
      </c>
      <c r="DO41" s="249">
        <v>54620</v>
      </c>
      <c r="DP41" s="249">
        <v>761338</v>
      </c>
      <c r="DQ41" s="249">
        <v>194433</v>
      </c>
      <c r="DR41" s="249">
        <v>134000</v>
      </c>
      <c r="DS41" s="249">
        <v>433613</v>
      </c>
      <c r="DT41" s="249">
        <v>376767</v>
      </c>
      <c r="DU41" s="249">
        <v>471724</v>
      </c>
      <c r="DV41" s="249">
        <v>58005</v>
      </c>
      <c r="DW41" s="249">
        <v>58277</v>
      </c>
      <c r="DX41" s="249">
        <v>869556</v>
      </c>
      <c r="DY41" s="249">
        <v>203365</v>
      </c>
      <c r="DZ41" s="249">
        <v>326694</v>
      </c>
      <c r="EA41" s="249">
        <v>9729727</v>
      </c>
      <c r="EB41" s="249">
        <v>21367</v>
      </c>
      <c r="EC41" s="249">
        <v>281955</v>
      </c>
      <c r="ED41" s="249">
        <v>0</v>
      </c>
      <c r="EE41" s="249">
        <v>146</v>
      </c>
      <c r="EF41" s="249">
        <v>11699</v>
      </c>
      <c r="EG41" s="249">
        <v>33887</v>
      </c>
      <c r="EH41" s="249">
        <v>1063446</v>
      </c>
      <c r="EI41" s="249">
        <v>10753</v>
      </c>
      <c r="EJ41" s="249">
        <v>4665</v>
      </c>
      <c r="EK41" s="249">
        <v>5934</v>
      </c>
      <c r="EL41" s="249">
        <v>0</v>
      </c>
      <c r="EM41" s="249">
        <v>5712</v>
      </c>
      <c r="EN41" s="249">
        <v>5170</v>
      </c>
      <c r="EO41" s="249">
        <v>0</v>
      </c>
      <c r="EP41" s="249">
        <v>3094</v>
      </c>
      <c r="EQ41" s="249">
        <v>0</v>
      </c>
      <c r="ER41" s="249">
        <v>1459</v>
      </c>
      <c r="ES41" s="249">
        <v>1145965</v>
      </c>
      <c r="ET41" s="249">
        <v>5791</v>
      </c>
      <c r="EU41" s="249">
        <v>449</v>
      </c>
      <c r="EV41" s="249">
        <v>1151</v>
      </c>
      <c r="EW41" s="249">
        <v>0</v>
      </c>
      <c r="EX41" s="249">
        <v>0</v>
      </c>
      <c r="EY41" s="249">
        <v>56183</v>
      </c>
      <c r="EZ41" s="249">
        <v>759</v>
      </c>
      <c r="FA41" s="249">
        <v>527558</v>
      </c>
      <c r="FB41" s="249">
        <v>1360996</v>
      </c>
      <c r="FC41" s="249">
        <v>10024</v>
      </c>
      <c r="FD41" s="249">
        <v>294230</v>
      </c>
      <c r="FE41" s="249">
        <v>120467</v>
      </c>
      <c r="FF41" s="249">
        <v>665382</v>
      </c>
      <c r="FG41" s="249">
        <v>5356</v>
      </c>
      <c r="FH41" s="249">
        <v>0</v>
      </c>
      <c r="FI41" s="249">
        <v>1100</v>
      </c>
      <c r="FJ41" s="249">
        <v>11819</v>
      </c>
      <c r="FK41" s="249">
        <v>18669971</v>
      </c>
    </row>
    <row r="42" spans="1:167" x14ac:dyDescent="0.25">
      <c r="A42" s="236" t="s">
        <v>16</v>
      </c>
      <c r="B42" s="246">
        <f t="shared" si="12"/>
        <v>287831</v>
      </c>
      <c r="C42" s="246">
        <f t="shared" si="12"/>
        <v>20191</v>
      </c>
      <c r="D42" s="246">
        <f t="shared" si="12"/>
        <v>990</v>
      </c>
      <c r="E42" s="246">
        <f t="shared" si="12"/>
        <v>523</v>
      </c>
      <c r="F42" s="246">
        <f t="shared" si="12"/>
        <v>2487</v>
      </c>
      <c r="G42" s="246">
        <f t="shared" si="12"/>
        <v>1361</v>
      </c>
      <c r="H42" s="246">
        <f t="shared" si="12"/>
        <v>9356</v>
      </c>
      <c r="I42" s="246">
        <f t="shared" si="12"/>
        <v>6573</v>
      </c>
      <c r="J42" s="246">
        <f t="shared" si="12"/>
        <v>5905</v>
      </c>
      <c r="K42" s="246">
        <f t="shared" si="12"/>
        <v>2176</v>
      </c>
      <c r="L42" s="246">
        <f t="shared" si="12"/>
        <v>4540</v>
      </c>
      <c r="M42" s="246">
        <f t="shared" si="12"/>
        <v>7884</v>
      </c>
      <c r="N42" s="246">
        <f t="shared" si="12"/>
        <v>2953</v>
      </c>
      <c r="O42" s="246">
        <f t="shared" si="12"/>
        <v>418</v>
      </c>
      <c r="P42" s="246">
        <f t="shared" si="12"/>
        <v>67637</v>
      </c>
      <c r="Q42" s="246">
        <f t="shared" si="12"/>
        <v>1374</v>
      </c>
      <c r="R42" s="246">
        <f t="shared" si="13"/>
        <v>5661</v>
      </c>
      <c r="S42" s="246">
        <f t="shared" si="13"/>
        <v>159717</v>
      </c>
      <c r="T42" s="246">
        <f t="shared" si="13"/>
        <v>447</v>
      </c>
      <c r="U42" s="246">
        <f t="shared" si="13"/>
        <v>7829</v>
      </c>
      <c r="V42" s="246">
        <f t="shared" si="13"/>
        <v>2484</v>
      </c>
      <c r="W42" s="246">
        <f t="shared" si="13"/>
        <v>384</v>
      </c>
      <c r="X42" s="246">
        <f t="shared" si="13"/>
        <v>6253</v>
      </c>
      <c r="Y42" s="246">
        <f t="shared" si="13"/>
        <v>1621</v>
      </c>
      <c r="Z42" s="246">
        <f t="shared" si="13"/>
        <v>14530</v>
      </c>
      <c r="AA42" s="246">
        <f t="shared" si="13"/>
        <v>2040</v>
      </c>
      <c r="AB42" s="246">
        <f t="shared" si="13"/>
        <v>546</v>
      </c>
      <c r="AC42" s="246">
        <f t="shared" si="13"/>
        <v>448</v>
      </c>
      <c r="AD42" s="246">
        <f t="shared" si="13"/>
        <v>710</v>
      </c>
      <c r="AE42" s="246">
        <f t="shared" si="13"/>
        <v>20342</v>
      </c>
      <c r="AF42" s="246">
        <f t="shared" si="13"/>
        <v>1424</v>
      </c>
      <c r="AG42" s="246">
        <f t="shared" si="13"/>
        <v>420</v>
      </c>
      <c r="AH42" s="246">
        <f t="shared" si="14"/>
        <v>146</v>
      </c>
      <c r="AI42" s="246">
        <f t="shared" si="14"/>
        <v>206</v>
      </c>
      <c r="AJ42" s="246">
        <f t="shared" si="14"/>
        <v>939</v>
      </c>
      <c r="AK42" s="246">
        <f t="shared" si="14"/>
        <v>52493</v>
      </c>
      <c r="AL42" s="246">
        <f t="shared" si="14"/>
        <v>15665</v>
      </c>
      <c r="AM42" s="246">
        <f t="shared" si="14"/>
        <v>2940</v>
      </c>
      <c r="AN42" s="246">
        <f t="shared" si="14"/>
        <v>2076</v>
      </c>
      <c r="AO42" s="246">
        <f t="shared" si="14"/>
        <v>85917</v>
      </c>
      <c r="AP42" s="246">
        <f t="shared" si="14"/>
        <v>49260</v>
      </c>
      <c r="AQ42" s="246">
        <f t="shared" si="14"/>
        <v>16273</v>
      </c>
      <c r="AR42" s="246">
        <f t="shared" si="14"/>
        <v>20</v>
      </c>
      <c r="AS42" s="246">
        <f t="shared" si="14"/>
        <v>3330196</v>
      </c>
      <c r="AT42" s="246">
        <f t="shared" si="14"/>
        <v>2217190</v>
      </c>
      <c r="AU42" s="246">
        <f t="shared" si="14"/>
        <v>3334</v>
      </c>
      <c r="AV42" s="246">
        <f t="shared" si="14"/>
        <v>35156</v>
      </c>
      <c r="AW42" s="246">
        <f t="shared" si="14"/>
        <v>1608</v>
      </c>
      <c r="AX42" s="246">
        <f t="shared" si="15"/>
        <v>10189</v>
      </c>
      <c r="AY42" s="246">
        <f t="shared" si="15"/>
        <v>6635</v>
      </c>
      <c r="AZ42" s="246">
        <f t="shared" si="15"/>
        <v>290</v>
      </c>
      <c r="BA42" s="246">
        <f t="shared" si="15"/>
        <v>6933</v>
      </c>
      <c r="BB42" s="246">
        <f t="shared" si="15"/>
        <v>72616</v>
      </c>
      <c r="BC42" s="246">
        <f t="shared" si="15"/>
        <v>6216813</v>
      </c>
      <c r="BD42" s="202"/>
      <c r="BE42" s="236" t="s">
        <v>16</v>
      </c>
      <c r="BF42" s="247">
        <v>79395</v>
      </c>
      <c r="BG42" s="247">
        <v>19436</v>
      </c>
      <c r="BH42" s="247">
        <v>668</v>
      </c>
      <c r="BI42" s="247">
        <v>241</v>
      </c>
      <c r="BJ42" s="247">
        <v>1268</v>
      </c>
      <c r="BK42" s="247">
        <v>941</v>
      </c>
      <c r="BL42" s="247">
        <v>4157</v>
      </c>
      <c r="BM42" s="247">
        <v>1239</v>
      </c>
      <c r="BN42" s="247">
        <v>7</v>
      </c>
      <c r="BO42" s="247">
        <v>528</v>
      </c>
      <c r="BP42" s="247">
        <v>1299</v>
      </c>
      <c r="BQ42" s="247">
        <v>5442</v>
      </c>
      <c r="BR42" s="247">
        <v>2694</v>
      </c>
      <c r="BS42" s="247">
        <v>172</v>
      </c>
      <c r="BT42" s="247">
        <v>48837</v>
      </c>
      <c r="BU42" s="247">
        <v>877</v>
      </c>
      <c r="BV42" s="247">
        <v>1989</v>
      </c>
      <c r="BW42" s="247">
        <v>3300</v>
      </c>
      <c r="BX42" s="247">
        <v>444</v>
      </c>
      <c r="BY42" s="247">
        <v>5292</v>
      </c>
      <c r="BZ42" s="247">
        <v>2484</v>
      </c>
      <c r="CA42" s="247">
        <v>381</v>
      </c>
      <c r="CB42" s="247">
        <v>6168</v>
      </c>
      <c r="CC42" s="247">
        <v>1281</v>
      </c>
      <c r="CD42" s="247">
        <v>10808</v>
      </c>
      <c r="CE42" s="247">
        <v>2011</v>
      </c>
      <c r="CF42" s="247">
        <v>546</v>
      </c>
      <c r="CG42" s="247">
        <v>441</v>
      </c>
      <c r="CH42" s="247">
        <v>710</v>
      </c>
      <c r="CI42" s="247">
        <v>20312</v>
      </c>
      <c r="CJ42" s="247">
        <v>1347</v>
      </c>
      <c r="CK42" s="247">
        <v>420</v>
      </c>
      <c r="CL42" s="247">
        <v>143</v>
      </c>
      <c r="CM42" s="247">
        <v>206</v>
      </c>
      <c r="CN42" s="247">
        <v>934</v>
      </c>
      <c r="CO42" s="247">
        <v>48192</v>
      </c>
      <c r="CP42" s="247">
        <v>15622</v>
      </c>
      <c r="CQ42" s="247">
        <v>2940</v>
      </c>
      <c r="CR42" s="247">
        <v>2012</v>
      </c>
      <c r="CS42" s="247">
        <v>85917</v>
      </c>
      <c r="CT42" s="247">
        <v>49260</v>
      </c>
      <c r="CU42" s="247">
        <v>15442</v>
      </c>
      <c r="CV42" s="247">
        <v>20</v>
      </c>
      <c r="CW42" s="247">
        <v>2873231</v>
      </c>
      <c r="CX42" s="247">
        <v>1186548</v>
      </c>
      <c r="CY42" s="247">
        <v>3334</v>
      </c>
      <c r="CZ42" s="247">
        <v>33331</v>
      </c>
      <c r="DA42" s="247">
        <v>846</v>
      </c>
      <c r="DB42" s="247">
        <v>10189</v>
      </c>
      <c r="DC42" s="247">
        <v>6635</v>
      </c>
      <c r="DD42" s="247">
        <v>290</v>
      </c>
      <c r="DE42" s="247">
        <v>6922</v>
      </c>
      <c r="DF42" s="247">
        <v>71768</v>
      </c>
      <c r="DG42" s="247">
        <v>4511330</v>
      </c>
      <c r="DH42" s="247"/>
      <c r="DI42" s="248" t="s">
        <v>16</v>
      </c>
      <c r="DJ42" s="249">
        <v>208436</v>
      </c>
      <c r="DK42" s="249">
        <v>755</v>
      </c>
      <c r="DL42" s="249">
        <v>322</v>
      </c>
      <c r="DM42" s="249">
        <v>282</v>
      </c>
      <c r="DN42" s="249">
        <v>1219</v>
      </c>
      <c r="DO42" s="249">
        <v>420</v>
      </c>
      <c r="DP42" s="249">
        <v>5199</v>
      </c>
      <c r="DQ42" s="249">
        <v>5334</v>
      </c>
      <c r="DR42" s="249">
        <v>5898</v>
      </c>
      <c r="DS42" s="249">
        <v>1648</v>
      </c>
      <c r="DT42" s="249">
        <v>3241</v>
      </c>
      <c r="DU42" s="249">
        <v>2442</v>
      </c>
      <c r="DV42" s="249">
        <v>259</v>
      </c>
      <c r="DW42" s="249">
        <v>246</v>
      </c>
      <c r="DX42" s="249">
        <v>18800</v>
      </c>
      <c r="DY42" s="249">
        <v>497</v>
      </c>
      <c r="DZ42" s="249">
        <v>3672</v>
      </c>
      <c r="EA42" s="249">
        <v>156417</v>
      </c>
      <c r="EB42" s="249">
        <v>3</v>
      </c>
      <c r="EC42" s="249">
        <v>2537</v>
      </c>
      <c r="ED42" s="249">
        <v>0</v>
      </c>
      <c r="EE42" s="249">
        <v>3</v>
      </c>
      <c r="EF42" s="249">
        <v>85</v>
      </c>
      <c r="EG42" s="249">
        <v>340</v>
      </c>
      <c r="EH42" s="249">
        <v>3722</v>
      </c>
      <c r="EI42" s="249">
        <v>29</v>
      </c>
      <c r="EJ42" s="249">
        <v>0</v>
      </c>
      <c r="EK42" s="249">
        <v>7</v>
      </c>
      <c r="EL42" s="249">
        <v>0</v>
      </c>
      <c r="EM42" s="249">
        <v>30</v>
      </c>
      <c r="EN42" s="249">
        <v>77</v>
      </c>
      <c r="EO42" s="249">
        <v>0</v>
      </c>
      <c r="EP42" s="249">
        <v>3</v>
      </c>
      <c r="EQ42" s="249">
        <v>0</v>
      </c>
      <c r="ER42" s="249">
        <v>5</v>
      </c>
      <c r="ES42" s="249">
        <v>4301</v>
      </c>
      <c r="ET42" s="249">
        <v>43</v>
      </c>
      <c r="EU42" s="249">
        <v>0</v>
      </c>
      <c r="EV42" s="249">
        <v>64</v>
      </c>
      <c r="EW42" s="249">
        <v>0</v>
      </c>
      <c r="EX42" s="249">
        <v>0</v>
      </c>
      <c r="EY42" s="249">
        <v>831</v>
      </c>
      <c r="EZ42" s="249">
        <v>0</v>
      </c>
      <c r="FA42" s="249">
        <v>456965</v>
      </c>
      <c r="FB42" s="249">
        <v>1030642</v>
      </c>
      <c r="FC42" s="249">
        <v>0</v>
      </c>
      <c r="FD42" s="249">
        <v>1825</v>
      </c>
      <c r="FE42" s="249">
        <v>762</v>
      </c>
      <c r="FF42" s="249">
        <v>0</v>
      </c>
      <c r="FG42" s="249">
        <v>0</v>
      </c>
      <c r="FH42" s="249">
        <v>0</v>
      </c>
      <c r="FI42" s="249">
        <v>11</v>
      </c>
      <c r="FJ42" s="249">
        <v>848</v>
      </c>
      <c r="FK42" s="249">
        <v>1705483</v>
      </c>
    </row>
    <row r="43" spans="1:167" x14ac:dyDescent="0.25">
      <c r="A43" s="236" t="s">
        <v>15</v>
      </c>
      <c r="B43" s="246">
        <f t="shared" si="12"/>
        <v>0</v>
      </c>
      <c r="C43" s="246">
        <f t="shared" si="12"/>
        <v>0</v>
      </c>
      <c r="D43" s="246">
        <f t="shared" si="12"/>
        <v>0</v>
      </c>
      <c r="E43" s="246">
        <f t="shared" si="12"/>
        <v>0</v>
      </c>
      <c r="F43" s="246">
        <f t="shared" si="12"/>
        <v>0</v>
      </c>
      <c r="G43" s="246">
        <f t="shared" si="12"/>
        <v>0</v>
      </c>
      <c r="H43" s="246">
        <f t="shared" si="12"/>
        <v>0</v>
      </c>
      <c r="I43" s="246">
        <f t="shared" si="12"/>
        <v>0</v>
      </c>
      <c r="J43" s="246">
        <f t="shared" si="12"/>
        <v>0</v>
      </c>
      <c r="K43" s="246">
        <f t="shared" si="12"/>
        <v>0</v>
      </c>
      <c r="L43" s="246">
        <f t="shared" si="12"/>
        <v>0</v>
      </c>
      <c r="M43" s="246">
        <f t="shared" si="12"/>
        <v>0</v>
      </c>
      <c r="N43" s="246">
        <f t="shared" si="12"/>
        <v>0</v>
      </c>
      <c r="O43" s="246">
        <f t="shared" si="12"/>
        <v>0</v>
      </c>
      <c r="P43" s="246">
        <f t="shared" si="12"/>
        <v>0</v>
      </c>
      <c r="Q43" s="246">
        <f t="shared" si="12"/>
        <v>0</v>
      </c>
      <c r="R43" s="246">
        <f t="shared" si="13"/>
        <v>0</v>
      </c>
      <c r="S43" s="246">
        <f t="shared" si="13"/>
        <v>0</v>
      </c>
      <c r="T43" s="246">
        <f t="shared" si="13"/>
        <v>0</v>
      </c>
      <c r="U43" s="246">
        <f t="shared" si="13"/>
        <v>0</v>
      </c>
      <c r="V43" s="246">
        <f t="shared" si="13"/>
        <v>0</v>
      </c>
      <c r="W43" s="246">
        <f t="shared" si="13"/>
        <v>0</v>
      </c>
      <c r="X43" s="246">
        <f t="shared" si="13"/>
        <v>0</v>
      </c>
      <c r="Y43" s="246">
        <f t="shared" si="13"/>
        <v>0</v>
      </c>
      <c r="Z43" s="246">
        <f t="shared" si="13"/>
        <v>-484</v>
      </c>
      <c r="AA43" s="246">
        <f t="shared" si="13"/>
        <v>0</v>
      </c>
      <c r="AB43" s="246">
        <f t="shared" si="13"/>
        <v>0</v>
      </c>
      <c r="AC43" s="246">
        <f t="shared" si="13"/>
        <v>0</v>
      </c>
      <c r="AD43" s="246">
        <f t="shared" si="13"/>
        <v>0</v>
      </c>
      <c r="AE43" s="246">
        <f t="shared" si="13"/>
        <v>0</v>
      </c>
      <c r="AF43" s="246">
        <f t="shared" si="13"/>
        <v>0</v>
      </c>
      <c r="AG43" s="246">
        <f t="shared" si="13"/>
        <v>0</v>
      </c>
      <c r="AH43" s="246">
        <f t="shared" si="14"/>
        <v>0</v>
      </c>
      <c r="AI43" s="246">
        <f t="shared" si="14"/>
        <v>0</v>
      </c>
      <c r="AJ43" s="246">
        <f t="shared" si="14"/>
        <v>0</v>
      </c>
      <c r="AK43" s="246">
        <f t="shared" si="14"/>
        <v>-484</v>
      </c>
      <c r="AL43" s="246">
        <f t="shared" si="14"/>
        <v>0</v>
      </c>
      <c r="AM43" s="246">
        <f t="shared" si="14"/>
        <v>0</v>
      </c>
      <c r="AN43" s="246">
        <f t="shared" si="14"/>
        <v>0</v>
      </c>
      <c r="AO43" s="246">
        <f t="shared" si="14"/>
        <v>0</v>
      </c>
      <c r="AP43" s="246">
        <f t="shared" si="14"/>
        <v>0</v>
      </c>
      <c r="AQ43" s="246">
        <f t="shared" si="14"/>
        <v>0</v>
      </c>
      <c r="AR43" s="246">
        <f t="shared" si="14"/>
        <v>0</v>
      </c>
      <c r="AS43" s="246">
        <f t="shared" si="14"/>
        <v>0</v>
      </c>
      <c r="AT43" s="246">
        <f t="shared" si="14"/>
        <v>13</v>
      </c>
      <c r="AU43" s="246">
        <f t="shared" si="14"/>
        <v>0</v>
      </c>
      <c r="AV43" s="246">
        <f t="shared" si="14"/>
        <v>-2</v>
      </c>
      <c r="AW43" s="246">
        <f t="shared" si="14"/>
        <v>0</v>
      </c>
      <c r="AX43" s="246">
        <f t="shared" si="15"/>
        <v>0</v>
      </c>
      <c r="AY43" s="246">
        <f t="shared" si="15"/>
        <v>0</v>
      </c>
      <c r="AZ43" s="246">
        <f t="shared" si="15"/>
        <v>0</v>
      </c>
      <c r="BA43" s="246">
        <f t="shared" si="15"/>
        <v>-12</v>
      </c>
      <c r="BB43" s="246">
        <f t="shared" si="15"/>
        <v>0</v>
      </c>
      <c r="BC43" s="246">
        <f t="shared" si="15"/>
        <v>-485</v>
      </c>
      <c r="BD43" s="202"/>
      <c r="BE43" s="236" t="s">
        <v>15</v>
      </c>
      <c r="BF43" s="247">
        <v>0</v>
      </c>
      <c r="BG43" s="247">
        <v>0</v>
      </c>
      <c r="BH43" s="247">
        <v>0</v>
      </c>
      <c r="BI43" s="247">
        <v>0</v>
      </c>
      <c r="BJ43" s="247">
        <v>0</v>
      </c>
      <c r="BK43" s="247">
        <v>0</v>
      </c>
      <c r="BL43" s="247">
        <v>0</v>
      </c>
      <c r="BM43" s="247">
        <v>0</v>
      </c>
      <c r="BN43" s="247">
        <v>0</v>
      </c>
      <c r="BO43" s="247">
        <v>0</v>
      </c>
      <c r="BP43" s="247">
        <v>0</v>
      </c>
      <c r="BQ43" s="247">
        <v>0</v>
      </c>
      <c r="BR43" s="247">
        <v>0</v>
      </c>
      <c r="BS43" s="247">
        <v>0</v>
      </c>
      <c r="BT43" s="247">
        <v>0</v>
      </c>
      <c r="BU43" s="247">
        <v>0</v>
      </c>
      <c r="BV43" s="247">
        <v>0</v>
      </c>
      <c r="BW43" s="247">
        <v>0</v>
      </c>
      <c r="BX43" s="247">
        <v>0</v>
      </c>
      <c r="BY43" s="247">
        <v>0</v>
      </c>
      <c r="BZ43" s="247">
        <v>0</v>
      </c>
      <c r="CA43" s="247">
        <v>0</v>
      </c>
      <c r="CB43" s="247">
        <v>0</v>
      </c>
      <c r="CC43" s="247">
        <v>0</v>
      </c>
      <c r="CD43" s="247">
        <v>0</v>
      </c>
      <c r="CE43" s="247">
        <v>0</v>
      </c>
      <c r="CF43" s="247">
        <v>0</v>
      </c>
      <c r="CG43" s="247">
        <v>0</v>
      </c>
      <c r="CH43" s="247">
        <v>0</v>
      </c>
      <c r="CI43" s="247">
        <v>0</v>
      </c>
      <c r="CJ43" s="247">
        <v>0</v>
      </c>
      <c r="CK43" s="247">
        <v>0</v>
      </c>
      <c r="CL43" s="247">
        <v>0</v>
      </c>
      <c r="CM43" s="247">
        <v>0</v>
      </c>
      <c r="CN43" s="247">
        <v>0</v>
      </c>
      <c r="CO43" s="247">
        <v>0</v>
      </c>
      <c r="CP43" s="247">
        <v>0</v>
      </c>
      <c r="CQ43" s="247">
        <v>0</v>
      </c>
      <c r="CR43" s="247">
        <v>0</v>
      </c>
      <c r="CS43" s="247">
        <v>0</v>
      </c>
      <c r="CT43" s="247">
        <v>0</v>
      </c>
      <c r="CU43" s="247">
        <v>0</v>
      </c>
      <c r="CV43" s="247">
        <v>0</v>
      </c>
      <c r="CW43" s="247">
        <v>0</v>
      </c>
      <c r="CX43" s="247">
        <v>0</v>
      </c>
      <c r="CY43" s="247">
        <v>0</v>
      </c>
      <c r="CZ43" s="247">
        <v>0</v>
      </c>
      <c r="DA43" s="247">
        <v>0</v>
      </c>
      <c r="DB43" s="247">
        <v>0</v>
      </c>
      <c r="DC43" s="247">
        <v>0</v>
      </c>
      <c r="DD43" s="247">
        <v>0</v>
      </c>
      <c r="DE43" s="247">
        <v>0</v>
      </c>
      <c r="DF43" s="247">
        <v>0</v>
      </c>
      <c r="DG43" s="247">
        <v>0</v>
      </c>
      <c r="DH43" s="247"/>
      <c r="DI43" s="248" t="s">
        <v>15</v>
      </c>
      <c r="DJ43" s="249">
        <v>0</v>
      </c>
      <c r="DK43" s="249">
        <v>0</v>
      </c>
      <c r="DL43" s="249">
        <v>0</v>
      </c>
      <c r="DM43" s="249">
        <v>0</v>
      </c>
      <c r="DN43" s="249">
        <v>0</v>
      </c>
      <c r="DO43" s="249">
        <v>0</v>
      </c>
      <c r="DP43" s="249">
        <v>0</v>
      </c>
      <c r="DQ43" s="249">
        <v>0</v>
      </c>
      <c r="DR43" s="249">
        <v>0</v>
      </c>
      <c r="DS43" s="249">
        <v>0</v>
      </c>
      <c r="DT43" s="249">
        <v>0</v>
      </c>
      <c r="DU43" s="249">
        <v>0</v>
      </c>
      <c r="DV43" s="249">
        <v>0</v>
      </c>
      <c r="DW43" s="249">
        <v>0</v>
      </c>
      <c r="DX43" s="249">
        <v>0</v>
      </c>
      <c r="DY43" s="249">
        <v>0</v>
      </c>
      <c r="DZ43" s="249">
        <v>0</v>
      </c>
      <c r="EA43" s="249">
        <v>0</v>
      </c>
      <c r="EB43" s="249">
        <v>0</v>
      </c>
      <c r="EC43" s="249">
        <v>0</v>
      </c>
      <c r="ED43" s="249">
        <v>0</v>
      </c>
      <c r="EE43" s="249">
        <v>0</v>
      </c>
      <c r="EF43" s="249">
        <v>0</v>
      </c>
      <c r="EG43" s="249">
        <v>0</v>
      </c>
      <c r="EH43" s="249">
        <v>-484</v>
      </c>
      <c r="EI43" s="249">
        <v>0</v>
      </c>
      <c r="EJ43" s="249">
        <v>0</v>
      </c>
      <c r="EK43" s="249">
        <v>0</v>
      </c>
      <c r="EL43" s="249">
        <v>0</v>
      </c>
      <c r="EM43" s="249">
        <v>0</v>
      </c>
      <c r="EN43" s="249">
        <v>0</v>
      </c>
      <c r="EO43" s="249">
        <v>0</v>
      </c>
      <c r="EP43" s="249">
        <v>0</v>
      </c>
      <c r="EQ43" s="249">
        <v>0</v>
      </c>
      <c r="ER43" s="249">
        <v>0</v>
      </c>
      <c r="ES43" s="249">
        <v>-484</v>
      </c>
      <c r="ET43" s="249">
        <v>0</v>
      </c>
      <c r="EU43" s="249">
        <v>0</v>
      </c>
      <c r="EV43" s="249">
        <v>0</v>
      </c>
      <c r="EW43" s="249">
        <v>0</v>
      </c>
      <c r="EX43" s="249">
        <v>0</v>
      </c>
      <c r="EY43" s="249">
        <v>0</v>
      </c>
      <c r="EZ43" s="249">
        <v>0</v>
      </c>
      <c r="FA43" s="249">
        <v>0</v>
      </c>
      <c r="FB43" s="249">
        <v>13</v>
      </c>
      <c r="FC43" s="249">
        <v>0</v>
      </c>
      <c r="FD43" s="249">
        <v>-2</v>
      </c>
      <c r="FE43" s="249">
        <v>0</v>
      </c>
      <c r="FF43" s="249">
        <v>0</v>
      </c>
      <c r="FG43" s="249">
        <v>0</v>
      </c>
      <c r="FH43" s="249">
        <v>0</v>
      </c>
      <c r="FI43" s="249">
        <v>-12</v>
      </c>
      <c r="FJ43" s="249">
        <v>0</v>
      </c>
      <c r="FK43" s="249">
        <v>-485</v>
      </c>
    </row>
    <row r="44" spans="1:167" x14ac:dyDescent="0.25">
      <c r="A44" s="236" t="s">
        <v>14</v>
      </c>
      <c r="B44" s="246">
        <f t="shared" si="12"/>
        <v>3399</v>
      </c>
      <c r="C44" s="246">
        <f t="shared" si="12"/>
        <v>477</v>
      </c>
      <c r="D44" s="246">
        <f t="shared" si="12"/>
        <v>2</v>
      </c>
      <c r="E44" s="246">
        <f t="shared" si="12"/>
        <v>1</v>
      </c>
      <c r="F44" s="246">
        <f t="shared" si="12"/>
        <v>0</v>
      </c>
      <c r="G44" s="246">
        <f t="shared" si="12"/>
        <v>1</v>
      </c>
      <c r="H44" s="246">
        <f t="shared" si="12"/>
        <v>3</v>
      </c>
      <c r="I44" s="246">
        <f t="shared" si="12"/>
        <v>1</v>
      </c>
      <c r="J44" s="246">
        <f t="shared" si="12"/>
        <v>0</v>
      </c>
      <c r="K44" s="246">
        <f t="shared" si="12"/>
        <v>1</v>
      </c>
      <c r="L44" s="246">
        <f t="shared" si="12"/>
        <v>379</v>
      </c>
      <c r="M44" s="246">
        <f t="shared" si="12"/>
        <v>1</v>
      </c>
      <c r="N44" s="246">
        <f t="shared" si="12"/>
        <v>33</v>
      </c>
      <c r="O44" s="246">
        <f t="shared" si="12"/>
        <v>2</v>
      </c>
      <c r="P44" s="246">
        <f t="shared" si="12"/>
        <v>435</v>
      </c>
      <c r="Q44" s="246">
        <f t="shared" si="12"/>
        <v>1</v>
      </c>
      <c r="R44" s="246">
        <f t="shared" si="13"/>
        <v>91</v>
      </c>
      <c r="S44" s="246">
        <f t="shared" si="13"/>
        <v>2155</v>
      </c>
      <c r="T44" s="246">
        <f t="shared" si="13"/>
        <v>0</v>
      </c>
      <c r="U44" s="246">
        <f t="shared" si="13"/>
        <v>293</v>
      </c>
      <c r="V44" s="246">
        <f t="shared" si="13"/>
        <v>355</v>
      </c>
      <c r="W44" s="246">
        <f t="shared" si="13"/>
        <v>2</v>
      </c>
      <c r="X44" s="246">
        <f t="shared" si="13"/>
        <v>2874</v>
      </c>
      <c r="Y44" s="246">
        <f t="shared" si="13"/>
        <v>4</v>
      </c>
      <c r="Z44" s="246">
        <f t="shared" si="13"/>
        <v>38</v>
      </c>
      <c r="AA44" s="246">
        <f t="shared" si="13"/>
        <v>0</v>
      </c>
      <c r="AB44" s="246">
        <f t="shared" si="13"/>
        <v>0</v>
      </c>
      <c r="AC44" s="246">
        <f t="shared" si="13"/>
        <v>0</v>
      </c>
      <c r="AD44" s="246">
        <f t="shared" si="13"/>
        <v>78</v>
      </c>
      <c r="AE44" s="246">
        <f t="shared" si="13"/>
        <v>8929</v>
      </c>
      <c r="AF44" s="246">
        <f t="shared" si="13"/>
        <v>32</v>
      </c>
      <c r="AG44" s="246">
        <f t="shared" si="13"/>
        <v>52</v>
      </c>
      <c r="AH44" s="246">
        <f t="shared" si="14"/>
        <v>115</v>
      </c>
      <c r="AI44" s="246">
        <f t="shared" si="14"/>
        <v>5</v>
      </c>
      <c r="AJ44" s="246">
        <f t="shared" si="14"/>
        <v>8</v>
      </c>
      <c r="AK44" s="246">
        <f t="shared" si="14"/>
        <v>12492</v>
      </c>
      <c r="AL44" s="246">
        <f t="shared" si="14"/>
        <v>7720</v>
      </c>
      <c r="AM44" s="246">
        <f t="shared" si="14"/>
        <v>266</v>
      </c>
      <c r="AN44" s="246">
        <f t="shared" si="14"/>
        <v>3519</v>
      </c>
      <c r="AO44" s="246">
        <f t="shared" si="14"/>
        <v>113407</v>
      </c>
      <c r="AP44" s="246">
        <f t="shared" si="14"/>
        <v>33191</v>
      </c>
      <c r="AQ44" s="246">
        <f t="shared" si="14"/>
        <v>54</v>
      </c>
      <c r="AR44" s="246">
        <f t="shared" si="14"/>
        <v>0</v>
      </c>
      <c r="AS44" s="246">
        <f t="shared" si="14"/>
        <v>120834</v>
      </c>
      <c r="AT44" s="246">
        <f t="shared" si="14"/>
        <v>18855</v>
      </c>
      <c r="AU44" s="246">
        <f t="shared" si="14"/>
        <v>129</v>
      </c>
      <c r="AV44" s="246">
        <f t="shared" si="14"/>
        <v>10910</v>
      </c>
      <c r="AW44" s="246">
        <f t="shared" si="14"/>
        <v>668</v>
      </c>
      <c r="AX44" s="246">
        <f t="shared" si="15"/>
        <v>5493</v>
      </c>
      <c r="AY44" s="246">
        <f t="shared" si="15"/>
        <v>13</v>
      </c>
      <c r="AZ44" s="246">
        <f t="shared" si="15"/>
        <v>125</v>
      </c>
      <c r="BA44" s="246">
        <f t="shared" si="15"/>
        <v>751</v>
      </c>
      <c r="BB44" s="246">
        <f t="shared" si="15"/>
        <v>1334</v>
      </c>
      <c r="BC44" s="246">
        <f t="shared" si="15"/>
        <v>333637</v>
      </c>
      <c r="BD44" s="202"/>
      <c r="BE44" s="236" t="s">
        <v>14</v>
      </c>
      <c r="BF44" s="247">
        <v>1089</v>
      </c>
      <c r="BG44" s="247">
        <v>477</v>
      </c>
      <c r="BH44" s="247">
        <v>2</v>
      </c>
      <c r="BI44" s="247">
        <v>1</v>
      </c>
      <c r="BJ44" s="247">
        <v>0</v>
      </c>
      <c r="BK44" s="247">
        <v>1</v>
      </c>
      <c r="BL44" s="247">
        <v>3</v>
      </c>
      <c r="BM44" s="247">
        <v>1</v>
      </c>
      <c r="BN44" s="247">
        <v>0</v>
      </c>
      <c r="BO44" s="247">
        <v>1</v>
      </c>
      <c r="BP44" s="247">
        <v>379</v>
      </c>
      <c r="BQ44" s="247">
        <v>1</v>
      </c>
      <c r="BR44" s="247">
        <v>33</v>
      </c>
      <c r="BS44" s="247">
        <v>2</v>
      </c>
      <c r="BT44" s="247">
        <v>435</v>
      </c>
      <c r="BU44" s="247">
        <v>1</v>
      </c>
      <c r="BV44" s="247">
        <v>91</v>
      </c>
      <c r="BW44" s="247">
        <v>0</v>
      </c>
      <c r="BX44" s="247">
        <v>0</v>
      </c>
      <c r="BY44" s="247">
        <v>138</v>
      </c>
      <c r="BZ44" s="247">
        <v>355</v>
      </c>
      <c r="CA44" s="247">
        <v>2</v>
      </c>
      <c r="CB44" s="247">
        <v>2874</v>
      </c>
      <c r="CC44" s="247">
        <v>4</v>
      </c>
      <c r="CD44" s="247">
        <v>16</v>
      </c>
      <c r="CE44" s="247">
        <v>0</v>
      </c>
      <c r="CF44" s="247">
        <v>0</v>
      </c>
      <c r="CG44" s="247">
        <v>0</v>
      </c>
      <c r="CH44" s="247">
        <v>78</v>
      </c>
      <c r="CI44" s="247">
        <v>8929</v>
      </c>
      <c r="CJ44" s="247">
        <v>32</v>
      </c>
      <c r="CK44" s="247">
        <v>52</v>
      </c>
      <c r="CL44" s="247">
        <v>115</v>
      </c>
      <c r="CM44" s="247">
        <v>5</v>
      </c>
      <c r="CN44" s="247">
        <v>8</v>
      </c>
      <c r="CO44" s="247">
        <v>12470</v>
      </c>
      <c r="CP44" s="247">
        <v>7720</v>
      </c>
      <c r="CQ44" s="247">
        <v>266</v>
      </c>
      <c r="CR44" s="247">
        <v>3519</v>
      </c>
      <c r="CS44" s="247">
        <v>113407</v>
      </c>
      <c r="CT44" s="247">
        <v>33191</v>
      </c>
      <c r="CU44" s="247">
        <v>54</v>
      </c>
      <c r="CV44" s="247">
        <v>0</v>
      </c>
      <c r="CW44" s="247">
        <v>115954</v>
      </c>
      <c r="CX44" s="247">
        <v>17586</v>
      </c>
      <c r="CY44" s="247">
        <v>129</v>
      </c>
      <c r="CZ44" s="247">
        <v>8652</v>
      </c>
      <c r="DA44" s="247">
        <v>668</v>
      </c>
      <c r="DB44" s="247">
        <v>5493</v>
      </c>
      <c r="DC44" s="247">
        <v>13</v>
      </c>
      <c r="DD44" s="247">
        <v>125</v>
      </c>
      <c r="DE44" s="247">
        <v>751</v>
      </c>
      <c r="DF44" s="247">
        <v>1334</v>
      </c>
      <c r="DG44" s="247">
        <v>322898</v>
      </c>
      <c r="DH44" s="247"/>
      <c r="DI44" s="248" t="s">
        <v>14</v>
      </c>
      <c r="DJ44" s="249">
        <v>2310</v>
      </c>
      <c r="DK44" s="249">
        <v>0</v>
      </c>
      <c r="DL44" s="249">
        <v>0</v>
      </c>
      <c r="DM44" s="249">
        <v>0</v>
      </c>
      <c r="DN44" s="249">
        <v>0</v>
      </c>
      <c r="DO44" s="249">
        <v>0</v>
      </c>
      <c r="DP44" s="249">
        <v>0</v>
      </c>
      <c r="DQ44" s="249">
        <v>0</v>
      </c>
      <c r="DR44" s="249">
        <v>0</v>
      </c>
      <c r="DS44" s="249">
        <v>0</v>
      </c>
      <c r="DT44" s="249">
        <v>0</v>
      </c>
      <c r="DU44" s="249">
        <v>0</v>
      </c>
      <c r="DV44" s="249">
        <v>0</v>
      </c>
      <c r="DW44" s="249">
        <v>0</v>
      </c>
      <c r="DX44" s="249">
        <v>0</v>
      </c>
      <c r="DY44" s="249">
        <v>0</v>
      </c>
      <c r="DZ44" s="249">
        <v>0</v>
      </c>
      <c r="EA44" s="249">
        <v>2155</v>
      </c>
      <c r="EB44" s="249">
        <v>0</v>
      </c>
      <c r="EC44" s="249">
        <v>155</v>
      </c>
      <c r="ED44" s="249">
        <v>0</v>
      </c>
      <c r="EE44" s="249">
        <v>0</v>
      </c>
      <c r="EF44" s="249">
        <v>0</v>
      </c>
      <c r="EG44" s="249">
        <v>0</v>
      </c>
      <c r="EH44" s="249">
        <v>22</v>
      </c>
      <c r="EI44" s="249">
        <v>0</v>
      </c>
      <c r="EJ44" s="249">
        <v>0</v>
      </c>
      <c r="EK44" s="249">
        <v>0</v>
      </c>
      <c r="EL44" s="249">
        <v>0</v>
      </c>
      <c r="EM44" s="249">
        <v>0</v>
      </c>
      <c r="EN44" s="249">
        <v>0</v>
      </c>
      <c r="EO44" s="249">
        <v>0</v>
      </c>
      <c r="EP44" s="249">
        <v>0</v>
      </c>
      <c r="EQ44" s="249">
        <v>0</v>
      </c>
      <c r="ER44" s="249">
        <v>0</v>
      </c>
      <c r="ES44" s="249">
        <v>22</v>
      </c>
      <c r="ET44" s="249">
        <v>0</v>
      </c>
      <c r="EU44" s="249">
        <v>0</v>
      </c>
      <c r="EV44" s="249">
        <v>0</v>
      </c>
      <c r="EW44" s="249">
        <v>0</v>
      </c>
      <c r="EX44" s="249">
        <v>0</v>
      </c>
      <c r="EY44" s="249">
        <v>0</v>
      </c>
      <c r="EZ44" s="249">
        <v>0</v>
      </c>
      <c r="FA44" s="249">
        <v>4880</v>
      </c>
      <c r="FB44" s="249">
        <v>1269</v>
      </c>
      <c r="FC44" s="249">
        <v>0</v>
      </c>
      <c r="FD44" s="249">
        <v>2258</v>
      </c>
      <c r="FE44" s="249">
        <v>0</v>
      </c>
      <c r="FF44" s="249">
        <v>0</v>
      </c>
      <c r="FG44" s="249">
        <v>0</v>
      </c>
      <c r="FH44" s="249">
        <v>0</v>
      </c>
      <c r="FI44" s="249">
        <v>0</v>
      </c>
      <c r="FJ44" s="249">
        <v>0</v>
      </c>
      <c r="FK44" s="249">
        <v>10739</v>
      </c>
    </row>
    <row r="45" spans="1:167" x14ac:dyDescent="0.25">
      <c r="A45" s="236" t="s">
        <v>13</v>
      </c>
      <c r="B45" s="246">
        <f t="shared" si="12"/>
        <v>93237</v>
      </c>
      <c r="C45" s="246">
        <f t="shared" si="12"/>
        <v>32413</v>
      </c>
      <c r="D45" s="246">
        <f t="shared" si="12"/>
        <v>247</v>
      </c>
      <c r="E45" s="246">
        <f t="shared" si="12"/>
        <v>199</v>
      </c>
      <c r="F45" s="246">
        <f t="shared" si="12"/>
        <v>704</v>
      </c>
      <c r="G45" s="246">
        <f t="shared" si="12"/>
        <v>606</v>
      </c>
      <c r="H45" s="246">
        <f t="shared" si="12"/>
        <v>3883</v>
      </c>
      <c r="I45" s="246">
        <f t="shared" si="12"/>
        <v>323</v>
      </c>
      <c r="J45" s="246">
        <f t="shared" si="12"/>
        <v>56</v>
      </c>
      <c r="K45" s="246">
        <f t="shared" si="12"/>
        <v>819</v>
      </c>
      <c r="L45" s="246">
        <f t="shared" si="12"/>
        <v>6099</v>
      </c>
      <c r="M45" s="246">
        <f t="shared" si="12"/>
        <v>1658</v>
      </c>
      <c r="N45" s="246">
        <f t="shared" si="12"/>
        <v>2558</v>
      </c>
      <c r="O45" s="246">
        <f t="shared" si="12"/>
        <v>67</v>
      </c>
      <c r="P45" s="246">
        <f t="shared" si="12"/>
        <v>26518</v>
      </c>
      <c r="Q45" s="246">
        <f t="shared" si="12"/>
        <v>358</v>
      </c>
      <c r="R45" s="246">
        <f t="shared" si="13"/>
        <v>3076</v>
      </c>
      <c r="S45" s="246">
        <f t="shared" si="13"/>
        <v>42617</v>
      </c>
      <c r="T45" s="246">
        <f t="shared" si="13"/>
        <v>98</v>
      </c>
      <c r="U45" s="246">
        <f t="shared" si="13"/>
        <v>3351</v>
      </c>
      <c r="V45" s="246">
        <f t="shared" si="13"/>
        <v>6709</v>
      </c>
      <c r="W45" s="246">
        <f t="shared" si="13"/>
        <v>149</v>
      </c>
      <c r="X45" s="246">
        <f t="shared" si="13"/>
        <v>13801</v>
      </c>
      <c r="Y45" s="246">
        <f t="shared" si="13"/>
        <v>363</v>
      </c>
      <c r="Z45" s="246">
        <f t="shared" si="13"/>
        <v>246</v>
      </c>
      <c r="AA45" s="246">
        <f t="shared" si="13"/>
        <v>908</v>
      </c>
      <c r="AB45" s="246">
        <f t="shared" si="13"/>
        <v>576</v>
      </c>
      <c r="AC45" s="246">
        <f t="shared" si="13"/>
        <v>1022</v>
      </c>
      <c r="AD45" s="246">
        <f t="shared" si="13"/>
        <v>352</v>
      </c>
      <c r="AE45" s="246">
        <f t="shared" si="13"/>
        <v>1641</v>
      </c>
      <c r="AF45" s="246">
        <f t="shared" si="13"/>
        <v>484</v>
      </c>
      <c r="AG45" s="246">
        <f t="shared" si="13"/>
        <v>322</v>
      </c>
      <c r="AH45" s="246">
        <f t="shared" si="14"/>
        <v>0</v>
      </c>
      <c r="AI45" s="246">
        <f t="shared" si="14"/>
        <v>0</v>
      </c>
      <c r="AJ45" s="246">
        <f t="shared" si="14"/>
        <v>1503</v>
      </c>
      <c r="AK45" s="246">
        <f t="shared" si="14"/>
        <v>28076</v>
      </c>
      <c r="AL45" s="246">
        <f t="shared" si="14"/>
        <v>5552</v>
      </c>
      <c r="AM45" s="246">
        <f t="shared" si="14"/>
        <v>58</v>
      </c>
      <c r="AN45" s="246">
        <f t="shared" si="14"/>
        <v>289</v>
      </c>
      <c r="AO45" s="246">
        <f t="shared" si="14"/>
        <v>1338</v>
      </c>
      <c r="AP45" s="246">
        <f t="shared" si="14"/>
        <v>817</v>
      </c>
      <c r="AQ45" s="246">
        <f t="shared" si="14"/>
        <v>100</v>
      </c>
      <c r="AR45" s="246">
        <f t="shared" si="14"/>
        <v>15</v>
      </c>
      <c r="AS45" s="246">
        <f t="shared" si="14"/>
        <v>102704</v>
      </c>
      <c r="AT45" s="246">
        <f t="shared" si="14"/>
        <v>561843</v>
      </c>
      <c r="AU45" s="246">
        <f t="shared" si="14"/>
        <v>743</v>
      </c>
      <c r="AV45" s="246">
        <f t="shared" si="14"/>
        <v>746</v>
      </c>
      <c r="AW45" s="246">
        <f t="shared" si="14"/>
        <v>80</v>
      </c>
      <c r="AX45" s="246">
        <f t="shared" si="15"/>
        <v>74</v>
      </c>
      <c r="AY45" s="246">
        <f t="shared" si="15"/>
        <v>2</v>
      </c>
      <c r="AZ45" s="246">
        <f t="shared" si="15"/>
        <v>-3</v>
      </c>
      <c r="BA45" s="246">
        <f t="shared" si="15"/>
        <v>20</v>
      </c>
      <c r="BB45" s="246">
        <f t="shared" si="15"/>
        <v>1265</v>
      </c>
      <c r="BC45" s="246">
        <f t="shared" si="15"/>
        <v>829369</v>
      </c>
      <c r="BD45" s="202"/>
      <c r="BE45" s="236" t="s">
        <v>13</v>
      </c>
      <c r="BF45" s="247">
        <v>35001</v>
      </c>
      <c r="BG45" s="247">
        <v>32285</v>
      </c>
      <c r="BH45" s="247">
        <v>43</v>
      </c>
      <c r="BI45" s="247">
        <v>6</v>
      </c>
      <c r="BJ45" s="247">
        <v>514</v>
      </c>
      <c r="BK45" s="247">
        <v>281</v>
      </c>
      <c r="BL45" s="247">
        <v>2518</v>
      </c>
      <c r="BM45" s="247">
        <v>17</v>
      </c>
      <c r="BN45" s="247">
        <v>8</v>
      </c>
      <c r="BO45" s="247">
        <v>337</v>
      </c>
      <c r="BP45" s="247">
        <v>535</v>
      </c>
      <c r="BQ45" s="247">
        <v>764</v>
      </c>
      <c r="BR45" s="247">
        <v>2525</v>
      </c>
      <c r="BS45" s="247">
        <v>27</v>
      </c>
      <c r="BT45" s="247">
        <v>20947</v>
      </c>
      <c r="BU45" s="247">
        <v>53</v>
      </c>
      <c r="BV45" s="247">
        <v>2550</v>
      </c>
      <c r="BW45" s="247">
        <v>1182</v>
      </c>
      <c r="BX45" s="247">
        <v>6</v>
      </c>
      <c r="BY45" s="247">
        <v>2688</v>
      </c>
      <c r="BZ45" s="247">
        <v>6709</v>
      </c>
      <c r="CA45" s="247">
        <v>149</v>
      </c>
      <c r="CB45" s="247">
        <v>13801</v>
      </c>
      <c r="CC45" s="247">
        <v>363</v>
      </c>
      <c r="CD45" s="247">
        <v>0</v>
      </c>
      <c r="CE45" s="247">
        <v>908</v>
      </c>
      <c r="CF45" s="247">
        <v>576</v>
      </c>
      <c r="CG45" s="247">
        <v>1022</v>
      </c>
      <c r="CH45" s="247">
        <v>352</v>
      </c>
      <c r="CI45" s="247">
        <v>1641</v>
      </c>
      <c r="CJ45" s="247">
        <v>484</v>
      </c>
      <c r="CK45" s="247">
        <v>322</v>
      </c>
      <c r="CL45" s="247">
        <v>0</v>
      </c>
      <c r="CM45" s="247">
        <v>0</v>
      </c>
      <c r="CN45" s="247">
        <v>1503</v>
      </c>
      <c r="CO45" s="247">
        <v>27830</v>
      </c>
      <c r="CP45" s="247">
        <v>5552</v>
      </c>
      <c r="CQ45" s="247">
        <v>58</v>
      </c>
      <c r="CR45" s="247">
        <v>269</v>
      </c>
      <c r="CS45" s="247">
        <v>1338</v>
      </c>
      <c r="CT45" s="247">
        <v>817</v>
      </c>
      <c r="CU45" s="247">
        <v>100</v>
      </c>
      <c r="CV45" s="247">
        <v>15</v>
      </c>
      <c r="CW45" s="247">
        <v>88973</v>
      </c>
      <c r="CX45" s="247">
        <v>298853</v>
      </c>
      <c r="CY45" s="247">
        <v>743</v>
      </c>
      <c r="CZ45" s="247">
        <v>746</v>
      </c>
      <c r="DA45" s="247">
        <v>80</v>
      </c>
      <c r="DB45" s="247">
        <v>74</v>
      </c>
      <c r="DC45" s="247">
        <v>2</v>
      </c>
      <c r="DD45" s="247">
        <v>-3</v>
      </c>
      <c r="DE45" s="247">
        <v>20</v>
      </c>
      <c r="DF45" s="247">
        <v>1244</v>
      </c>
      <c r="DG45" s="247">
        <v>493997</v>
      </c>
      <c r="DH45" s="247"/>
      <c r="DI45" s="251" t="s">
        <v>13</v>
      </c>
      <c r="DJ45" s="249">
        <v>58236</v>
      </c>
      <c r="DK45" s="249">
        <v>128</v>
      </c>
      <c r="DL45" s="249">
        <v>204</v>
      </c>
      <c r="DM45" s="249">
        <v>193</v>
      </c>
      <c r="DN45" s="249">
        <v>190</v>
      </c>
      <c r="DO45" s="249">
        <v>325</v>
      </c>
      <c r="DP45" s="249">
        <v>1365</v>
      </c>
      <c r="DQ45" s="249">
        <v>306</v>
      </c>
      <c r="DR45" s="249">
        <v>48</v>
      </c>
      <c r="DS45" s="249">
        <v>482</v>
      </c>
      <c r="DT45" s="249">
        <v>5564</v>
      </c>
      <c r="DU45" s="249">
        <v>894</v>
      </c>
      <c r="DV45" s="249">
        <v>33</v>
      </c>
      <c r="DW45" s="249">
        <v>40</v>
      </c>
      <c r="DX45" s="249">
        <v>5571</v>
      </c>
      <c r="DY45" s="249">
        <v>305</v>
      </c>
      <c r="DZ45" s="249">
        <v>526</v>
      </c>
      <c r="EA45" s="249">
        <v>41435</v>
      </c>
      <c r="EB45" s="249">
        <v>92</v>
      </c>
      <c r="EC45" s="249">
        <v>663</v>
      </c>
      <c r="ED45" s="249">
        <v>0</v>
      </c>
      <c r="EE45" s="249">
        <v>0</v>
      </c>
      <c r="EF45" s="249">
        <v>0</v>
      </c>
      <c r="EG45" s="249">
        <v>0</v>
      </c>
      <c r="EH45" s="249">
        <v>246</v>
      </c>
      <c r="EI45" s="249">
        <v>0</v>
      </c>
      <c r="EJ45" s="249">
        <v>0</v>
      </c>
      <c r="EK45" s="249">
        <v>0</v>
      </c>
      <c r="EL45" s="249">
        <v>0</v>
      </c>
      <c r="EM45" s="249">
        <v>0</v>
      </c>
      <c r="EN45" s="249">
        <v>0</v>
      </c>
      <c r="EO45" s="249">
        <v>0</v>
      </c>
      <c r="EP45" s="249">
        <v>0</v>
      </c>
      <c r="EQ45" s="249">
        <v>0</v>
      </c>
      <c r="ER45" s="249">
        <v>0</v>
      </c>
      <c r="ES45" s="249">
        <v>246</v>
      </c>
      <c r="ET45" s="249">
        <v>0</v>
      </c>
      <c r="EU45" s="249">
        <v>0</v>
      </c>
      <c r="EV45" s="249">
        <v>20</v>
      </c>
      <c r="EW45" s="249">
        <v>0</v>
      </c>
      <c r="EX45" s="249">
        <v>0</v>
      </c>
      <c r="EY45" s="249">
        <v>0</v>
      </c>
      <c r="EZ45" s="249">
        <v>0</v>
      </c>
      <c r="FA45" s="249">
        <v>13731</v>
      </c>
      <c r="FB45" s="249">
        <v>262990</v>
      </c>
      <c r="FC45" s="249">
        <v>0</v>
      </c>
      <c r="FD45" s="249">
        <v>0</v>
      </c>
      <c r="FE45" s="249">
        <v>0</v>
      </c>
      <c r="FF45" s="249">
        <v>0</v>
      </c>
      <c r="FG45" s="249">
        <v>0</v>
      </c>
      <c r="FH45" s="249">
        <v>0</v>
      </c>
      <c r="FI45" s="249">
        <v>0</v>
      </c>
      <c r="FJ45" s="249">
        <v>21</v>
      </c>
      <c r="FK45" s="249">
        <v>335372</v>
      </c>
    </row>
    <row r="46" spans="1:167" s="202" customFormat="1" x14ac:dyDescent="0.25">
      <c r="A46" s="437" t="s">
        <v>12</v>
      </c>
      <c r="B46" s="252">
        <f t="shared" ref="B46:BC46" si="16">B19+B21+B22</f>
        <v>36537965</v>
      </c>
      <c r="C46" s="252">
        <f t="shared" si="16"/>
        <v>653766</v>
      </c>
      <c r="D46" s="252">
        <f t="shared" si="16"/>
        <v>1205363</v>
      </c>
      <c r="E46" s="252">
        <f t="shared" si="16"/>
        <v>443153</v>
      </c>
      <c r="F46" s="252">
        <f t="shared" si="16"/>
        <v>456219</v>
      </c>
      <c r="G46" s="252">
        <f t="shared" si="16"/>
        <v>462010</v>
      </c>
      <c r="H46" s="252">
        <f t="shared" si="16"/>
        <v>3037155</v>
      </c>
      <c r="I46" s="252">
        <f t="shared" si="16"/>
        <v>700988</v>
      </c>
      <c r="J46" s="252">
        <f t="shared" si="16"/>
        <v>229394</v>
      </c>
      <c r="K46" s="252">
        <f t="shared" si="16"/>
        <v>1357768</v>
      </c>
      <c r="L46" s="252">
        <f t="shared" si="16"/>
        <v>1486795</v>
      </c>
      <c r="M46" s="252">
        <f t="shared" si="16"/>
        <v>1900032</v>
      </c>
      <c r="N46" s="252">
        <f t="shared" si="16"/>
        <v>666437</v>
      </c>
      <c r="O46" s="252">
        <f t="shared" si="16"/>
        <v>290615</v>
      </c>
      <c r="P46" s="252">
        <f t="shared" si="16"/>
        <v>3489277</v>
      </c>
      <c r="Q46" s="252">
        <f t="shared" si="16"/>
        <v>819836</v>
      </c>
      <c r="R46" s="252">
        <f t="shared" si="16"/>
        <v>1367518</v>
      </c>
      <c r="S46" s="252">
        <f t="shared" si="16"/>
        <v>17346278</v>
      </c>
      <c r="T46" s="252">
        <f t="shared" si="16"/>
        <v>142812</v>
      </c>
      <c r="U46" s="252">
        <f t="shared" si="16"/>
        <v>1136315</v>
      </c>
      <c r="V46" s="252">
        <f t="shared" si="16"/>
        <v>3236137</v>
      </c>
      <c r="W46" s="252">
        <f t="shared" si="16"/>
        <v>375279</v>
      </c>
      <c r="X46" s="252">
        <f t="shared" si="16"/>
        <v>5582686</v>
      </c>
      <c r="Y46" s="252">
        <f t="shared" si="16"/>
        <v>729174</v>
      </c>
      <c r="Z46" s="252">
        <f t="shared" si="16"/>
        <v>1418903</v>
      </c>
      <c r="AA46" s="252">
        <f t="shared" si="16"/>
        <v>186838</v>
      </c>
      <c r="AB46" s="252">
        <f t="shared" si="16"/>
        <v>96162</v>
      </c>
      <c r="AC46" s="252">
        <f t="shared" si="16"/>
        <v>21208</v>
      </c>
      <c r="AD46" s="252">
        <f t="shared" si="16"/>
        <v>346516</v>
      </c>
      <c r="AE46" s="252">
        <f t="shared" si="16"/>
        <v>782230</v>
      </c>
      <c r="AF46" s="252">
        <f t="shared" si="16"/>
        <v>228387</v>
      </c>
      <c r="AG46" s="252">
        <f t="shared" si="16"/>
        <v>145088</v>
      </c>
      <c r="AH46" s="252">
        <f t="shared" si="16"/>
        <v>82531</v>
      </c>
      <c r="AI46" s="252">
        <f t="shared" si="16"/>
        <v>79096</v>
      </c>
      <c r="AJ46" s="252">
        <f t="shared" si="16"/>
        <v>158844</v>
      </c>
      <c r="AK46" s="252">
        <f t="shared" si="16"/>
        <v>13469079</v>
      </c>
      <c r="AL46" s="252">
        <f t="shared" si="16"/>
        <v>337589</v>
      </c>
      <c r="AM46" s="252">
        <f t="shared" si="16"/>
        <v>91283</v>
      </c>
      <c r="AN46" s="252">
        <f t="shared" si="16"/>
        <v>86509</v>
      </c>
      <c r="AO46" s="252">
        <f t="shared" si="16"/>
        <v>1157543</v>
      </c>
      <c r="AP46" s="252">
        <f t="shared" si="16"/>
        <v>395585</v>
      </c>
      <c r="AQ46" s="252">
        <f t="shared" si="16"/>
        <v>759851</v>
      </c>
      <c r="AR46" s="252">
        <f t="shared" si="16"/>
        <v>153052</v>
      </c>
      <c r="AS46" s="252">
        <f t="shared" si="16"/>
        <v>4049960</v>
      </c>
      <c r="AT46" s="252">
        <f t="shared" si="16"/>
        <v>3886702</v>
      </c>
      <c r="AU46" s="252">
        <f t="shared" si="16"/>
        <v>397505</v>
      </c>
      <c r="AV46" s="252">
        <f t="shared" si="16"/>
        <v>713945</v>
      </c>
      <c r="AW46" s="252">
        <f t="shared" si="16"/>
        <v>149404</v>
      </c>
      <c r="AX46" s="252">
        <f t="shared" si="16"/>
        <v>1669165</v>
      </c>
      <c r="AY46" s="252">
        <f t="shared" si="16"/>
        <v>43221</v>
      </c>
      <c r="AZ46" s="252">
        <f t="shared" si="16"/>
        <v>14112</v>
      </c>
      <c r="BA46" s="252">
        <f t="shared" si="16"/>
        <v>37452</v>
      </c>
      <c r="BB46" s="252">
        <f t="shared" si="16"/>
        <v>215263</v>
      </c>
      <c r="BC46" s="252">
        <f t="shared" si="16"/>
        <v>64818951</v>
      </c>
      <c r="BE46" s="238" t="s">
        <v>12</v>
      </c>
      <c r="BF46" s="252">
        <f t="shared" ref="BF46:DG46" si="17">BF19+BF21+BF22</f>
        <v>22070028</v>
      </c>
      <c r="BG46" s="252">
        <f t="shared" si="17"/>
        <v>598584</v>
      </c>
      <c r="BH46" s="252">
        <f t="shared" si="17"/>
        <v>954827</v>
      </c>
      <c r="BI46" s="252">
        <f t="shared" si="17"/>
        <v>353843</v>
      </c>
      <c r="BJ46" s="252">
        <f t="shared" si="17"/>
        <v>365287</v>
      </c>
      <c r="BK46" s="252">
        <f t="shared" si="17"/>
        <v>404393</v>
      </c>
      <c r="BL46" s="252">
        <f t="shared" si="17"/>
        <v>2287262</v>
      </c>
      <c r="BM46" s="252">
        <f t="shared" si="17"/>
        <v>516941</v>
      </c>
      <c r="BN46" s="252">
        <f t="shared" si="17"/>
        <v>108335</v>
      </c>
      <c r="BO46" s="252">
        <f t="shared" si="17"/>
        <v>932773</v>
      </c>
      <c r="BP46" s="252">
        <f t="shared" si="17"/>
        <v>1086400</v>
      </c>
      <c r="BQ46" s="252">
        <f t="shared" si="17"/>
        <v>1425004</v>
      </c>
      <c r="BR46" s="252">
        <f t="shared" si="17"/>
        <v>607081</v>
      </c>
      <c r="BS46" s="252">
        <f t="shared" si="17"/>
        <v>231640</v>
      </c>
      <c r="BT46" s="252">
        <f t="shared" si="17"/>
        <v>2592357</v>
      </c>
      <c r="BU46" s="252">
        <f t="shared" si="17"/>
        <v>617337</v>
      </c>
      <c r="BV46" s="252">
        <f t="shared" si="17"/>
        <v>1029649</v>
      </c>
      <c r="BW46" s="252">
        <f t="shared" si="17"/>
        <v>7578816</v>
      </c>
      <c r="BX46" s="252">
        <f t="shared" si="17"/>
        <v>121365</v>
      </c>
      <c r="BY46" s="252">
        <f t="shared" si="17"/>
        <v>856718</v>
      </c>
      <c r="BZ46" s="252">
        <f t="shared" si="17"/>
        <v>3236137</v>
      </c>
      <c r="CA46" s="252">
        <f t="shared" si="17"/>
        <v>375046</v>
      </c>
      <c r="CB46" s="252">
        <f t="shared" si="17"/>
        <v>5571198</v>
      </c>
      <c r="CC46" s="252">
        <f t="shared" si="17"/>
        <v>694925</v>
      </c>
      <c r="CD46" s="252">
        <f t="shared" si="17"/>
        <v>412739</v>
      </c>
      <c r="CE46" s="252">
        <f t="shared" si="17"/>
        <v>175891</v>
      </c>
      <c r="CF46" s="252">
        <f t="shared" si="17"/>
        <v>91556</v>
      </c>
      <c r="CG46" s="252">
        <f t="shared" si="17"/>
        <v>15631</v>
      </c>
      <c r="CH46" s="252">
        <f t="shared" si="17"/>
        <v>346516</v>
      </c>
      <c r="CI46" s="252">
        <f t="shared" si="17"/>
        <v>775838</v>
      </c>
      <c r="CJ46" s="252">
        <f t="shared" si="17"/>
        <v>223296</v>
      </c>
      <c r="CK46" s="252">
        <f t="shared" si="17"/>
        <v>145088</v>
      </c>
      <c r="CL46" s="252">
        <f t="shared" si="17"/>
        <v>79426</v>
      </c>
      <c r="CM46" s="252">
        <f t="shared" si="17"/>
        <v>79096</v>
      </c>
      <c r="CN46" s="252">
        <f t="shared" si="17"/>
        <v>157123</v>
      </c>
      <c r="CO46" s="252">
        <f t="shared" si="17"/>
        <v>12379506</v>
      </c>
      <c r="CP46" s="252">
        <f t="shared" si="17"/>
        <v>326040</v>
      </c>
      <c r="CQ46" s="252">
        <f t="shared" si="17"/>
        <v>91001</v>
      </c>
      <c r="CR46" s="252">
        <f t="shared" si="17"/>
        <v>85370</v>
      </c>
      <c r="CS46" s="252">
        <f t="shared" si="17"/>
        <v>1157543</v>
      </c>
      <c r="CT46" s="252">
        <f t="shared" si="17"/>
        <v>395585</v>
      </c>
      <c r="CU46" s="252">
        <f t="shared" si="17"/>
        <v>704370</v>
      </c>
      <c r="CV46" s="252">
        <f t="shared" si="17"/>
        <v>152270</v>
      </c>
      <c r="CW46" s="252">
        <f t="shared" si="17"/>
        <v>3502038</v>
      </c>
      <c r="CX46" s="252">
        <f t="shared" si="17"/>
        <v>2221801</v>
      </c>
      <c r="CY46" s="252">
        <f t="shared" si="17"/>
        <v>387672</v>
      </c>
      <c r="CZ46" s="252">
        <f t="shared" si="17"/>
        <v>503200</v>
      </c>
      <c r="DA46" s="252">
        <f t="shared" si="17"/>
        <v>36601</v>
      </c>
      <c r="DB46" s="252">
        <f t="shared" si="17"/>
        <v>932464</v>
      </c>
      <c r="DC46" s="252">
        <f t="shared" si="17"/>
        <v>40293</v>
      </c>
      <c r="DD46" s="252">
        <f t="shared" si="17"/>
        <v>14112</v>
      </c>
      <c r="DE46" s="252">
        <f t="shared" si="17"/>
        <v>35958</v>
      </c>
      <c r="DF46" s="252">
        <f t="shared" si="17"/>
        <v>203389</v>
      </c>
      <c r="DG46" s="252">
        <f t="shared" si="17"/>
        <v>45837825</v>
      </c>
      <c r="DH46" s="252"/>
      <c r="DI46" s="238" t="s">
        <v>12</v>
      </c>
      <c r="DJ46" s="252">
        <f t="shared" ref="DJ46:FK46" si="18">DJ19+DJ21+DJ22</f>
        <v>14467937</v>
      </c>
      <c r="DK46" s="252">
        <f t="shared" si="18"/>
        <v>55182</v>
      </c>
      <c r="DL46" s="252">
        <f t="shared" si="18"/>
        <v>250536</v>
      </c>
      <c r="DM46" s="252">
        <f t="shared" si="18"/>
        <v>89310</v>
      </c>
      <c r="DN46" s="252">
        <f t="shared" si="18"/>
        <v>90932</v>
      </c>
      <c r="DO46" s="252">
        <f t="shared" si="18"/>
        <v>57617</v>
      </c>
      <c r="DP46" s="252">
        <f t="shared" si="18"/>
        <v>749893</v>
      </c>
      <c r="DQ46" s="252">
        <f t="shared" si="18"/>
        <v>184047</v>
      </c>
      <c r="DR46" s="252">
        <f t="shared" si="18"/>
        <v>121059</v>
      </c>
      <c r="DS46" s="252">
        <f t="shared" si="18"/>
        <v>424995</v>
      </c>
      <c r="DT46" s="252">
        <f t="shared" si="18"/>
        <v>400395</v>
      </c>
      <c r="DU46" s="252">
        <f t="shared" si="18"/>
        <v>475028</v>
      </c>
      <c r="DV46" s="252">
        <f t="shared" si="18"/>
        <v>59356</v>
      </c>
      <c r="DW46" s="252">
        <f t="shared" si="18"/>
        <v>58975</v>
      </c>
      <c r="DX46" s="252">
        <f t="shared" si="18"/>
        <v>896920</v>
      </c>
      <c r="DY46" s="252">
        <f t="shared" si="18"/>
        <v>202499</v>
      </c>
      <c r="DZ46" s="252">
        <f t="shared" si="18"/>
        <v>337869</v>
      </c>
      <c r="EA46" s="252">
        <f t="shared" si="18"/>
        <v>9767462</v>
      </c>
      <c r="EB46" s="252">
        <f t="shared" si="18"/>
        <v>21447</v>
      </c>
      <c r="EC46" s="252">
        <f t="shared" si="18"/>
        <v>279597</v>
      </c>
      <c r="ED46" s="252">
        <f t="shared" si="18"/>
        <v>0</v>
      </c>
      <c r="EE46" s="252">
        <f t="shared" si="18"/>
        <v>233</v>
      </c>
      <c r="EF46" s="252">
        <f t="shared" si="18"/>
        <v>11488</v>
      </c>
      <c r="EG46" s="252">
        <f t="shared" si="18"/>
        <v>34249</v>
      </c>
      <c r="EH46" s="252">
        <f t="shared" si="18"/>
        <v>1006164</v>
      </c>
      <c r="EI46" s="252">
        <f t="shared" si="18"/>
        <v>10947</v>
      </c>
      <c r="EJ46" s="252">
        <f t="shared" si="18"/>
        <v>4606</v>
      </c>
      <c r="EK46" s="252">
        <f t="shared" si="18"/>
        <v>5577</v>
      </c>
      <c r="EL46" s="252">
        <f t="shared" si="18"/>
        <v>0</v>
      </c>
      <c r="EM46" s="252">
        <f t="shared" si="18"/>
        <v>6392</v>
      </c>
      <c r="EN46" s="252">
        <f t="shared" si="18"/>
        <v>5091</v>
      </c>
      <c r="EO46" s="252">
        <f t="shared" si="18"/>
        <v>0</v>
      </c>
      <c r="EP46" s="252">
        <f t="shared" si="18"/>
        <v>3105</v>
      </c>
      <c r="EQ46" s="252">
        <f t="shared" si="18"/>
        <v>0</v>
      </c>
      <c r="ER46" s="252">
        <f t="shared" si="18"/>
        <v>1721</v>
      </c>
      <c r="ES46" s="252">
        <f t="shared" si="18"/>
        <v>1089573</v>
      </c>
      <c r="ET46" s="252">
        <f t="shared" si="18"/>
        <v>11549</v>
      </c>
      <c r="EU46" s="252">
        <f t="shared" si="18"/>
        <v>282</v>
      </c>
      <c r="EV46" s="252">
        <f t="shared" si="18"/>
        <v>1139</v>
      </c>
      <c r="EW46" s="252">
        <f t="shared" si="18"/>
        <v>0</v>
      </c>
      <c r="EX46" s="252">
        <f t="shared" si="18"/>
        <v>0</v>
      </c>
      <c r="EY46" s="252">
        <f t="shared" si="18"/>
        <v>55481</v>
      </c>
      <c r="EZ46" s="252">
        <f t="shared" si="18"/>
        <v>782</v>
      </c>
      <c r="FA46" s="252">
        <f t="shared" si="18"/>
        <v>547922</v>
      </c>
      <c r="FB46" s="252">
        <f t="shared" si="18"/>
        <v>1664901</v>
      </c>
      <c r="FC46" s="252">
        <f t="shared" si="18"/>
        <v>9833</v>
      </c>
      <c r="FD46" s="252">
        <f t="shared" si="18"/>
        <v>210745</v>
      </c>
      <c r="FE46" s="252">
        <f t="shared" si="18"/>
        <v>112803</v>
      </c>
      <c r="FF46" s="252">
        <f t="shared" si="18"/>
        <v>736701</v>
      </c>
      <c r="FG46" s="252">
        <f t="shared" si="18"/>
        <v>2928</v>
      </c>
      <c r="FH46" s="252">
        <f t="shared" si="18"/>
        <v>0</v>
      </c>
      <c r="FI46" s="252">
        <f t="shared" si="18"/>
        <v>1494</v>
      </c>
      <c r="FJ46" s="252">
        <f t="shared" si="18"/>
        <v>11874</v>
      </c>
      <c r="FK46" s="252">
        <f t="shared" si="18"/>
        <v>18981126</v>
      </c>
    </row>
    <row r="47" spans="1:167" s="202" customFormat="1" x14ac:dyDescent="0.25">
      <c r="A47" s="238" t="s">
        <v>11</v>
      </c>
      <c r="B47" s="252">
        <f t="shared" ref="B47:BC47" si="19">B41+B43+B44+B45</f>
        <v>16542958</v>
      </c>
      <c r="C47" s="252">
        <f t="shared" si="19"/>
        <v>129129</v>
      </c>
      <c r="D47" s="252">
        <f t="shared" si="19"/>
        <v>313735</v>
      </c>
      <c r="E47" s="252">
        <f t="shared" si="19"/>
        <v>105628</v>
      </c>
      <c r="F47" s="252">
        <f t="shared" si="19"/>
        <v>114019</v>
      </c>
      <c r="G47" s="252">
        <f t="shared" si="19"/>
        <v>129727</v>
      </c>
      <c r="H47" s="252">
        <f t="shared" si="19"/>
        <v>1186025</v>
      </c>
      <c r="I47" s="252">
        <f t="shared" si="19"/>
        <v>246966</v>
      </c>
      <c r="J47" s="252">
        <f t="shared" si="19"/>
        <v>138585</v>
      </c>
      <c r="K47" s="252">
        <f t="shared" si="19"/>
        <v>500186</v>
      </c>
      <c r="L47" s="252">
        <f t="shared" si="19"/>
        <v>432269</v>
      </c>
      <c r="M47" s="252">
        <f t="shared" si="19"/>
        <v>706262</v>
      </c>
      <c r="N47" s="252">
        <f t="shared" si="19"/>
        <v>101098</v>
      </c>
      <c r="O47" s="252">
        <f t="shared" si="19"/>
        <v>70480</v>
      </c>
      <c r="P47" s="252">
        <f t="shared" si="19"/>
        <v>1164402</v>
      </c>
      <c r="Q47" s="252">
        <f t="shared" si="19"/>
        <v>327045</v>
      </c>
      <c r="R47" s="252">
        <f t="shared" si="19"/>
        <v>457252</v>
      </c>
      <c r="S47" s="252">
        <f t="shared" si="19"/>
        <v>10009707</v>
      </c>
      <c r="T47" s="252">
        <f t="shared" si="19"/>
        <v>64032</v>
      </c>
      <c r="U47" s="252">
        <f t="shared" si="19"/>
        <v>475540</v>
      </c>
      <c r="V47" s="252">
        <f t="shared" si="19"/>
        <v>281236</v>
      </c>
      <c r="W47" s="252">
        <f t="shared" si="19"/>
        <v>9543</v>
      </c>
      <c r="X47" s="252">
        <f t="shared" si="19"/>
        <v>317248</v>
      </c>
      <c r="Y47" s="252">
        <f t="shared" si="19"/>
        <v>63732</v>
      </c>
      <c r="Z47" s="252">
        <f t="shared" si="19"/>
        <v>1098369</v>
      </c>
      <c r="AA47" s="252">
        <f t="shared" si="19"/>
        <v>54828</v>
      </c>
      <c r="AB47" s="252">
        <f t="shared" si="19"/>
        <v>25001</v>
      </c>
      <c r="AC47" s="252">
        <f t="shared" si="19"/>
        <v>9225</v>
      </c>
      <c r="AD47" s="252">
        <f t="shared" si="19"/>
        <v>23051</v>
      </c>
      <c r="AE47" s="252">
        <f t="shared" si="19"/>
        <v>126590</v>
      </c>
      <c r="AF47" s="252">
        <f t="shared" si="19"/>
        <v>43867</v>
      </c>
      <c r="AG47" s="252">
        <f t="shared" si="19"/>
        <v>16562</v>
      </c>
      <c r="AH47" s="252">
        <f t="shared" si="19"/>
        <v>8439</v>
      </c>
      <c r="AI47" s="252">
        <f t="shared" si="19"/>
        <v>6200</v>
      </c>
      <c r="AJ47" s="252">
        <f t="shared" si="19"/>
        <v>12984</v>
      </c>
      <c r="AK47" s="252">
        <f t="shared" si="19"/>
        <v>2096875</v>
      </c>
      <c r="AL47" s="252">
        <f t="shared" si="19"/>
        <v>78997</v>
      </c>
      <c r="AM47" s="252">
        <f t="shared" si="19"/>
        <v>87789</v>
      </c>
      <c r="AN47" s="252">
        <f t="shared" si="19"/>
        <v>28554</v>
      </c>
      <c r="AO47" s="252">
        <f t="shared" si="19"/>
        <v>260913</v>
      </c>
      <c r="AP47" s="252">
        <f t="shared" si="19"/>
        <v>132944</v>
      </c>
      <c r="AQ47" s="252">
        <f t="shared" si="19"/>
        <v>316734</v>
      </c>
      <c r="AR47" s="252">
        <f t="shared" si="19"/>
        <v>152379</v>
      </c>
      <c r="AS47" s="252">
        <f t="shared" si="19"/>
        <v>4327841</v>
      </c>
      <c r="AT47" s="252">
        <f t="shared" si="19"/>
        <v>3380049</v>
      </c>
      <c r="AU47" s="252">
        <f t="shared" si="19"/>
        <v>85319</v>
      </c>
      <c r="AV47" s="252">
        <f t="shared" si="19"/>
        <v>909030</v>
      </c>
      <c r="AW47" s="252">
        <f t="shared" si="19"/>
        <v>153268</v>
      </c>
      <c r="AX47" s="252">
        <f t="shared" si="19"/>
        <v>1136523</v>
      </c>
      <c r="AY47" s="252">
        <f t="shared" si="19"/>
        <v>50800</v>
      </c>
      <c r="AZ47" s="252">
        <f t="shared" si="19"/>
        <v>19084</v>
      </c>
      <c r="BA47" s="252">
        <f t="shared" si="19"/>
        <v>83703</v>
      </c>
      <c r="BB47" s="252">
        <f t="shared" si="19"/>
        <v>1259160</v>
      </c>
      <c r="BC47" s="252">
        <f t="shared" si="19"/>
        <v>31232049</v>
      </c>
      <c r="BE47" s="238" t="s">
        <v>11</v>
      </c>
      <c r="BF47" s="252">
        <f t="shared" ref="BF47:DG47" si="20">BF41+BF43+BF44+BF45</f>
        <v>2083069</v>
      </c>
      <c r="BG47" s="252">
        <f t="shared" si="20"/>
        <v>65603</v>
      </c>
      <c r="BH47" s="252">
        <f t="shared" si="20"/>
        <v>66431</v>
      </c>
      <c r="BI47" s="252">
        <f t="shared" si="20"/>
        <v>19127</v>
      </c>
      <c r="BJ47" s="252">
        <f t="shared" si="20"/>
        <v>23335</v>
      </c>
      <c r="BK47" s="252">
        <f t="shared" si="20"/>
        <v>74782</v>
      </c>
      <c r="BL47" s="252">
        <f t="shared" si="20"/>
        <v>423322</v>
      </c>
      <c r="BM47" s="252">
        <f t="shared" si="20"/>
        <v>52227</v>
      </c>
      <c r="BN47" s="252">
        <f t="shared" si="20"/>
        <v>4537</v>
      </c>
      <c r="BO47" s="252">
        <f t="shared" si="20"/>
        <v>66091</v>
      </c>
      <c r="BP47" s="252">
        <f t="shared" si="20"/>
        <v>49938</v>
      </c>
      <c r="BQ47" s="252">
        <f t="shared" si="20"/>
        <v>233644</v>
      </c>
      <c r="BR47" s="252">
        <f t="shared" si="20"/>
        <v>43060</v>
      </c>
      <c r="BS47" s="252">
        <f t="shared" si="20"/>
        <v>12163</v>
      </c>
      <c r="BT47" s="252">
        <f t="shared" si="20"/>
        <v>289275</v>
      </c>
      <c r="BU47" s="252">
        <f t="shared" si="20"/>
        <v>123375</v>
      </c>
      <c r="BV47" s="252">
        <f t="shared" si="20"/>
        <v>130032</v>
      </c>
      <c r="BW47" s="252">
        <f t="shared" si="20"/>
        <v>236390</v>
      </c>
      <c r="BX47" s="252">
        <f t="shared" si="20"/>
        <v>42573</v>
      </c>
      <c r="BY47" s="252">
        <f t="shared" si="20"/>
        <v>192767</v>
      </c>
      <c r="BZ47" s="252">
        <f t="shared" si="20"/>
        <v>281236</v>
      </c>
      <c r="CA47" s="252">
        <f t="shared" si="20"/>
        <v>9397</v>
      </c>
      <c r="CB47" s="252">
        <f t="shared" si="20"/>
        <v>305549</v>
      </c>
      <c r="CC47" s="252">
        <f t="shared" si="20"/>
        <v>29845</v>
      </c>
      <c r="CD47" s="252">
        <f t="shared" si="20"/>
        <v>35139</v>
      </c>
      <c r="CE47" s="252">
        <f t="shared" si="20"/>
        <v>44075</v>
      </c>
      <c r="CF47" s="252">
        <f t="shared" si="20"/>
        <v>20336</v>
      </c>
      <c r="CG47" s="252">
        <f t="shared" si="20"/>
        <v>3291</v>
      </c>
      <c r="CH47" s="252">
        <f t="shared" si="20"/>
        <v>23051</v>
      </c>
      <c r="CI47" s="252">
        <f t="shared" si="20"/>
        <v>120878</v>
      </c>
      <c r="CJ47" s="252">
        <f t="shared" si="20"/>
        <v>38697</v>
      </c>
      <c r="CK47" s="252">
        <f t="shared" si="20"/>
        <v>16562</v>
      </c>
      <c r="CL47" s="252">
        <f t="shared" si="20"/>
        <v>5345</v>
      </c>
      <c r="CM47" s="252">
        <f t="shared" si="20"/>
        <v>6200</v>
      </c>
      <c r="CN47" s="252">
        <f t="shared" si="20"/>
        <v>11525</v>
      </c>
      <c r="CO47" s="252">
        <f t="shared" si="20"/>
        <v>951126</v>
      </c>
      <c r="CP47" s="252">
        <f t="shared" si="20"/>
        <v>73206</v>
      </c>
      <c r="CQ47" s="252">
        <f t="shared" si="20"/>
        <v>87340</v>
      </c>
      <c r="CR47" s="252">
        <f t="shared" si="20"/>
        <v>27383</v>
      </c>
      <c r="CS47" s="252">
        <f t="shared" si="20"/>
        <v>260913</v>
      </c>
      <c r="CT47" s="252">
        <f t="shared" si="20"/>
        <v>132944</v>
      </c>
      <c r="CU47" s="252">
        <f t="shared" si="20"/>
        <v>260551</v>
      </c>
      <c r="CV47" s="252">
        <f t="shared" si="20"/>
        <v>151620</v>
      </c>
      <c r="CW47" s="252">
        <f t="shared" si="20"/>
        <v>3781672</v>
      </c>
      <c r="CX47" s="252">
        <f t="shared" si="20"/>
        <v>1754781</v>
      </c>
      <c r="CY47" s="252">
        <f t="shared" si="20"/>
        <v>75295</v>
      </c>
      <c r="CZ47" s="252">
        <f t="shared" si="20"/>
        <v>612544</v>
      </c>
      <c r="DA47" s="252">
        <f t="shared" si="20"/>
        <v>32801</v>
      </c>
      <c r="DB47" s="252">
        <f t="shared" si="20"/>
        <v>471141</v>
      </c>
      <c r="DC47" s="252">
        <f t="shared" si="20"/>
        <v>45444</v>
      </c>
      <c r="DD47" s="252">
        <f t="shared" si="20"/>
        <v>19084</v>
      </c>
      <c r="DE47" s="252">
        <f t="shared" si="20"/>
        <v>82615</v>
      </c>
      <c r="DF47" s="252">
        <f t="shared" si="20"/>
        <v>1247320</v>
      </c>
      <c r="DG47" s="252">
        <f t="shared" si="20"/>
        <v>12216452</v>
      </c>
      <c r="DH47" s="252"/>
      <c r="DI47" s="238" t="s">
        <v>11</v>
      </c>
      <c r="DJ47" s="252">
        <f t="shared" ref="DJ47:FK47" si="21">DJ41+DJ43+DJ44+DJ45</f>
        <v>14459889</v>
      </c>
      <c r="DK47" s="252">
        <f t="shared" si="21"/>
        <v>63526</v>
      </c>
      <c r="DL47" s="252">
        <f t="shared" si="21"/>
        <v>247304</v>
      </c>
      <c r="DM47" s="252">
        <f t="shared" si="21"/>
        <v>86501</v>
      </c>
      <c r="DN47" s="252">
        <f t="shared" si="21"/>
        <v>90684</v>
      </c>
      <c r="DO47" s="252">
        <f t="shared" si="21"/>
        <v>54945</v>
      </c>
      <c r="DP47" s="252">
        <f t="shared" si="21"/>
        <v>762703</v>
      </c>
      <c r="DQ47" s="252">
        <f t="shared" si="21"/>
        <v>194739</v>
      </c>
      <c r="DR47" s="252">
        <f t="shared" si="21"/>
        <v>134048</v>
      </c>
      <c r="DS47" s="252">
        <f t="shared" si="21"/>
        <v>434095</v>
      </c>
      <c r="DT47" s="252">
        <f t="shared" si="21"/>
        <v>382331</v>
      </c>
      <c r="DU47" s="252">
        <f t="shared" si="21"/>
        <v>472618</v>
      </c>
      <c r="DV47" s="252">
        <f t="shared" si="21"/>
        <v>58038</v>
      </c>
      <c r="DW47" s="252">
        <f t="shared" si="21"/>
        <v>58317</v>
      </c>
      <c r="DX47" s="252">
        <f t="shared" si="21"/>
        <v>875127</v>
      </c>
      <c r="DY47" s="252">
        <f t="shared" si="21"/>
        <v>203670</v>
      </c>
      <c r="DZ47" s="252">
        <f t="shared" si="21"/>
        <v>327220</v>
      </c>
      <c r="EA47" s="252">
        <f t="shared" si="21"/>
        <v>9773317</v>
      </c>
      <c r="EB47" s="252">
        <f t="shared" si="21"/>
        <v>21459</v>
      </c>
      <c r="EC47" s="252">
        <f t="shared" si="21"/>
        <v>282773</v>
      </c>
      <c r="ED47" s="252">
        <f t="shared" si="21"/>
        <v>0</v>
      </c>
      <c r="EE47" s="252">
        <f t="shared" si="21"/>
        <v>146</v>
      </c>
      <c r="EF47" s="252">
        <f t="shared" si="21"/>
        <v>11699</v>
      </c>
      <c r="EG47" s="252">
        <f t="shared" si="21"/>
        <v>33887</v>
      </c>
      <c r="EH47" s="252">
        <f t="shared" si="21"/>
        <v>1063230</v>
      </c>
      <c r="EI47" s="252">
        <f t="shared" si="21"/>
        <v>10753</v>
      </c>
      <c r="EJ47" s="252">
        <f t="shared" si="21"/>
        <v>4665</v>
      </c>
      <c r="EK47" s="252">
        <f t="shared" si="21"/>
        <v>5934</v>
      </c>
      <c r="EL47" s="252">
        <f t="shared" si="21"/>
        <v>0</v>
      </c>
      <c r="EM47" s="252">
        <f t="shared" si="21"/>
        <v>5712</v>
      </c>
      <c r="EN47" s="252">
        <f t="shared" si="21"/>
        <v>5170</v>
      </c>
      <c r="EO47" s="252">
        <f t="shared" si="21"/>
        <v>0</v>
      </c>
      <c r="EP47" s="252">
        <f t="shared" si="21"/>
        <v>3094</v>
      </c>
      <c r="EQ47" s="252">
        <f t="shared" si="21"/>
        <v>0</v>
      </c>
      <c r="ER47" s="252">
        <f t="shared" si="21"/>
        <v>1459</v>
      </c>
      <c r="ES47" s="252">
        <f t="shared" si="21"/>
        <v>1145749</v>
      </c>
      <c r="ET47" s="252">
        <f t="shared" si="21"/>
        <v>5791</v>
      </c>
      <c r="EU47" s="252">
        <f t="shared" si="21"/>
        <v>449</v>
      </c>
      <c r="EV47" s="252">
        <f t="shared" si="21"/>
        <v>1171</v>
      </c>
      <c r="EW47" s="252">
        <f t="shared" si="21"/>
        <v>0</v>
      </c>
      <c r="EX47" s="252">
        <f t="shared" si="21"/>
        <v>0</v>
      </c>
      <c r="EY47" s="252">
        <f t="shared" si="21"/>
        <v>56183</v>
      </c>
      <c r="EZ47" s="252">
        <f t="shared" si="21"/>
        <v>759</v>
      </c>
      <c r="FA47" s="252">
        <f t="shared" si="21"/>
        <v>546169</v>
      </c>
      <c r="FB47" s="252">
        <f t="shared" si="21"/>
        <v>1625268</v>
      </c>
      <c r="FC47" s="252">
        <f t="shared" si="21"/>
        <v>10024</v>
      </c>
      <c r="FD47" s="252">
        <f t="shared" si="21"/>
        <v>296486</v>
      </c>
      <c r="FE47" s="252">
        <f t="shared" si="21"/>
        <v>120467</v>
      </c>
      <c r="FF47" s="252">
        <f t="shared" si="21"/>
        <v>665382</v>
      </c>
      <c r="FG47" s="252">
        <f t="shared" si="21"/>
        <v>5356</v>
      </c>
      <c r="FH47" s="252">
        <f t="shared" si="21"/>
        <v>0</v>
      </c>
      <c r="FI47" s="252">
        <f t="shared" si="21"/>
        <v>1088</v>
      </c>
      <c r="FJ47" s="252">
        <f t="shared" si="21"/>
        <v>11840</v>
      </c>
      <c r="FK47" s="252">
        <f t="shared" si="21"/>
        <v>19015597</v>
      </c>
    </row>
    <row r="48" spans="1:167" s="202" customFormat="1" x14ac:dyDescent="0.25">
      <c r="A48" s="238" t="s">
        <v>10</v>
      </c>
      <c r="B48" s="252">
        <f t="shared" ref="B48:BC48" si="22">B46-B47</f>
        <v>19995007</v>
      </c>
      <c r="C48" s="252">
        <f t="shared" si="22"/>
        <v>524637</v>
      </c>
      <c r="D48" s="252">
        <f t="shared" si="22"/>
        <v>891628</v>
      </c>
      <c r="E48" s="252">
        <f t="shared" si="22"/>
        <v>337525</v>
      </c>
      <c r="F48" s="252">
        <f t="shared" si="22"/>
        <v>342200</v>
      </c>
      <c r="G48" s="252">
        <f t="shared" si="22"/>
        <v>332283</v>
      </c>
      <c r="H48" s="252">
        <f t="shared" si="22"/>
        <v>1851130</v>
      </c>
      <c r="I48" s="252">
        <f t="shared" si="22"/>
        <v>454022</v>
      </c>
      <c r="J48" s="252">
        <f t="shared" si="22"/>
        <v>90809</v>
      </c>
      <c r="K48" s="252">
        <f t="shared" si="22"/>
        <v>857582</v>
      </c>
      <c r="L48" s="252">
        <f t="shared" si="22"/>
        <v>1054526</v>
      </c>
      <c r="M48" s="252">
        <f t="shared" si="22"/>
        <v>1193770</v>
      </c>
      <c r="N48" s="252">
        <f t="shared" si="22"/>
        <v>565339</v>
      </c>
      <c r="O48" s="252">
        <f t="shared" si="22"/>
        <v>220135</v>
      </c>
      <c r="P48" s="252">
        <f t="shared" si="22"/>
        <v>2324875</v>
      </c>
      <c r="Q48" s="252">
        <f t="shared" si="22"/>
        <v>492791</v>
      </c>
      <c r="R48" s="252">
        <f t="shared" si="22"/>
        <v>910266</v>
      </c>
      <c r="S48" s="252">
        <f t="shared" si="22"/>
        <v>7336571</v>
      </c>
      <c r="T48" s="252">
        <f t="shared" si="22"/>
        <v>78780</v>
      </c>
      <c r="U48" s="252">
        <f t="shared" si="22"/>
        <v>660775</v>
      </c>
      <c r="V48" s="252">
        <f t="shared" si="22"/>
        <v>2954901</v>
      </c>
      <c r="W48" s="252">
        <f t="shared" si="22"/>
        <v>365736</v>
      </c>
      <c r="X48" s="252">
        <f t="shared" si="22"/>
        <v>5265438</v>
      </c>
      <c r="Y48" s="252">
        <f t="shared" si="22"/>
        <v>665442</v>
      </c>
      <c r="Z48" s="252">
        <f t="shared" si="22"/>
        <v>320534</v>
      </c>
      <c r="AA48" s="252">
        <f t="shared" si="22"/>
        <v>132010</v>
      </c>
      <c r="AB48" s="252">
        <f t="shared" si="22"/>
        <v>71161</v>
      </c>
      <c r="AC48" s="252">
        <f t="shared" si="22"/>
        <v>11983</v>
      </c>
      <c r="AD48" s="252">
        <f t="shared" si="22"/>
        <v>323465</v>
      </c>
      <c r="AE48" s="252">
        <f t="shared" si="22"/>
        <v>655640</v>
      </c>
      <c r="AF48" s="252">
        <f t="shared" si="22"/>
        <v>184520</v>
      </c>
      <c r="AG48" s="252">
        <f t="shared" si="22"/>
        <v>128526</v>
      </c>
      <c r="AH48" s="252">
        <f t="shared" si="22"/>
        <v>74092</v>
      </c>
      <c r="AI48" s="252">
        <f t="shared" si="22"/>
        <v>72896</v>
      </c>
      <c r="AJ48" s="252">
        <f t="shared" si="22"/>
        <v>145860</v>
      </c>
      <c r="AK48" s="252">
        <f t="shared" si="22"/>
        <v>11372204</v>
      </c>
      <c r="AL48" s="252">
        <f t="shared" si="22"/>
        <v>258592</v>
      </c>
      <c r="AM48" s="252">
        <f t="shared" si="22"/>
        <v>3494</v>
      </c>
      <c r="AN48" s="252">
        <f t="shared" si="22"/>
        <v>57955</v>
      </c>
      <c r="AO48" s="252">
        <f t="shared" si="22"/>
        <v>896630</v>
      </c>
      <c r="AP48" s="252">
        <f t="shared" si="22"/>
        <v>262641</v>
      </c>
      <c r="AQ48" s="252">
        <f t="shared" si="22"/>
        <v>443117</v>
      </c>
      <c r="AR48" s="252">
        <f t="shared" si="22"/>
        <v>673</v>
      </c>
      <c r="AS48" s="252">
        <f t="shared" si="22"/>
        <v>-277881</v>
      </c>
      <c r="AT48" s="252">
        <f t="shared" si="22"/>
        <v>506653</v>
      </c>
      <c r="AU48" s="252">
        <f t="shared" si="22"/>
        <v>312186</v>
      </c>
      <c r="AV48" s="252">
        <f t="shared" si="22"/>
        <v>-195085</v>
      </c>
      <c r="AW48" s="252">
        <f t="shared" si="22"/>
        <v>-3864</v>
      </c>
      <c r="AX48" s="252">
        <f t="shared" si="22"/>
        <v>532642</v>
      </c>
      <c r="AY48" s="252">
        <f t="shared" si="22"/>
        <v>-7579</v>
      </c>
      <c r="AZ48" s="252">
        <f t="shared" si="22"/>
        <v>-4972</v>
      </c>
      <c r="BA48" s="252">
        <f t="shared" si="22"/>
        <v>-46251</v>
      </c>
      <c r="BB48" s="252">
        <f t="shared" si="22"/>
        <v>-1043897</v>
      </c>
      <c r="BC48" s="252">
        <f t="shared" si="22"/>
        <v>33586902</v>
      </c>
      <c r="BE48" s="238" t="s">
        <v>10</v>
      </c>
      <c r="BF48" s="252">
        <f t="shared" ref="BF48:DG48" si="23">BF46-BF47</f>
        <v>19986959</v>
      </c>
      <c r="BG48" s="252">
        <f t="shared" si="23"/>
        <v>532981</v>
      </c>
      <c r="BH48" s="252">
        <f t="shared" si="23"/>
        <v>888396</v>
      </c>
      <c r="BI48" s="252">
        <f t="shared" si="23"/>
        <v>334716</v>
      </c>
      <c r="BJ48" s="252">
        <f t="shared" si="23"/>
        <v>341952</v>
      </c>
      <c r="BK48" s="252">
        <f t="shared" si="23"/>
        <v>329611</v>
      </c>
      <c r="BL48" s="252">
        <f t="shared" si="23"/>
        <v>1863940</v>
      </c>
      <c r="BM48" s="252">
        <f t="shared" si="23"/>
        <v>464714</v>
      </c>
      <c r="BN48" s="252">
        <f t="shared" si="23"/>
        <v>103798</v>
      </c>
      <c r="BO48" s="252">
        <f t="shared" si="23"/>
        <v>866682</v>
      </c>
      <c r="BP48" s="252">
        <f t="shared" si="23"/>
        <v>1036462</v>
      </c>
      <c r="BQ48" s="252">
        <f t="shared" si="23"/>
        <v>1191360</v>
      </c>
      <c r="BR48" s="252">
        <f t="shared" si="23"/>
        <v>564021</v>
      </c>
      <c r="BS48" s="252">
        <f t="shared" si="23"/>
        <v>219477</v>
      </c>
      <c r="BT48" s="252">
        <f t="shared" si="23"/>
        <v>2303082</v>
      </c>
      <c r="BU48" s="252">
        <f t="shared" si="23"/>
        <v>493962</v>
      </c>
      <c r="BV48" s="252">
        <f t="shared" si="23"/>
        <v>899617</v>
      </c>
      <c r="BW48" s="252">
        <f t="shared" si="23"/>
        <v>7342426</v>
      </c>
      <c r="BX48" s="252">
        <f t="shared" si="23"/>
        <v>78792</v>
      </c>
      <c r="BY48" s="252">
        <f t="shared" si="23"/>
        <v>663951</v>
      </c>
      <c r="BZ48" s="252">
        <f t="shared" si="23"/>
        <v>2954901</v>
      </c>
      <c r="CA48" s="252">
        <f t="shared" si="23"/>
        <v>365649</v>
      </c>
      <c r="CB48" s="252">
        <f t="shared" si="23"/>
        <v>5265649</v>
      </c>
      <c r="CC48" s="252">
        <f t="shared" si="23"/>
        <v>665080</v>
      </c>
      <c r="CD48" s="252">
        <f t="shared" si="23"/>
        <v>377600</v>
      </c>
      <c r="CE48" s="252">
        <f t="shared" si="23"/>
        <v>131816</v>
      </c>
      <c r="CF48" s="252">
        <f t="shared" si="23"/>
        <v>71220</v>
      </c>
      <c r="CG48" s="252">
        <f t="shared" si="23"/>
        <v>12340</v>
      </c>
      <c r="CH48" s="252">
        <f t="shared" si="23"/>
        <v>323465</v>
      </c>
      <c r="CI48" s="252">
        <f t="shared" si="23"/>
        <v>654960</v>
      </c>
      <c r="CJ48" s="252">
        <f t="shared" si="23"/>
        <v>184599</v>
      </c>
      <c r="CK48" s="252">
        <f t="shared" si="23"/>
        <v>128526</v>
      </c>
      <c r="CL48" s="252">
        <f t="shared" si="23"/>
        <v>74081</v>
      </c>
      <c r="CM48" s="252">
        <f t="shared" si="23"/>
        <v>72896</v>
      </c>
      <c r="CN48" s="252">
        <f t="shared" si="23"/>
        <v>145598</v>
      </c>
      <c r="CO48" s="252">
        <f t="shared" si="23"/>
        <v>11428380</v>
      </c>
      <c r="CP48" s="252">
        <f t="shared" si="23"/>
        <v>252834</v>
      </c>
      <c r="CQ48" s="252">
        <f t="shared" si="23"/>
        <v>3661</v>
      </c>
      <c r="CR48" s="252">
        <f t="shared" si="23"/>
        <v>57987</v>
      </c>
      <c r="CS48" s="252">
        <f t="shared" si="23"/>
        <v>896630</v>
      </c>
      <c r="CT48" s="252">
        <f t="shared" si="23"/>
        <v>262641</v>
      </c>
      <c r="CU48" s="252">
        <f t="shared" si="23"/>
        <v>443819</v>
      </c>
      <c r="CV48" s="252">
        <f t="shared" si="23"/>
        <v>650</v>
      </c>
      <c r="CW48" s="252">
        <f t="shared" si="23"/>
        <v>-279634</v>
      </c>
      <c r="CX48" s="252">
        <f t="shared" si="23"/>
        <v>467020</v>
      </c>
      <c r="CY48" s="252">
        <f t="shared" si="23"/>
        <v>312377</v>
      </c>
      <c r="CZ48" s="252">
        <f t="shared" si="23"/>
        <v>-109344</v>
      </c>
      <c r="DA48" s="252">
        <f t="shared" si="23"/>
        <v>3800</v>
      </c>
      <c r="DB48" s="252">
        <f t="shared" si="23"/>
        <v>461323</v>
      </c>
      <c r="DC48" s="252">
        <f t="shared" si="23"/>
        <v>-5151</v>
      </c>
      <c r="DD48" s="252">
        <f t="shared" si="23"/>
        <v>-4972</v>
      </c>
      <c r="DE48" s="252">
        <f t="shared" si="23"/>
        <v>-46657</v>
      </c>
      <c r="DF48" s="252">
        <f t="shared" si="23"/>
        <v>-1043931</v>
      </c>
      <c r="DG48" s="252">
        <f t="shared" si="23"/>
        <v>33621373</v>
      </c>
      <c r="DH48" s="252"/>
      <c r="DI48" s="238" t="s">
        <v>10</v>
      </c>
      <c r="DJ48" s="252">
        <f t="shared" ref="DJ48:FK48" si="24">DJ46-DJ47</f>
        <v>8048</v>
      </c>
      <c r="DK48" s="252">
        <f t="shared" si="24"/>
        <v>-8344</v>
      </c>
      <c r="DL48" s="252">
        <f t="shared" si="24"/>
        <v>3232</v>
      </c>
      <c r="DM48" s="252">
        <f t="shared" si="24"/>
        <v>2809</v>
      </c>
      <c r="DN48" s="252">
        <f t="shared" si="24"/>
        <v>248</v>
      </c>
      <c r="DO48" s="252">
        <f t="shared" si="24"/>
        <v>2672</v>
      </c>
      <c r="DP48" s="252">
        <f t="shared" si="24"/>
        <v>-12810</v>
      </c>
      <c r="DQ48" s="252">
        <f t="shared" si="24"/>
        <v>-10692</v>
      </c>
      <c r="DR48" s="252">
        <f t="shared" si="24"/>
        <v>-12989</v>
      </c>
      <c r="DS48" s="252">
        <f t="shared" si="24"/>
        <v>-9100</v>
      </c>
      <c r="DT48" s="252">
        <f t="shared" si="24"/>
        <v>18064</v>
      </c>
      <c r="DU48" s="252">
        <f t="shared" si="24"/>
        <v>2410</v>
      </c>
      <c r="DV48" s="252">
        <f t="shared" si="24"/>
        <v>1318</v>
      </c>
      <c r="DW48" s="252">
        <f t="shared" si="24"/>
        <v>658</v>
      </c>
      <c r="DX48" s="252">
        <f t="shared" si="24"/>
        <v>21793</v>
      </c>
      <c r="DY48" s="252">
        <f t="shared" si="24"/>
        <v>-1171</v>
      </c>
      <c r="DZ48" s="252">
        <f t="shared" si="24"/>
        <v>10649</v>
      </c>
      <c r="EA48" s="252">
        <f t="shared" si="24"/>
        <v>-5855</v>
      </c>
      <c r="EB48" s="252">
        <f t="shared" si="24"/>
        <v>-12</v>
      </c>
      <c r="EC48" s="252">
        <f t="shared" si="24"/>
        <v>-3176</v>
      </c>
      <c r="ED48" s="252">
        <f t="shared" si="24"/>
        <v>0</v>
      </c>
      <c r="EE48" s="252">
        <f t="shared" si="24"/>
        <v>87</v>
      </c>
      <c r="EF48" s="252">
        <f t="shared" si="24"/>
        <v>-211</v>
      </c>
      <c r="EG48" s="252">
        <f t="shared" si="24"/>
        <v>362</v>
      </c>
      <c r="EH48" s="252">
        <f t="shared" si="24"/>
        <v>-57066</v>
      </c>
      <c r="EI48" s="252">
        <f t="shared" si="24"/>
        <v>194</v>
      </c>
      <c r="EJ48" s="252">
        <f t="shared" si="24"/>
        <v>-59</v>
      </c>
      <c r="EK48" s="252">
        <f t="shared" si="24"/>
        <v>-357</v>
      </c>
      <c r="EL48" s="252">
        <f t="shared" si="24"/>
        <v>0</v>
      </c>
      <c r="EM48" s="252">
        <f t="shared" si="24"/>
        <v>680</v>
      </c>
      <c r="EN48" s="252">
        <f t="shared" si="24"/>
        <v>-79</v>
      </c>
      <c r="EO48" s="252">
        <f t="shared" si="24"/>
        <v>0</v>
      </c>
      <c r="EP48" s="252">
        <f t="shared" si="24"/>
        <v>11</v>
      </c>
      <c r="EQ48" s="252">
        <f t="shared" si="24"/>
        <v>0</v>
      </c>
      <c r="ER48" s="252">
        <f t="shared" si="24"/>
        <v>262</v>
      </c>
      <c r="ES48" s="252">
        <f t="shared" si="24"/>
        <v>-56176</v>
      </c>
      <c r="ET48" s="252">
        <f t="shared" si="24"/>
        <v>5758</v>
      </c>
      <c r="EU48" s="252">
        <f t="shared" si="24"/>
        <v>-167</v>
      </c>
      <c r="EV48" s="252">
        <f t="shared" si="24"/>
        <v>-32</v>
      </c>
      <c r="EW48" s="252">
        <f t="shared" si="24"/>
        <v>0</v>
      </c>
      <c r="EX48" s="252">
        <f t="shared" si="24"/>
        <v>0</v>
      </c>
      <c r="EY48" s="252">
        <f t="shared" si="24"/>
        <v>-702</v>
      </c>
      <c r="EZ48" s="252">
        <f t="shared" si="24"/>
        <v>23</v>
      </c>
      <c r="FA48" s="252">
        <f t="shared" si="24"/>
        <v>1753</v>
      </c>
      <c r="FB48" s="252">
        <f t="shared" si="24"/>
        <v>39633</v>
      </c>
      <c r="FC48" s="252">
        <f t="shared" si="24"/>
        <v>-191</v>
      </c>
      <c r="FD48" s="252">
        <f t="shared" si="24"/>
        <v>-85741</v>
      </c>
      <c r="FE48" s="252">
        <f t="shared" si="24"/>
        <v>-7664</v>
      </c>
      <c r="FF48" s="252">
        <f t="shared" si="24"/>
        <v>71319</v>
      </c>
      <c r="FG48" s="252">
        <f t="shared" si="24"/>
        <v>-2428</v>
      </c>
      <c r="FH48" s="252">
        <f t="shared" si="24"/>
        <v>0</v>
      </c>
      <c r="FI48" s="252">
        <f t="shared" si="24"/>
        <v>406</v>
      </c>
      <c r="FJ48" s="252">
        <f t="shared" si="24"/>
        <v>34</v>
      </c>
      <c r="FK48" s="252">
        <f t="shared" si="24"/>
        <v>-34471</v>
      </c>
    </row>
    <row r="50" spans="1:72" x14ac:dyDescent="0.25">
      <c r="A50" s="234"/>
      <c r="B50" s="234"/>
      <c r="BF50" s="234"/>
      <c r="BT50" s="234"/>
    </row>
    <row r="51" spans="1:72" x14ac:dyDescent="0.25">
      <c r="B51" s="234"/>
      <c r="E51" s="234"/>
    </row>
    <row r="52" spans="1:72" x14ac:dyDescent="0.25">
      <c r="A52" s="253" t="s">
        <v>9</v>
      </c>
      <c r="B52" s="385"/>
      <c r="C52" s="385"/>
      <c r="D52" s="385"/>
      <c r="E52" s="385"/>
      <c r="F52" s="386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53"/>
      <c r="AT52" s="253"/>
      <c r="AU52" s="253"/>
      <c r="AV52" s="253"/>
      <c r="AW52" s="253"/>
      <c r="AX52" s="253"/>
      <c r="AY52" s="253"/>
      <c r="AZ52" s="253"/>
      <c r="BA52" s="253"/>
      <c r="BB52" s="253"/>
      <c r="BC52" s="253"/>
      <c r="BD52" s="253"/>
      <c r="BE52" s="237"/>
      <c r="BF52" s="237"/>
    </row>
    <row r="53" spans="1:72" x14ac:dyDescent="0.25">
      <c r="A53" s="202" t="s">
        <v>644</v>
      </c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37"/>
      <c r="BF53" s="237"/>
    </row>
    <row r="54" spans="1:72" x14ac:dyDescent="0.25">
      <c r="A54" s="202" t="s">
        <v>592</v>
      </c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37"/>
      <c r="BF54" s="237"/>
    </row>
    <row r="55" spans="1:72" x14ac:dyDescent="0.25">
      <c r="BF55"/>
      <c r="BG55"/>
      <c r="BH55"/>
      <c r="BI55"/>
    </row>
    <row r="56" spans="1:72" x14ac:dyDescent="0.25">
      <c r="A56" s="241" t="s">
        <v>555</v>
      </c>
      <c r="B56" s="254" t="s">
        <v>556</v>
      </c>
      <c r="C56" s="254" t="s">
        <v>557</v>
      </c>
      <c r="BF56"/>
      <c r="BG56"/>
      <c r="BH56"/>
      <c r="BI56"/>
    </row>
    <row r="57" spans="1:72" x14ac:dyDescent="0.25">
      <c r="A57" s="236" t="s">
        <v>553</v>
      </c>
      <c r="B57" s="246">
        <f>SUM(P48:S48)</f>
        <v>11064503</v>
      </c>
      <c r="C57" s="382">
        <f>B57/$B$60</f>
        <v>0.58859411593104249</v>
      </c>
      <c r="D57" s="384"/>
      <c r="E57" s="383"/>
      <c r="F57" s="424"/>
      <c r="G57" s="255"/>
      <c r="BF57"/>
      <c r="BG57"/>
      <c r="BH57"/>
      <c r="BI57"/>
      <c r="BK57" s="234"/>
    </row>
    <row r="58" spans="1:72" x14ac:dyDescent="0.25">
      <c r="A58" s="236" t="s">
        <v>554</v>
      </c>
      <c r="B58" s="246">
        <f>SUM(G48:I48,B64)</f>
        <v>3711828</v>
      </c>
      <c r="C58" s="382">
        <f>B58/$B$60</f>
        <v>0.19745668830747204</v>
      </c>
      <c r="D58" s="384"/>
      <c r="E58" s="383"/>
      <c r="F58" s="424"/>
      <c r="G58" s="255"/>
      <c r="BF58"/>
      <c r="BG58"/>
      <c r="BH58"/>
      <c r="BI58"/>
      <c r="BK58" s="234"/>
    </row>
    <row r="59" spans="1:72" x14ac:dyDescent="0.25">
      <c r="A59" s="236" t="s">
        <v>558</v>
      </c>
      <c r="B59" s="256">
        <f>SUM(D48:F48,J48:L48,N48:O48,B65)-B69</f>
        <v>4021857.26</v>
      </c>
      <c r="C59" s="382">
        <f>B59/$B$60</f>
        <v>0.21394919576148561</v>
      </c>
      <c r="D59" s="384"/>
      <c r="E59" s="383"/>
      <c r="F59" s="424"/>
      <c r="G59" s="255"/>
      <c r="BF59"/>
      <c r="BG59"/>
      <c r="BH59"/>
      <c r="BI59"/>
      <c r="BK59" s="234"/>
    </row>
    <row r="60" spans="1:72" x14ac:dyDescent="0.25">
      <c r="A60" s="236" t="s">
        <v>0</v>
      </c>
      <c r="B60" s="252">
        <f>SUM(B57:B59)</f>
        <v>18798188.259999998</v>
      </c>
      <c r="C60" s="257">
        <f>SUM(C57:C59)</f>
        <v>1.0000000000000002</v>
      </c>
      <c r="D60" s="384"/>
      <c r="E60" s="383"/>
      <c r="BF60"/>
      <c r="BG60"/>
      <c r="BH60"/>
      <c r="BI60"/>
      <c r="BK60" s="234"/>
    </row>
    <row r="61" spans="1:72" x14ac:dyDescent="0.25">
      <c r="A61" s="237"/>
      <c r="B61" s="202"/>
      <c r="C61" s="202"/>
      <c r="D61" s="202"/>
      <c r="E61" s="246"/>
      <c r="BF61"/>
      <c r="BG61"/>
      <c r="BH61"/>
      <c r="BI61"/>
    </row>
    <row r="62" spans="1:72" x14ac:dyDescent="0.25">
      <c r="A62" s="294" t="s">
        <v>6</v>
      </c>
      <c r="B62" s="258" t="s">
        <v>556</v>
      </c>
      <c r="E62" s="383"/>
      <c r="BF62"/>
      <c r="BG62"/>
      <c r="BH62"/>
      <c r="BI62"/>
    </row>
    <row r="63" spans="1:72" x14ac:dyDescent="0.25">
      <c r="A63" s="237" t="s">
        <v>0</v>
      </c>
      <c r="B63" s="297">
        <f>M48</f>
        <v>1193770</v>
      </c>
      <c r="E63" s="383"/>
      <c r="BF63"/>
      <c r="BG63"/>
      <c r="BH63"/>
      <c r="BI63"/>
    </row>
    <row r="64" spans="1:72" x14ac:dyDescent="0.25">
      <c r="A64" s="295" t="s">
        <v>5</v>
      </c>
      <c r="B64" s="296">
        <f>B63*0.9</f>
        <v>1074393</v>
      </c>
      <c r="BF64"/>
      <c r="BG64"/>
      <c r="BH64"/>
      <c r="BI64"/>
    </row>
    <row r="65" spans="1:61" x14ac:dyDescent="0.25">
      <c r="A65" s="295" t="s">
        <v>4</v>
      </c>
      <c r="B65" s="296">
        <f>B63*0.1</f>
        <v>119377</v>
      </c>
      <c r="D65" s="256"/>
      <c r="E65" s="246"/>
      <c r="BF65"/>
      <c r="BG65"/>
      <c r="BH65"/>
      <c r="BI65"/>
    </row>
    <row r="66" spans="1:61" x14ac:dyDescent="0.25">
      <c r="A66" s="298"/>
      <c r="B66" s="299"/>
      <c r="D66" s="256"/>
      <c r="E66" s="246"/>
      <c r="BF66"/>
      <c r="BG66"/>
      <c r="BH66"/>
      <c r="BI66"/>
    </row>
    <row r="67" spans="1:61" x14ac:dyDescent="0.25">
      <c r="A67" s="235" t="s">
        <v>577</v>
      </c>
      <c r="B67" s="235" t="s">
        <v>556</v>
      </c>
      <c r="C67" s="235" t="s">
        <v>578</v>
      </c>
      <c r="BF67"/>
      <c r="BG67"/>
      <c r="BH67"/>
      <c r="BI67"/>
    </row>
    <row r="68" spans="1:61" x14ac:dyDescent="0.25">
      <c r="A68" s="237" t="s">
        <v>3</v>
      </c>
      <c r="B68" s="207">
        <f>N48</f>
        <v>565339</v>
      </c>
      <c r="C68" s="246" t="s">
        <v>659</v>
      </c>
      <c r="BF68"/>
      <c r="BG68"/>
      <c r="BH68"/>
      <c r="BI68"/>
    </row>
    <row r="69" spans="1:61" x14ac:dyDescent="0.25">
      <c r="A69" s="237" t="s">
        <v>593</v>
      </c>
      <c r="B69" s="207">
        <v>457263.74</v>
      </c>
      <c r="C69" s="246" t="s">
        <v>660</v>
      </c>
      <c r="D69" s="237"/>
      <c r="E69" s="454"/>
      <c r="BF69"/>
      <c r="BG69"/>
      <c r="BH69"/>
      <c r="BI69"/>
    </row>
    <row r="70" spans="1:61" x14ac:dyDescent="0.25">
      <c r="A70" s="202" t="s">
        <v>2</v>
      </c>
      <c r="B70" s="256">
        <f>T48</f>
        <v>78780</v>
      </c>
      <c r="C70" s="246" t="s">
        <v>659</v>
      </c>
      <c r="D70" s="237"/>
      <c r="E70" s="455"/>
      <c r="BF70"/>
      <c r="BG70"/>
      <c r="BH70"/>
      <c r="BI70"/>
    </row>
    <row r="71" spans="1:61" x14ac:dyDescent="0.25">
      <c r="A71" s="202" t="s">
        <v>1</v>
      </c>
      <c r="B71" s="256">
        <f>U48</f>
        <v>660775</v>
      </c>
      <c r="C71" s="246" t="s">
        <v>659</v>
      </c>
      <c r="D71" s="237"/>
      <c r="BF71"/>
      <c r="BG71"/>
      <c r="BH71"/>
      <c r="BI71"/>
    </row>
    <row r="72" spans="1:61" x14ac:dyDescent="0.25">
      <c r="A72" s="237"/>
      <c r="B72" s="237"/>
      <c r="C72" s="456"/>
      <c r="D72" s="237"/>
      <c r="BF72"/>
      <c r="BG72"/>
      <c r="BH72"/>
      <c r="BI72"/>
    </row>
    <row r="73" spans="1:61" x14ac:dyDescent="0.25">
      <c r="A73" s="196"/>
      <c r="B73" s="234"/>
      <c r="C73" s="207"/>
      <c r="D73" s="237"/>
    </row>
    <row r="74" spans="1:61" x14ac:dyDescent="0.25">
      <c r="B74" s="234"/>
      <c r="C74" s="234"/>
    </row>
    <row r="75" spans="1:61" x14ac:dyDescent="0.25">
      <c r="B75" s="425"/>
    </row>
    <row r="76" spans="1:61" x14ac:dyDescent="0.25">
      <c r="B76" s="234"/>
    </row>
    <row r="77" spans="1:61" x14ac:dyDescent="0.25">
      <c r="B77" s="234"/>
      <c r="D77" s="234"/>
    </row>
    <row r="78" spans="1:61" x14ac:dyDescent="0.25">
      <c r="B78" s="234"/>
    </row>
    <row r="79" spans="1:61" x14ac:dyDescent="0.25">
      <c r="B79" s="234"/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N168"/>
  <sheetViews>
    <sheetView zoomScale="90" zoomScaleNormal="90" workbookViewId="0">
      <selection activeCell="B14" sqref="B14"/>
    </sheetView>
  </sheetViews>
  <sheetFormatPr defaultColWidth="8.375" defaultRowHeight="15.75" x14ac:dyDescent="0.25"/>
  <cols>
    <col min="1" max="1" width="18.125" style="7" customWidth="1"/>
    <col min="2" max="2" width="20.625" style="7" customWidth="1"/>
    <col min="3" max="3" width="18.875" style="7" customWidth="1"/>
    <col min="4" max="4" width="32.5" style="7" customWidth="1"/>
    <col min="5" max="5" width="25.75" style="7" customWidth="1"/>
    <col min="6" max="6" width="30.875" style="7" customWidth="1"/>
    <col min="7" max="7" width="36.125" style="7" customWidth="1"/>
    <col min="8" max="8" width="30" style="7" customWidth="1"/>
    <col min="9" max="9" width="38.875" style="7" customWidth="1"/>
    <col min="10" max="10" width="32.125" style="7" customWidth="1"/>
    <col min="11" max="11" width="36.875" style="7" customWidth="1"/>
    <col min="12" max="12" width="30" style="7" customWidth="1"/>
    <col min="13" max="13" width="35.375" style="7" customWidth="1"/>
    <col min="14" max="14" width="31.5" style="7" customWidth="1"/>
    <col min="15" max="15" width="32.375" style="7" customWidth="1"/>
    <col min="16" max="16" width="18.625" style="7" customWidth="1"/>
    <col min="17" max="17" width="17.375" style="7" customWidth="1"/>
    <col min="18" max="18" width="16.5" style="7" bestFit="1" customWidth="1"/>
    <col min="19" max="19" width="17.375" style="7" customWidth="1"/>
    <col min="20" max="20" width="18.875" style="7" bestFit="1" customWidth="1"/>
    <col min="21" max="21" width="14.625" style="7" customWidth="1"/>
    <col min="22" max="22" width="16.125" style="13" customWidth="1"/>
    <col min="23" max="23" width="10.375" style="13" customWidth="1"/>
    <col min="24" max="24" width="13.125" style="13" customWidth="1"/>
    <col min="25" max="25" width="13.875" style="13" customWidth="1"/>
    <col min="26" max="27" width="11.875" style="13" customWidth="1"/>
    <col min="28" max="28" width="11.125" style="13" customWidth="1"/>
    <col min="29" max="29" width="10.625" style="13" customWidth="1"/>
    <col min="30" max="30" width="11" style="13" customWidth="1"/>
    <col min="31" max="31" width="6.125" style="13" customWidth="1"/>
    <col min="32" max="32" width="10.5" style="13" customWidth="1"/>
    <col min="33" max="33" width="12.375" style="13" bestFit="1" customWidth="1"/>
    <col min="34" max="34" width="11.625" style="13" customWidth="1"/>
    <col min="35" max="35" width="9.625" style="13" customWidth="1"/>
    <col min="36" max="36" width="6.375" style="13" bestFit="1" customWidth="1"/>
    <col min="37" max="37" width="8.375" style="13"/>
    <col min="38" max="38" width="14.875" style="13" bestFit="1" customWidth="1"/>
    <col min="39" max="39" width="9.875" style="13" bestFit="1" customWidth="1"/>
    <col min="40" max="40" width="10.625" style="13" bestFit="1" customWidth="1"/>
    <col min="41" max="41" width="12.875" style="13" bestFit="1" customWidth="1"/>
    <col min="42" max="42" width="11.875" style="13" bestFit="1" customWidth="1"/>
    <col min="43" max="43" width="11.5" style="13" bestFit="1" customWidth="1"/>
    <col min="44" max="44" width="11.375" style="13" bestFit="1" customWidth="1"/>
    <col min="45" max="45" width="8.625" style="13" bestFit="1" customWidth="1"/>
    <col min="46" max="46" width="11.625" style="13" bestFit="1" customWidth="1"/>
    <col min="47" max="47" width="12.625" style="13" bestFit="1" customWidth="1"/>
    <col min="48" max="48" width="10.625" style="13" bestFit="1" customWidth="1"/>
    <col min="49" max="16384" width="8.375" style="13"/>
  </cols>
  <sheetData>
    <row r="1" spans="1:39" s="7" customFormat="1" ht="23.25" x14ac:dyDescent="0.35">
      <c r="A1" s="440" t="s">
        <v>500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7" customFormat="1" x14ac:dyDescent="0.25">
      <c r="A2" s="7" t="str">
        <f>INFO!A2</f>
        <v>VM/KAO 13.4.2021</v>
      </c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39" s="7" customFormat="1" x14ac:dyDescent="0.25">
      <c r="A3" s="7" t="s">
        <v>501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39" s="7" customFormat="1" x14ac:dyDescent="0.25">
      <c r="A4" s="324" t="s">
        <v>572</v>
      </c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39" s="7" customFormat="1" x14ac:dyDescent="0.25">
      <c r="A5" s="324" t="s">
        <v>573</v>
      </c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39" s="7" customFormat="1" x14ac:dyDescent="0.25">
      <c r="A6" s="324" t="s">
        <v>574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</row>
    <row r="7" spans="1:39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27"/>
      <c r="L7" s="13"/>
      <c r="M7" s="13"/>
      <c r="N7" s="13"/>
      <c r="O7" s="13"/>
      <c r="P7" s="341"/>
      <c r="Q7" s="342"/>
      <c r="R7" s="342"/>
      <c r="S7" s="342"/>
      <c r="T7" s="342"/>
      <c r="U7" s="12"/>
    </row>
    <row r="8" spans="1:39" s="7" customFormat="1" x14ac:dyDescent="0.25">
      <c r="A8" s="20" t="s">
        <v>550</v>
      </c>
      <c r="B8" s="24"/>
      <c r="C8" s="24"/>
      <c r="D8" s="128"/>
      <c r="E8" s="129"/>
      <c r="F8" s="128"/>
      <c r="G8" s="128"/>
      <c r="H8" s="24"/>
      <c r="I8" s="24"/>
      <c r="J8" s="24"/>
      <c r="K8" s="24"/>
      <c r="L8" s="24"/>
      <c r="M8" s="24"/>
      <c r="N8" s="13"/>
      <c r="O8" s="13"/>
      <c r="P8" s="341"/>
      <c r="Q8" s="342"/>
      <c r="R8" s="342"/>
      <c r="S8" s="342"/>
      <c r="T8" s="342"/>
      <c r="U8" s="26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pans="1:39" s="7" customFormat="1" ht="31.5" x14ac:dyDescent="0.25">
      <c r="A9" s="325" t="s">
        <v>469</v>
      </c>
      <c r="B9" s="325" t="s">
        <v>134</v>
      </c>
      <c r="C9" s="325" t="s">
        <v>643</v>
      </c>
      <c r="D9" s="326" t="s">
        <v>488</v>
      </c>
      <c r="E9" s="327" t="s">
        <v>511</v>
      </c>
      <c r="F9" s="326" t="s">
        <v>692</v>
      </c>
      <c r="G9" s="328" t="s">
        <v>691</v>
      </c>
      <c r="H9" s="327" t="s">
        <v>693</v>
      </c>
      <c r="I9" s="328" t="s">
        <v>694</v>
      </c>
      <c r="L9" s="346"/>
      <c r="M9" s="347"/>
      <c r="N9" s="348"/>
      <c r="O9" s="348"/>
      <c r="P9" s="348"/>
      <c r="Q9" s="26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9" s="7" customFormat="1" x14ac:dyDescent="0.25">
      <c r="A10" s="79">
        <v>31</v>
      </c>
      <c r="B10" s="80" t="s">
        <v>131</v>
      </c>
      <c r="C10" s="130">
        <f>Määräytymistekijät!C4</f>
        <v>656920</v>
      </c>
      <c r="D10" s="36">
        <f t="shared" ref="D10:D31" si="0">D63+D37</f>
        <v>2473030439.3196907</v>
      </c>
      <c r="E10" s="36">
        <f t="shared" ref="E10:E32" si="1">D10/C10</f>
        <v>3764.5838752354789</v>
      </c>
      <c r="F10" s="36">
        <f t="shared" ref="F10:F31" si="2">O89</f>
        <v>2250652500.4114995</v>
      </c>
      <c r="G10" s="43">
        <f t="shared" ref="G10:G32" si="3">F10-D10</f>
        <v>-222377938.9081912</v>
      </c>
      <c r="H10" s="43">
        <f t="shared" ref="H10:H32" si="4">F10/C10</f>
        <v>3426.0678627709608</v>
      </c>
      <c r="I10" s="131">
        <f t="shared" ref="I10:I31" si="5">H10-E10</f>
        <v>-338.5160124645181</v>
      </c>
      <c r="M10" s="351"/>
      <c r="N10" s="351"/>
      <c r="O10" s="351"/>
      <c r="P10" s="351"/>
      <c r="Q10" s="354"/>
      <c r="R10" s="42"/>
      <c r="S10" s="42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9" s="7" customFormat="1" x14ac:dyDescent="0.25">
      <c r="A11" s="79">
        <v>32</v>
      </c>
      <c r="B11" s="80" t="s">
        <v>130</v>
      </c>
      <c r="C11" s="130">
        <f>Määräytymistekijät!C5</f>
        <v>274336</v>
      </c>
      <c r="D11" s="36">
        <f t="shared" si="0"/>
        <v>893262634.76570797</v>
      </c>
      <c r="E11" s="36">
        <f t="shared" si="1"/>
        <v>3256.0897394644085</v>
      </c>
      <c r="F11" s="36">
        <f t="shared" si="2"/>
        <v>905264026.43820333</v>
      </c>
      <c r="G11" s="43">
        <f t="shared" si="3"/>
        <v>12001391.672495365</v>
      </c>
      <c r="H11" s="43">
        <f t="shared" si="4"/>
        <v>3299.8367929772371</v>
      </c>
      <c r="I11" s="131">
        <f t="shared" si="5"/>
        <v>43.747053512828643</v>
      </c>
      <c r="M11" s="351"/>
      <c r="N11" s="351"/>
      <c r="O11" s="351"/>
      <c r="P11" s="351"/>
      <c r="Q11" s="354"/>
      <c r="R11" s="42"/>
      <c r="S11" s="42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9" s="7" customFormat="1" x14ac:dyDescent="0.25">
      <c r="A12" s="79">
        <v>33</v>
      </c>
      <c r="B12" s="80" t="s">
        <v>129</v>
      </c>
      <c r="C12" s="130">
        <f>Määräytymistekijät!C6</f>
        <v>473838</v>
      </c>
      <c r="D12" s="36">
        <f t="shared" si="0"/>
        <v>1539663070.3413417</v>
      </c>
      <c r="E12" s="36">
        <f t="shared" si="1"/>
        <v>3249.3448612001184</v>
      </c>
      <c r="F12" s="36">
        <f t="shared" si="2"/>
        <v>1545085271.9934509</v>
      </c>
      <c r="G12" s="43">
        <f t="shared" si="3"/>
        <v>5422201.6521091461</v>
      </c>
      <c r="H12" s="43">
        <f t="shared" si="4"/>
        <v>3260.7880161435996</v>
      </c>
      <c r="I12" s="131">
        <f t="shared" si="5"/>
        <v>11.443154943481204</v>
      </c>
      <c r="M12" s="351"/>
      <c r="N12" s="351"/>
      <c r="O12" s="351"/>
      <c r="P12" s="351"/>
      <c r="Q12" s="354"/>
      <c r="R12" s="42"/>
      <c r="S12" s="42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9" s="7" customFormat="1" x14ac:dyDescent="0.25">
      <c r="A13" s="79">
        <v>34</v>
      </c>
      <c r="B13" s="80" t="s">
        <v>128</v>
      </c>
      <c r="C13" s="130">
        <f>Määräytymistekijät!C7</f>
        <v>98254</v>
      </c>
      <c r="D13" s="36">
        <f t="shared" si="0"/>
        <v>338187708.36668003</v>
      </c>
      <c r="E13" s="36">
        <f t="shared" si="1"/>
        <v>3441.9739488130767</v>
      </c>
      <c r="F13" s="36">
        <f t="shared" si="2"/>
        <v>363895531.43173397</v>
      </c>
      <c r="G13" s="43">
        <f t="shared" si="3"/>
        <v>25707823.06505394</v>
      </c>
      <c r="H13" s="43">
        <f t="shared" si="4"/>
        <v>3703.6205287493026</v>
      </c>
      <c r="I13" s="131">
        <f t="shared" si="5"/>
        <v>261.64657993622586</v>
      </c>
      <c r="M13" s="351"/>
      <c r="N13" s="351"/>
      <c r="O13" s="351"/>
      <c r="P13" s="351"/>
      <c r="Q13" s="354"/>
      <c r="R13" s="42"/>
      <c r="S13" s="42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9" s="12" customFormat="1" x14ac:dyDescent="0.25">
      <c r="A14" s="132">
        <v>35</v>
      </c>
      <c r="B14" s="82" t="s">
        <v>127</v>
      </c>
      <c r="C14" s="133">
        <f>Määräytymistekijät!C8</f>
        <v>199330</v>
      </c>
      <c r="D14" s="39">
        <f t="shared" si="0"/>
        <v>698908432.4880197</v>
      </c>
      <c r="E14" s="39">
        <f t="shared" si="1"/>
        <v>3506.2882280039116</v>
      </c>
      <c r="F14" s="39">
        <f t="shared" si="2"/>
        <v>665094303.93233156</v>
      </c>
      <c r="G14" s="134">
        <f t="shared" si="3"/>
        <v>-33814128.555688143</v>
      </c>
      <c r="H14" s="134">
        <f t="shared" si="4"/>
        <v>3336.6492947992351</v>
      </c>
      <c r="I14" s="135">
        <f t="shared" si="5"/>
        <v>-169.6389332046765</v>
      </c>
      <c r="L14" s="7"/>
      <c r="M14" s="351"/>
      <c r="N14" s="351"/>
      <c r="O14" s="351"/>
      <c r="P14" s="351"/>
      <c r="Q14" s="137"/>
      <c r="R14" s="42"/>
      <c r="S14" s="42"/>
    </row>
    <row r="15" spans="1:39" s="7" customFormat="1" x14ac:dyDescent="0.25">
      <c r="A15" s="7">
        <v>2</v>
      </c>
      <c r="B15" s="19" t="s">
        <v>126</v>
      </c>
      <c r="C15" s="130">
        <f>Määräytymistekijät!C9</f>
        <v>481403</v>
      </c>
      <c r="D15" s="36">
        <f t="shared" si="0"/>
        <v>1807839324.8244114</v>
      </c>
      <c r="E15" s="36">
        <f t="shared" si="1"/>
        <v>3755.3553360166252</v>
      </c>
      <c r="F15" s="36">
        <f t="shared" si="2"/>
        <v>1910706960.6109033</v>
      </c>
      <c r="G15" s="43">
        <f t="shared" si="3"/>
        <v>102867635.78649187</v>
      </c>
      <c r="H15" s="43">
        <f t="shared" si="4"/>
        <v>3969.0383329786132</v>
      </c>
      <c r="I15" s="131">
        <f t="shared" si="5"/>
        <v>213.68299696198801</v>
      </c>
      <c r="M15" s="351"/>
      <c r="N15" s="351"/>
      <c r="O15" s="351"/>
      <c r="P15" s="351"/>
      <c r="Q15" s="354"/>
      <c r="R15" s="42"/>
      <c r="S15" s="42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9" s="7" customFormat="1" x14ac:dyDescent="0.25">
      <c r="A16" s="7">
        <v>4</v>
      </c>
      <c r="B16" s="19" t="s">
        <v>125</v>
      </c>
      <c r="C16" s="130">
        <f>Määräytymistekijät!C10</f>
        <v>215416</v>
      </c>
      <c r="D16" s="36">
        <f t="shared" si="0"/>
        <v>887901055.93950152</v>
      </c>
      <c r="E16" s="36">
        <f t="shared" si="1"/>
        <v>4121.7971549908152</v>
      </c>
      <c r="F16" s="36">
        <f t="shared" si="2"/>
        <v>862724599.66629839</v>
      </c>
      <c r="G16" s="43">
        <f t="shared" si="3"/>
        <v>-25176456.273203135</v>
      </c>
      <c r="H16" s="43">
        <f t="shared" si="4"/>
        <v>4004.9234953127825</v>
      </c>
      <c r="I16" s="131">
        <f t="shared" si="5"/>
        <v>-116.87365967803271</v>
      </c>
      <c r="M16" s="351"/>
      <c r="N16" s="351"/>
      <c r="O16" s="351"/>
      <c r="P16" s="351"/>
      <c r="Q16" s="354"/>
      <c r="R16" s="42"/>
      <c r="S16" s="42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1:61" s="7" customFormat="1" x14ac:dyDescent="0.25">
      <c r="A17" s="7">
        <v>5</v>
      </c>
      <c r="B17" s="19" t="s">
        <v>124</v>
      </c>
      <c r="C17" s="130">
        <f>Määräytymistekijät!C11</f>
        <v>170577</v>
      </c>
      <c r="D17" s="36">
        <f t="shared" si="0"/>
        <v>658599173.76827157</v>
      </c>
      <c r="E17" s="36">
        <f t="shared" si="1"/>
        <v>3861.0080712421463</v>
      </c>
      <c r="F17" s="36">
        <f t="shared" si="2"/>
        <v>662914815.53715837</v>
      </c>
      <c r="G17" s="43">
        <f t="shared" si="3"/>
        <v>4315641.7688868046</v>
      </c>
      <c r="H17" s="43">
        <f t="shared" si="4"/>
        <v>3886.3083272490335</v>
      </c>
      <c r="I17" s="131">
        <f t="shared" si="5"/>
        <v>25.300256006887139</v>
      </c>
      <c r="M17" s="351"/>
      <c r="N17" s="351"/>
      <c r="O17" s="351"/>
      <c r="P17" s="351"/>
      <c r="Q17" s="354"/>
      <c r="R17" s="42"/>
      <c r="S17" s="42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61" s="7" customFormat="1" x14ac:dyDescent="0.25">
      <c r="A18" s="7">
        <v>6</v>
      </c>
      <c r="B18" s="19" t="s">
        <v>123</v>
      </c>
      <c r="C18" s="130">
        <f>Määräytymistekijät!C12</f>
        <v>522852</v>
      </c>
      <c r="D18" s="36">
        <f t="shared" si="0"/>
        <v>1958095489.9405127</v>
      </c>
      <c r="E18" s="36">
        <f t="shared" si="1"/>
        <v>3745.0282105462206</v>
      </c>
      <c r="F18" s="36">
        <f t="shared" si="2"/>
        <v>1993050062.5025449</v>
      </c>
      <c r="G18" s="43">
        <f t="shared" si="3"/>
        <v>34954572.562032223</v>
      </c>
      <c r="H18" s="43">
        <f t="shared" si="4"/>
        <v>3811.8818757555578</v>
      </c>
      <c r="I18" s="131">
        <f t="shared" si="5"/>
        <v>66.853665209337123</v>
      </c>
      <c r="M18" s="351"/>
      <c r="N18" s="351"/>
      <c r="O18" s="351"/>
      <c r="P18" s="351"/>
      <c r="Q18" s="354"/>
      <c r="R18" s="42"/>
      <c r="S18" s="42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1:61" s="7" customFormat="1" x14ac:dyDescent="0.25">
      <c r="A19" s="7">
        <v>7</v>
      </c>
      <c r="B19" s="19" t="s">
        <v>122</v>
      </c>
      <c r="C19" s="130">
        <f>Määräytymistekijät!C13</f>
        <v>205771</v>
      </c>
      <c r="D19" s="36">
        <f t="shared" si="0"/>
        <v>788130832.77518666</v>
      </c>
      <c r="E19" s="36">
        <f t="shared" si="1"/>
        <v>3830.1356011060193</v>
      </c>
      <c r="F19" s="36">
        <f t="shared" si="2"/>
        <v>828605862.23356688</v>
      </c>
      <c r="G19" s="43">
        <f t="shared" si="3"/>
        <v>40475029.458380222</v>
      </c>
      <c r="H19" s="43">
        <f t="shared" si="4"/>
        <v>4026.8349876006187</v>
      </c>
      <c r="I19" s="131">
        <f t="shared" si="5"/>
        <v>196.69938649459937</v>
      </c>
      <c r="M19" s="351"/>
      <c r="N19" s="351"/>
      <c r="O19" s="351"/>
      <c r="P19" s="351"/>
      <c r="Q19" s="354"/>
      <c r="R19" s="42"/>
      <c r="S19" s="42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61" s="7" customFormat="1" x14ac:dyDescent="0.25">
      <c r="A20" s="7">
        <v>8</v>
      </c>
      <c r="B20" s="19" t="s">
        <v>121</v>
      </c>
      <c r="C20" s="130">
        <f>Määräytymistekijät!C14</f>
        <v>162812</v>
      </c>
      <c r="D20" s="36">
        <f t="shared" si="0"/>
        <v>721294425.09414613</v>
      </c>
      <c r="E20" s="36">
        <f t="shared" si="1"/>
        <v>4430.2288841986228</v>
      </c>
      <c r="F20" s="36">
        <f t="shared" si="2"/>
        <v>701938166.90588355</v>
      </c>
      <c r="G20" s="43">
        <f t="shared" si="3"/>
        <v>-19356258.188262582</v>
      </c>
      <c r="H20" s="43">
        <f t="shared" si="4"/>
        <v>4311.3417125634696</v>
      </c>
      <c r="I20" s="131">
        <f t="shared" si="5"/>
        <v>-118.88717163515321</v>
      </c>
      <c r="M20" s="351"/>
      <c r="N20" s="351"/>
      <c r="O20" s="351"/>
      <c r="P20" s="351"/>
      <c r="Q20" s="354"/>
      <c r="R20" s="42"/>
      <c r="S20" s="42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1:61" s="7" customFormat="1" x14ac:dyDescent="0.25">
      <c r="A21" s="7">
        <v>9</v>
      </c>
      <c r="B21" s="19" t="s">
        <v>120</v>
      </c>
      <c r="C21" s="130">
        <f>Määräytymistekijät!C15</f>
        <v>126921</v>
      </c>
      <c r="D21" s="36">
        <f t="shared" si="0"/>
        <v>518991905.9231379</v>
      </c>
      <c r="E21" s="36">
        <f t="shared" si="1"/>
        <v>4089.0940500243291</v>
      </c>
      <c r="F21" s="36">
        <f t="shared" si="2"/>
        <v>500526783.1221751</v>
      </c>
      <c r="G21" s="43">
        <f t="shared" si="3"/>
        <v>-18465122.800962806</v>
      </c>
      <c r="H21" s="43">
        <f t="shared" si="4"/>
        <v>3943.608883653415</v>
      </c>
      <c r="I21" s="131">
        <f t="shared" si="5"/>
        <v>-145.48516637091416</v>
      </c>
      <c r="M21" s="351"/>
      <c r="N21" s="351"/>
      <c r="O21" s="351"/>
      <c r="P21" s="351"/>
      <c r="Q21" s="354"/>
      <c r="R21" s="42"/>
      <c r="S21" s="42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61" x14ac:dyDescent="0.25">
      <c r="A22" s="13">
        <v>10</v>
      </c>
      <c r="B22" s="127" t="s">
        <v>119</v>
      </c>
      <c r="C22" s="130">
        <f>Määräytymistekijät!C16</f>
        <v>132702</v>
      </c>
      <c r="D22" s="42">
        <f t="shared" si="0"/>
        <v>637437808.62566769</v>
      </c>
      <c r="E22" s="36">
        <f t="shared" si="1"/>
        <v>4803.5282710559577</v>
      </c>
      <c r="F22" s="42">
        <f t="shared" si="2"/>
        <v>595374373.42597067</v>
      </c>
      <c r="G22" s="138">
        <f t="shared" si="3"/>
        <v>-42063435.199697018</v>
      </c>
      <c r="H22" s="138">
        <f t="shared" si="4"/>
        <v>4486.5516226279233</v>
      </c>
      <c r="I22" s="131">
        <f t="shared" si="5"/>
        <v>-316.97664842803442</v>
      </c>
      <c r="J22" s="13"/>
      <c r="M22" s="351"/>
      <c r="N22" s="351"/>
      <c r="O22" s="351"/>
      <c r="P22" s="351"/>
      <c r="Q22" s="354"/>
      <c r="R22" s="42"/>
      <c r="S22" s="42"/>
      <c r="T22" s="13"/>
      <c r="U22" s="13"/>
    </row>
    <row r="23" spans="1:61" x14ac:dyDescent="0.25">
      <c r="A23" s="13">
        <v>11</v>
      </c>
      <c r="B23" s="127" t="s">
        <v>118</v>
      </c>
      <c r="C23" s="130">
        <f>Määräytymistekijät!C17</f>
        <v>248265</v>
      </c>
      <c r="D23" s="42">
        <f t="shared" si="0"/>
        <v>1093652848.1958928</v>
      </c>
      <c r="E23" s="36">
        <f t="shared" si="1"/>
        <v>4405.183365339024</v>
      </c>
      <c r="F23" s="42">
        <f t="shared" si="2"/>
        <v>1092001400.08429</v>
      </c>
      <c r="G23" s="138">
        <f t="shared" si="3"/>
        <v>-1651448.1116027832</v>
      </c>
      <c r="H23" s="138">
        <f t="shared" si="4"/>
        <v>4398.5314083108369</v>
      </c>
      <c r="I23" s="131">
        <f t="shared" si="5"/>
        <v>-6.6519570281870983</v>
      </c>
      <c r="J23" s="13"/>
      <c r="M23" s="351"/>
      <c r="N23" s="351"/>
      <c r="O23" s="351"/>
      <c r="P23" s="351"/>
      <c r="Q23" s="354"/>
      <c r="R23" s="42"/>
      <c r="S23" s="42"/>
      <c r="T23" s="13"/>
      <c r="U23" s="13"/>
    </row>
    <row r="24" spans="1:61" s="7" customFormat="1" x14ac:dyDescent="0.25">
      <c r="A24" s="7">
        <v>12</v>
      </c>
      <c r="B24" s="19" t="s">
        <v>117</v>
      </c>
      <c r="C24" s="130">
        <f>Määräytymistekijät!C18</f>
        <v>163537</v>
      </c>
      <c r="D24" s="36">
        <f t="shared" si="0"/>
        <v>664493584.92984021</v>
      </c>
      <c r="E24" s="36">
        <f t="shared" si="1"/>
        <v>4063.2614327634737</v>
      </c>
      <c r="F24" s="36">
        <f t="shared" si="2"/>
        <v>739854434.69233787</v>
      </c>
      <c r="G24" s="43">
        <f t="shared" si="3"/>
        <v>75360849.762497663</v>
      </c>
      <c r="H24" s="43">
        <f t="shared" si="4"/>
        <v>4524.0797782296231</v>
      </c>
      <c r="I24" s="131">
        <f t="shared" si="5"/>
        <v>460.81834546614937</v>
      </c>
      <c r="M24" s="351"/>
      <c r="N24" s="351"/>
      <c r="O24" s="351"/>
      <c r="P24" s="351"/>
      <c r="Q24" s="354"/>
      <c r="R24" s="42"/>
      <c r="S24" s="42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61" s="7" customFormat="1" x14ac:dyDescent="0.25">
      <c r="A25" s="7">
        <v>13</v>
      </c>
      <c r="B25" s="19" t="s">
        <v>116</v>
      </c>
      <c r="C25" s="130">
        <f>Määräytymistekijät!C19</f>
        <v>272617</v>
      </c>
      <c r="D25" s="36">
        <f t="shared" si="0"/>
        <v>1026659925.9289411</v>
      </c>
      <c r="E25" s="36">
        <f t="shared" si="1"/>
        <v>3765.9424244597408</v>
      </c>
      <c r="F25" s="36">
        <f t="shared" si="2"/>
        <v>1029547081.9705423</v>
      </c>
      <c r="G25" s="43">
        <f t="shared" si="3"/>
        <v>2887156.041601181</v>
      </c>
      <c r="H25" s="43">
        <f t="shared" si="4"/>
        <v>3776.5329453795703</v>
      </c>
      <c r="I25" s="131">
        <f t="shared" si="5"/>
        <v>10.590520919829487</v>
      </c>
      <c r="M25" s="351"/>
      <c r="N25" s="351"/>
      <c r="O25" s="351"/>
      <c r="P25" s="351"/>
      <c r="Q25" s="354"/>
      <c r="R25" s="42"/>
      <c r="S25" s="42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61" s="7" customFormat="1" x14ac:dyDescent="0.25">
      <c r="A26" s="7">
        <v>14</v>
      </c>
      <c r="B26" s="19" t="s">
        <v>132</v>
      </c>
      <c r="C26" s="130">
        <f>Määräytymistekijät!C20</f>
        <v>192150</v>
      </c>
      <c r="D26" s="36">
        <f t="shared" si="0"/>
        <v>804446625.16234541</v>
      </c>
      <c r="E26" s="36">
        <f t="shared" si="1"/>
        <v>4186.5554262937567</v>
      </c>
      <c r="F26" s="36">
        <f t="shared" si="2"/>
        <v>802382413.17125809</v>
      </c>
      <c r="G26" s="43">
        <f t="shared" si="3"/>
        <v>-2064211.9910873175</v>
      </c>
      <c r="H26" s="43">
        <f t="shared" si="4"/>
        <v>4175.812714916774</v>
      </c>
      <c r="I26" s="131">
        <f t="shared" si="5"/>
        <v>-10.742711376982697</v>
      </c>
      <c r="M26" s="351"/>
      <c r="N26" s="351"/>
      <c r="O26" s="351"/>
      <c r="P26" s="351"/>
      <c r="Q26" s="354"/>
      <c r="R26" s="42"/>
      <c r="S26" s="42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61" s="7" customFormat="1" x14ac:dyDescent="0.25">
      <c r="A27" s="7">
        <v>15</v>
      </c>
      <c r="B27" s="19" t="s">
        <v>114</v>
      </c>
      <c r="C27" s="130">
        <f>Määräytymistekijät!C21</f>
        <v>175816</v>
      </c>
      <c r="D27" s="36">
        <f t="shared" si="0"/>
        <v>690443212.31428003</v>
      </c>
      <c r="E27" s="36">
        <f t="shared" si="1"/>
        <v>3927.0783791820995</v>
      </c>
      <c r="F27" s="36">
        <f t="shared" si="2"/>
        <v>678431607.52684116</v>
      </c>
      <c r="G27" s="43">
        <f t="shared" si="3"/>
        <v>-12011604.787438869</v>
      </c>
      <c r="H27" s="43">
        <f t="shared" si="4"/>
        <v>3858.7592001117141</v>
      </c>
      <c r="I27" s="131">
        <f t="shared" si="5"/>
        <v>-68.319179070385417</v>
      </c>
      <c r="M27" s="351"/>
      <c r="N27" s="351"/>
      <c r="O27" s="351"/>
      <c r="P27" s="351"/>
      <c r="Q27" s="354"/>
      <c r="R27" s="42"/>
      <c r="S27" s="42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61" s="7" customFormat="1" x14ac:dyDescent="0.25">
      <c r="A28" s="7">
        <v>16</v>
      </c>
      <c r="B28" s="19" t="s">
        <v>113</v>
      </c>
      <c r="C28" s="130">
        <f>Määräytymistekijät!C22</f>
        <v>67988</v>
      </c>
      <c r="D28" s="36">
        <f t="shared" si="0"/>
        <v>273492365.43318635</v>
      </c>
      <c r="E28" s="36">
        <f t="shared" si="1"/>
        <v>4022.6564310346876</v>
      </c>
      <c r="F28" s="36">
        <f t="shared" si="2"/>
        <v>290679435.92560589</v>
      </c>
      <c r="G28" s="43">
        <f t="shared" si="3"/>
        <v>17187070.492419541</v>
      </c>
      <c r="H28" s="43">
        <f t="shared" si="4"/>
        <v>4275.4520786845605</v>
      </c>
      <c r="I28" s="131">
        <f t="shared" si="5"/>
        <v>252.79564764987299</v>
      </c>
      <c r="M28" s="351"/>
      <c r="N28" s="351"/>
      <c r="O28" s="351"/>
      <c r="P28" s="351"/>
      <c r="Q28" s="354"/>
      <c r="R28" s="42"/>
      <c r="S28" s="42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61" s="7" customFormat="1" x14ac:dyDescent="0.25">
      <c r="A29" s="7">
        <v>17</v>
      </c>
      <c r="B29" s="19" t="s">
        <v>112</v>
      </c>
      <c r="C29" s="130">
        <f>Määräytymistekijät!C23</f>
        <v>413830</v>
      </c>
      <c r="D29" s="36">
        <f t="shared" si="0"/>
        <v>1582431993.9958119</v>
      </c>
      <c r="E29" s="36">
        <f t="shared" si="1"/>
        <v>3823.869690442481</v>
      </c>
      <c r="F29" s="36">
        <f t="shared" si="2"/>
        <v>1638839196.4871399</v>
      </c>
      <c r="G29" s="43">
        <f t="shared" si="3"/>
        <v>56407202.491328001</v>
      </c>
      <c r="H29" s="43">
        <f t="shared" si="4"/>
        <v>3960.1749425782082</v>
      </c>
      <c r="I29" s="131">
        <f t="shared" si="5"/>
        <v>136.30525213572719</v>
      </c>
      <c r="M29" s="351"/>
      <c r="N29" s="351"/>
      <c r="O29" s="351"/>
      <c r="P29" s="351"/>
      <c r="Q29" s="354"/>
      <c r="R29" s="42"/>
      <c r="S29" s="42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61" s="7" customFormat="1" x14ac:dyDescent="0.25">
      <c r="A30" s="7">
        <v>18</v>
      </c>
      <c r="B30" s="19" t="s">
        <v>111</v>
      </c>
      <c r="C30" s="130">
        <f>Määräytymistekijät!C24</f>
        <v>71664</v>
      </c>
      <c r="D30" s="36">
        <f t="shared" si="0"/>
        <v>354183816.26198155</v>
      </c>
      <c r="E30" s="36">
        <f t="shared" si="1"/>
        <v>4942.2836607220015</v>
      </c>
      <c r="F30" s="36">
        <f t="shared" si="2"/>
        <v>334977753.3726722</v>
      </c>
      <c r="G30" s="43">
        <f t="shared" si="3"/>
        <v>-19206062.889309347</v>
      </c>
      <c r="H30" s="43">
        <f t="shared" si="4"/>
        <v>4674.282113371738</v>
      </c>
      <c r="I30" s="131">
        <f t="shared" si="5"/>
        <v>-268.00154735026354</v>
      </c>
      <c r="M30" s="351"/>
      <c r="N30" s="351"/>
      <c r="O30" s="351"/>
      <c r="P30" s="351"/>
      <c r="Q30" s="354"/>
      <c r="R30" s="42"/>
      <c r="S30" s="42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61" s="7" customFormat="1" x14ac:dyDescent="0.25">
      <c r="A31" s="7">
        <v>19</v>
      </c>
      <c r="B31" s="19" t="s">
        <v>110</v>
      </c>
      <c r="C31" s="130">
        <f>Määräytymistekijät!C25</f>
        <v>176665</v>
      </c>
      <c r="D31" s="36">
        <f t="shared" si="0"/>
        <v>822434325.60544407</v>
      </c>
      <c r="E31" s="36">
        <f t="shared" si="1"/>
        <v>4655.3325537341525</v>
      </c>
      <c r="F31" s="36">
        <f t="shared" si="2"/>
        <v>841034418.55759263</v>
      </c>
      <c r="G31" s="43">
        <f t="shared" si="3"/>
        <v>18600092.952148557</v>
      </c>
      <c r="H31" s="43">
        <f t="shared" si="4"/>
        <v>4760.6170919966753</v>
      </c>
      <c r="I31" s="131">
        <f t="shared" si="5"/>
        <v>105.2845382625228</v>
      </c>
      <c r="M31" s="351"/>
      <c r="N31" s="351"/>
      <c r="O31" s="351"/>
      <c r="P31" s="351"/>
      <c r="Q31" s="354"/>
      <c r="R31" s="42"/>
      <c r="S31" s="4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</row>
    <row r="32" spans="1:61" s="7" customFormat="1" x14ac:dyDescent="0.25">
      <c r="A32" s="26"/>
      <c r="B32" s="19" t="s">
        <v>109</v>
      </c>
      <c r="C32" s="59">
        <f>SUM(C10:C31)</f>
        <v>5503664</v>
      </c>
      <c r="D32" s="59">
        <f>SUM(D10:D31)</f>
        <v>21233581000.000004</v>
      </c>
      <c r="E32" s="59">
        <f t="shared" si="1"/>
        <v>3858.0809075554039</v>
      </c>
      <c r="F32" s="59">
        <f>SUM(F10:F31)</f>
        <v>21233581000</v>
      </c>
      <c r="G32" s="131">
        <f t="shared" si="3"/>
        <v>0</v>
      </c>
      <c r="H32" s="131">
        <f t="shared" si="4"/>
        <v>3858.080907555403</v>
      </c>
      <c r="I32" s="131">
        <f>G32/Määräytymistekijät!C26</f>
        <v>0</v>
      </c>
      <c r="M32" s="341"/>
      <c r="N32" s="341"/>
      <c r="O32" s="341"/>
      <c r="P32" s="341"/>
      <c r="Q32" s="26"/>
      <c r="R32" s="42"/>
      <c r="S32" s="4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</row>
    <row r="33" spans="1:65" s="7" customFormat="1" x14ac:dyDescent="0.25">
      <c r="A33" s="26"/>
      <c r="B33" s="55"/>
      <c r="C33" s="55"/>
      <c r="D33" s="142"/>
      <c r="F33" s="142"/>
      <c r="Q33" s="355"/>
      <c r="R33" s="356"/>
      <c r="S33" s="356"/>
      <c r="T33" s="356"/>
      <c r="U33" s="26"/>
      <c r="V33" s="42"/>
      <c r="W33" s="4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</row>
    <row r="34" spans="1:65" s="7" customFormat="1" x14ac:dyDescent="0.25">
      <c r="B34" s="36"/>
      <c r="C34" s="36"/>
      <c r="D34" s="36"/>
      <c r="F34" s="36"/>
      <c r="G34" s="36"/>
      <c r="J34" s="131"/>
      <c r="K34" s="131"/>
      <c r="P34" s="26"/>
      <c r="Q34" s="26"/>
      <c r="R34" s="26"/>
      <c r="S34" s="26"/>
      <c r="T34" s="26"/>
      <c r="U34" s="26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</row>
    <row r="35" spans="1:65" x14ac:dyDescent="0.25">
      <c r="A35" s="20" t="s">
        <v>548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13"/>
      <c r="O35" s="1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</row>
    <row r="36" spans="1:65" s="7" customFormat="1" ht="47.25" x14ac:dyDescent="0.25">
      <c r="A36" s="325" t="s">
        <v>469</v>
      </c>
      <c r="B36" s="325" t="s">
        <v>134</v>
      </c>
      <c r="C36" s="325" t="s">
        <v>443</v>
      </c>
      <c r="D36" s="329" t="s">
        <v>486</v>
      </c>
      <c r="E36" s="329" t="s">
        <v>510</v>
      </c>
      <c r="F36" s="50" t="s">
        <v>695</v>
      </c>
      <c r="G36" s="328" t="s">
        <v>691</v>
      </c>
      <c r="H36" s="328" t="s">
        <v>694</v>
      </c>
      <c r="P36" s="14"/>
      <c r="S36" s="14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3"/>
      <c r="AG36" s="192"/>
      <c r="AH36" s="12"/>
      <c r="AI36" s="14"/>
      <c r="AJ36" s="192"/>
      <c r="AK36" s="144"/>
      <c r="AL36" s="144"/>
      <c r="AM36" s="144"/>
      <c r="AN36" s="144"/>
      <c r="AO36" s="144"/>
      <c r="AP36" s="144"/>
      <c r="AQ36" s="144"/>
      <c r="AR36" s="144"/>
      <c r="AS36" s="18"/>
      <c r="AT36" s="145"/>
      <c r="AU36" s="143"/>
      <c r="AV36" s="144"/>
      <c r="AW36" s="144"/>
      <c r="AX36" s="144"/>
      <c r="AY36" s="144"/>
      <c r="AZ36" s="144"/>
      <c r="BA36" s="144"/>
      <c r="BB36" s="144"/>
      <c r="BC36" s="144"/>
      <c r="BD36" s="144"/>
      <c r="BE36" s="18"/>
      <c r="BF36" s="26"/>
      <c r="BG36" s="26"/>
      <c r="BH36" s="26"/>
      <c r="BI36" s="26"/>
      <c r="BJ36" s="26"/>
    </row>
    <row r="37" spans="1:65" s="7" customFormat="1" x14ac:dyDescent="0.25">
      <c r="A37" s="79">
        <v>31</v>
      </c>
      <c r="B37" s="80" t="s">
        <v>131</v>
      </c>
      <c r="C37" s="130">
        <f>Määräytymistekijät!C4</f>
        <v>656920</v>
      </c>
      <c r="D37" s="42">
        <f>'Siirtyvät sote-kustannukset'!L14</f>
        <v>2421888489.9689164</v>
      </c>
      <c r="E37" s="36">
        <f t="shared" ref="E37:E59" si="6">D37/C10</f>
        <v>3686.7327680218541</v>
      </c>
      <c r="F37" s="43">
        <f>'SOTE laskennallinen rahoitus'!N49</f>
        <v>2205996021.3760824</v>
      </c>
      <c r="G37" s="43">
        <f t="shared" ref="G37:G59" si="7">F37-D37</f>
        <v>-215892468.592834</v>
      </c>
      <c r="H37" s="131">
        <f t="shared" ref="H37:H59" si="8">G37/C37</f>
        <v>-328.64347042689218</v>
      </c>
      <c r="J37" s="36"/>
      <c r="K37" s="36"/>
      <c r="L37" s="357"/>
      <c r="M37" s="358"/>
      <c r="P37" s="82"/>
      <c r="S37" s="82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7"/>
      <c r="AF37" s="147"/>
      <c r="AG37" s="149"/>
      <c r="AH37" s="12"/>
      <c r="AI37" s="82"/>
      <c r="AJ37" s="39"/>
      <c r="AK37" s="148"/>
      <c r="AL37" s="148"/>
      <c r="AM37" s="148"/>
      <c r="AN37" s="148"/>
      <c r="AO37" s="148"/>
      <c r="AP37" s="148"/>
      <c r="AQ37" s="148"/>
      <c r="AR37" s="148"/>
      <c r="AS37" s="148"/>
      <c r="AT37" s="26"/>
      <c r="AU37" s="82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26"/>
      <c r="BG37" s="26"/>
      <c r="BH37" s="26"/>
      <c r="BI37" s="26"/>
      <c r="BJ37" s="26"/>
    </row>
    <row r="38" spans="1:65" s="7" customFormat="1" x14ac:dyDescent="0.25">
      <c r="A38" s="79">
        <v>32</v>
      </c>
      <c r="B38" s="80" t="s">
        <v>130</v>
      </c>
      <c r="C38" s="130">
        <f>Määräytymistekijät!C5</f>
        <v>274336</v>
      </c>
      <c r="D38" s="42">
        <f>'Siirtyvät sote-kustannukset'!L15</f>
        <v>879510238.2084924</v>
      </c>
      <c r="E38" s="36">
        <f t="shared" si="6"/>
        <v>3205.9599841380364</v>
      </c>
      <c r="F38" s="43">
        <f>'SOTE laskennallinen rahoitus'!N50</f>
        <v>883428198.97834265</v>
      </c>
      <c r="G38" s="43">
        <f t="shared" si="7"/>
        <v>3917960.7698502541</v>
      </c>
      <c r="H38" s="131">
        <f t="shared" si="8"/>
        <v>14.281613677571496</v>
      </c>
      <c r="J38" s="36"/>
      <c r="K38" s="36"/>
      <c r="L38" s="357"/>
      <c r="M38" s="358"/>
      <c r="P38" s="82"/>
      <c r="S38" s="82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7"/>
      <c r="AF38" s="147"/>
      <c r="AG38" s="149"/>
      <c r="AH38" s="12"/>
      <c r="AI38" s="82"/>
      <c r="AJ38" s="39"/>
      <c r="AK38" s="148"/>
      <c r="AL38" s="148"/>
      <c r="AM38" s="148"/>
      <c r="AN38" s="148"/>
      <c r="AO38" s="148"/>
      <c r="AP38" s="148"/>
      <c r="AQ38" s="148"/>
      <c r="AR38" s="148"/>
      <c r="AS38" s="148"/>
      <c r="AT38" s="26"/>
      <c r="AU38" s="82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26"/>
      <c r="BG38" s="26"/>
      <c r="BH38" s="26"/>
      <c r="BI38" s="26"/>
      <c r="BJ38" s="26"/>
    </row>
    <row r="39" spans="1:65" s="7" customFormat="1" x14ac:dyDescent="0.25">
      <c r="A39" s="79">
        <v>33</v>
      </c>
      <c r="B39" s="80" t="s">
        <v>129</v>
      </c>
      <c r="C39" s="130">
        <f>Määräytymistekijät!C6</f>
        <v>473838</v>
      </c>
      <c r="D39" s="42">
        <f>'Siirtyvät sote-kustannukset'!L16</f>
        <v>1504758315.0588114</v>
      </c>
      <c r="E39" s="36">
        <f t="shared" si="6"/>
        <v>3175.6809607055816</v>
      </c>
      <c r="F39" s="43">
        <f>'SOTE laskennallinen rahoitus'!N51</f>
        <v>1506962798.02703</v>
      </c>
      <c r="G39" s="43">
        <f t="shared" si="7"/>
        <v>2204482.968218565</v>
      </c>
      <c r="H39" s="131">
        <f t="shared" si="8"/>
        <v>4.6523980099075315</v>
      </c>
      <c r="J39" s="36"/>
      <c r="K39" s="36"/>
      <c r="L39" s="357"/>
      <c r="M39" s="358"/>
      <c r="P39" s="82"/>
      <c r="S39" s="82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7"/>
      <c r="AF39" s="147"/>
      <c r="AG39" s="149"/>
      <c r="AH39" s="12"/>
      <c r="AI39" s="82"/>
      <c r="AJ39" s="39"/>
      <c r="AK39" s="148"/>
      <c r="AL39" s="148"/>
      <c r="AM39" s="148"/>
      <c r="AN39" s="148"/>
      <c r="AO39" s="148"/>
      <c r="AP39" s="148"/>
      <c r="AQ39" s="148"/>
      <c r="AR39" s="148"/>
      <c r="AS39" s="148"/>
      <c r="AT39" s="26"/>
      <c r="AU39" s="82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26"/>
      <c r="BG39" s="26"/>
      <c r="BH39" s="26"/>
      <c r="BI39" s="26"/>
      <c r="BJ39" s="26"/>
    </row>
    <row r="40" spans="1:65" s="7" customFormat="1" x14ac:dyDescent="0.25">
      <c r="A40" s="79">
        <v>34</v>
      </c>
      <c r="B40" s="80" t="s">
        <v>128</v>
      </c>
      <c r="C40" s="130">
        <f>Määräytymistekijät!C7</f>
        <v>98254</v>
      </c>
      <c r="D40" s="42">
        <f>'Siirtyvät sote-kustannukset'!L17</f>
        <v>326749629.30940366</v>
      </c>
      <c r="E40" s="36">
        <f t="shared" si="6"/>
        <v>3325.560580835423</v>
      </c>
      <c r="F40" s="43">
        <f>'SOTE laskennallinen rahoitus'!N52</f>
        <v>355590713.66891408</v>
      </c>
      <c r="G40" s="43">
        <f t="shared" si="7"/>
        <v>28841084.359510422</v>
      </c>
      <c r="H40" s="131">
        <f t="shared" si="8"/>
        <v>293.53598183799562</v>
      </c>
      <c r="J40" s="36"/>
      <c r="K40" s="36"/>
      <c r="L40" s="357"/>
      <c r="M40" s="358"/>
      <c r="P40" s="82"/>
      <c r="S40" s="82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7"/>
      <c r="AF40" s="147"/>
      <c r="AG40" s="149"/>
      <c r="AH40" s="12"/>
      <c r="AI40" s="82"/>
      <c r="AJ40" s="39"/>
      <c r="AK40" s="148"/>
      <c r="AL40" s="148"/>
      <c r="AM40" s="148"/>
      <c r="AN40" s="148"/>
      <c r="AO40" s="148"/>
      <c r="AP40" s="148"/>
      <c r="AQ40" s="148"/>
      <c r="AR40" s="148"/>
      <c r="AS40" s="148"/>
      <c r="AT40" s="26"/>
      <c r="AU40" s="82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26"/>
      <c r="BG40" s="26"/>
      <c r="BH40" s="26"/>
      <c r="BI40" s="26"/>
      <c r="BJ40" s="26"/>
    </row>
    <row r="41" spans="1:65" s="7" customFormat="1" x14ac:dyDescent="0.25">
      <c r="A41" s="132">
        <v>35</v>
      </c>
      <c r="B41" s="82" t="s">
        <v>127</v>
      </c>
      <c r="C41" s="130">
        <f>Määräytymistekijät!C8</f>
        <v>199330</v>
      </c>
      <c r="D41" s="42">
        <f>'Siirtyvät sote-kustannukset'!L18</f>
        <v>683041981.0944941</v>
      </c>
      <c r="E41" s="39">
        <f t="shared" si="6"/>
        <v>3426.6893146766374</v>
      </c>
      <c r="F41" s="43">
        <f>'SOTE laskennallinen rahoitus'!N53</f>
        <v>648250962.79319847</v>
      </c>
      <c r="G41" s="43">
        <f t="shared" si="7"/>
        <v>-34791018.301295638</v>
      </c>
      <c r="H41" s="131">
        <f t="shared" si="8"/>
        <v>-174.53979983592856</v>
      </c>
      <c r="J41" s="36"/>
      <c r="K41" s="36"/>
      <c r="L41" s="357"/>
      <c r="M41" s="358"/>
      <c r="P41" s="82"/>
      <c r="S41" s="82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7"/>
      <c r="AF41" s="147"/>
      <c r="AG41" s="149"/>
      <c r="AH41" s="12"/>
      <c r="AI41" s="82"/>
      <c r="AJ41" s="39"/>
      <c r="AK41" s="148"/>
      <c r="AL41" s="148"/>
      <c r="AM41" s="148"/>
      <c r="AN41" s="148"/>
      <c r="AO41" s="148"/>
      <c r="AP41" s="148"/>
      <c r="AQ41" s="148"/>
      <c r="AR41" s="148"/>
      <c r="AS41" s="148"/>
      <c r="AT41" s="26"/>
      <c r="AU41" s="82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26"/>
      <c r="BG41" s="26"/>
      <c r="BH41" s="26"/>
      <c r="BI41" s="26"/>
      <c r="BJ41" s="26"/>
    </row>
    <row r="42" spans="1:65" s="7" customFormat="1" x14ac:dyDescent="0.25">
      <c r="A42" s="7">
        <v>2</v>
      </c>
      <c r="B42" s="19" t="s">
        <v>126</v>
      </c>
      <c r="C42" s="130">
        <f>Määräytymistekijät!C9</f>
        <v>481403</v>
      </c>
      <c r="D42" s="42">
        <f>'Siirtyvät sote-kustannukset'!L19</f>
        <v>1769494159.6795354</v>
      </c>
      <c r="E42" s="36">
        <f t="shared" si="6"/>
        <v>3675.702394209291</v>
      </c>
      <c r="F42" s="43">
        <f>'SOTE laskennallinen rahoitus'!N54</f>
        <v>1869291151.5113001</v>
      </c>
      <c r="G42" s="43">
        <f t="shared" si="7"/>
        <v>99796991.831764698</v>
      </c>
      <c r="H42" s="131">
        <f t="shared" si="8"/>
        <v>207.30446597084915</v>
      </c>
      <c r="J42" s="36"/>
      <c r="K42" s="36"/>
      <c r="L42" s="357"/>
      <c r="M42" s="358"/>
      <c r="P42" s="14"/>
      <c r="S42" s="14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7"/>
      <c r="AF42" s="147"/>
      <c r="AG42" s="149"/>
      <c r="AH42" s="12"/>
      <c r="AI42" s="14"/>
      <c r="AJ42" s="39"/>
      <c r="AK42" s="148"/>
      <c r="AL42" s="148"/>
      <c r="AM42" s="148"/>
      <c r="AN42" s="148"/>
      <c r="AO42" s="148"/>
      <c r="AP42" s="148"/>
      <c r="AQ42" s="148"/>
      <c r="AR42" s="148"/>
      <c r="AS42" s="148"/>
      <c r="AT42" s="26"/>
      <c r="AU42" s="143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26"/>
      <c r="BG42" s="26"/>
      <c r="BH42" s="26"/>
      <c r="BI42" s="26"/>
      <c r="BJ42" s="26"/>
    </row>
    <row r="43" spans="1:65" s="7" customFormat="1" x14ac:dyDescent="0.25">
      <c r="A43" s="7">
        <v>4</v>
      </c>
      <c r="B43" s="19" t="s">
        <v>125</v>
      </c>
      <c r="C43" s="130">
        <f>Määräytymistekijät!C10</f>
        <v>215416</v>
      </c>
      <c r="D43" s="42">
        <f>'Siirtyvät sote-kustannukset'!L20</f>
        <v>865467529.66096997</v>
      </c>
      <c r="E43" s="36">
        <f t="shared" si="6"/>
        <v>4017.6566720251512</v>
      </c>
      <c r="F43" s="43">
        <f>'SOTE laskennallinen rahoitus'!N55</f>
        <v>841578257.52671194</v>
      </c>
      <c r="G43" s="43">
        <f t="shared" si="7"/>
        <v>-23889272.134258032</v>
      </c>
      <c r="H43" s="131">
        <f t="shared" si="8"/>
        <v>-110.89831829696045</v>
      </c>
      <c r="J43" s="36"/>
      <c r="K43" s="36"/>
      <c r="L43" s="357"/>
      <c r="M43" s="358"/>
      <c r="P43" s="14"/>
      <c r="S43" s="14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7"/>
      <c r="AF43" s="147"/>
      <c r="AG43" s="149"/>
      <c r="AH43" s="12"/>
      <c r="AI43" s="14"/>
      <c r="AJ43" s="39"/>
      <c r="AK43" s="148"/>
      <c r="AL43" s="148"/>
      <c r="AM43" s="148"/>
      <c r="AN43" s="148"/>
      <c r="AO43" s="148"/>
      <c r="AP43" s="148"/>
      <c r="AQ43" s="148"/>
      <c r="AR43" s="148"/>
      <c r="AS43" s="148"/>
      <c r="AT43" s="26"/>
      <c r="AU43" s="143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26"/>
      <c r="BG43" s="26"/>
      <c r="BH43" s="26"/>
      <c r="BI43" s="26"/>
      <c r="BJ43" s="26"/>
    </row>
    <row r="44" spans="1:65" s="7" customFormat="1" x14ac:dyDescent="0.25">
      <c r="A44" s="7">
        <v>5</v>
      </c>
      <c r="B44" s="19" t="s">
        <v>124</v>
      </c>
      <c r="C44" s="130">
        <f>Määräytymistekijät!C11</f>
        <v>170577</v>
      </c>
      <c r="D44" s="42">
        <f>'Siirtyvät sote-kustannukset'!L21</f>
        <v>645229330.24798846</v>
      </c>
      <c r="E44" s="36">
        <f t="shared" si="6"/>
        <v>3782.6279641920569</v>
      </c>
      <c r="F44" s="43">
        <f>'SOTE laskennallinen rahoitus'!N56</f>
        <v>647305556.42588782</v>
      </c>
      <c r="G44" s="43">
        <f t="shared" si="7"/>
        <v>2076226.1778993607</v>
      </c>
      <c r="H44" s="131">
        <f t="shared" si="8"/>
        <v>12.17178270165005</v>
      </c>
      <c r="J44" s="36"/>
      <c r="K44" s="36"/>
      <c r="L44" s="357"/>
      <c r="M44" s="358"/>
      <c r="P44" s="14"/>
      <c r="S44" s="14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7"/>
      <c r="AF44" s="147"/>
      <c r="AG44" s="149"/>
      <c r="AH44" s="12"/>
      <c r="AI44" s="14"/>
      <c r="AJ44" s="39"/>
      <c r="AK44" s="148"/>
      <c r="AL44" s="148"/>
      <c r="AM44" s="148"/>
      <c r="AN44" s="148"/>
      <c r="AO44" s="148"/>
      <c r="AP44" s="148"/>
      <c r="AQ44" s="148"/>
      <c r="AR44" s="148"/>
      <c r="AS44" s="148"/>
      <c r="AT44" s="26"/>
      <c r="AU44" s="143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26"/>
      <c r="BG44" s="26"/>
      <c r="BH44" s="26"/>
      <c r="BI44" s="26"/>
      <c r="BJ44" s="26"/>
    </row>
    <row r="45" spans="1:65" s="7" customFormat="1" x14ac:dyDescent="0.25">
      <c r="A45" s="7">
        <v>6</v>
      </c>
      <c r="B45" s="19" t="s">
        <v>123</v>
      </c>
      <c r="C45" s="130">
        <f>Määräytymistekijät!C12</f>
        <v>522852</v>
      </c>
      <c r="D45" s="42">
        <f>'Siirtyvät sote-kustannukset'!L22</f>
        <v>1914683165.9118116</v>
      </c>
      <c r="E45" s="36">
        <f t="shared" si="6"/>
        <v>3661.9983588315845</v>
      </c>
      <c r="F45" s="43">
        <f>'SOTE laskennallinen rahoitus'!N57</f>
        <v>1948084854.0407264</v>
      </c>
      <c r="G45" s="43">
        <f t="shared" si="7"/>
        <v>33401688.128914833</v>
      </c>
      <c r="H45" s="131">
        <f t="shared" si="8"/>
        <v>63.883638446280848</v>
      </c>
      <c r="J45" s="36"/>
      <c r="K45" s="36"/>
      <c r="L45" s="357"/>
      <c r="M45" s="358"/>
      <c r="P45" s="14"/>
      <c r="S45" s="14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7"/>
      <c r="AF45" s="147"/>
      <c r="AG45" s="149"/>
      <c r="AH45" s="12"/>
      <c r="AI45" s="14"/>
      <c r="AJ45" s="39"/>
      <c r="AK45" s="148"/>
      <c r="AL45" s="148"/>
      <c r="AM45" s="148"/>
      <c r="AN45" s="148"/>
      <c r="AO45" s="148"/>
      <c r="AP45" s="148"/>
      <c r="AQ45" s="148"/>
      <c r="AR45" s="148"/>
      <c r="AS45" s="148"/>
      <c r="AT45" s="26"/>
      <c r="AU45" s="143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26"/>
      <c r="BG45" s="26"/>
      <c r="BH45" s="26"/>
      <c r="BI45" s="26"/>
      <c r="BJ45" s="26"/>
    </row>
    <row r="46" spans="1:65" s="7" customFormat="1" x14ac:dyDescent="0.25">
      <c r="A46" s="7">
        <v>7</v>
      </c>
      <c r="B46" s="19" t="s">
        <v>122</v>
      </c>
      <c r="C46" s="130">
        <f>Määräytymistekijät!C13</f>
        <v>205771</v>
      </c>
      <c r="D46" s="42">
        <f>'Siirtyvät sote-kustannukset'!L23</f>
        <v>766866532.35584331</v>
      </c>
      <c r="E46" s="36">
        <f t="shared" si="6"/>
        <v>3726.7959642313217</v>
      </c>
      <c r="F46" s="43">
        <f>'SOTE laskennallinen rahoitus'!N58</f>
        <v>810035070.90335774</v>
      </c>
      <c r="G46" s="43">
        <f t="shared" si="7"/>
        <v>43168538.547514439</v>
      </c>
      <c r="H46" s="131">
        <f t="shared" si="8"/>
        <v>209.78922466000768</v>
      </c>
      <c r="J46" s="36"/>
      <c r="K46" s="36"/>
      <c r="L46" s="357"/>
      <c r="M46" s="358"/>
      <c r="P46" s="14"/>
      <c r="S46" s="14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7"/>
      <c r="AF46" s="147"/>
      <c r="AG46" s="149"/>
      <c r="AH46" s="12"/>
      <c r="AI46" s="14"/>
      <c r="AJ46" s="39"/>
      <c r="AK46" s="148"/>
      <c r="AL46" s="148"/>
      <c r="AM46" s="148"/>
      <c r="AN46" s="148"/>
      <c r="AO46" s="148"/>
      <c r="AP46" s="148"/>
      <c r="AQ46" s="148"/>
      <c r="AR46" s="148"/>
      <c r="AS46" s="148"/>
      <c r="AT46" s="26"/>
      <c r="AU46" s="143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26"/>
      <c r="BG46" s="26"/>
      <c r="BH46" s="26"/>
      <c r="BI46" s="26"/>
      <c r="BJ46" s="26"/>
    </row>
    <row r="47" spans="1:65" s="7" customFormat="1" x14ac:dyDescent="0.25">
      <c r="A47" s="7">
        <v>8</v>
      </c>
      <c r="B47" s="19" t="s">
        <v>121</v>
      </c>
      <c r="C47" s="130">
        <f>Määräytymistekijät!C14</f>
        <v>162812</v>
      </c>
      <c r="D47" s="42">
        <f>'Siirtyvät sote-kustannukset'!L24</f>
        <v>704164264.9437201</v>
      </c>
      <c r="E47" s="36">
        <f t="shared" si="6"/>
        <v>4325.0145256106434</v>
      </c>
      <c r="F47" s="43">
        <f>'SOTE laskennallinen rahoitus'!N59</f>
        <v>685958582.58154273</v>
      </c>
      <c r="G47" s="43">
        <f t="shared" si="7"/>
        <v>-18205682.362177372</v>
      </c>
      <c r="H47" s="131">
        <f t="shared" si="8"/>
        <v>-111.82027345759141</v>
      </c>
      <c r="J47" s="36"/>
      <c r="K47" s="36"/>
      <c r="L47" s="357"/>
      <c r="M47" s="358"/>
      <c r="P47" s="14"/>
      <c r="S47" s="14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7"/>
      <c r="AF47" s="147"/>
      <c r="AG47" s="149"/>
      <c r="AH47" s="12"/>
      <c r="AI47" s="14"/>
      <c r="AJ47" s="39"/>
      <c r="AK47" s="148"/>
      <c r="AL47" s="148"/>
      <c r="AM47" s="148"/>
      <c r="AN47" s="148"/>
      <c r="AO47" s="148"/>
      <c r="AP47" s="148"/>
      <c r="AQ47" s="148"/>
      <c r="AR47" s="148"/>
      <c r="AS47" s="148"/>
      <c r="AT47" s="26"/>
      <c r="AU47" s="143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26"/>
      <c r="BG47" s="26"/>
      <c r="BH47" s="26"/>
      <c r="BI47" s="26"/>
      <c r="BJ47" s="26"/>
    </row>
    <row r="48" spans="1:65" s="7" customFormat="1" x14ac:dyDescent="0.25">
      <c r="A48" s="7">
        <v>9</v>
      </c>
      <c r="B48" s="19" t="s">
        <v>120</v>
      </c>
      <c r="C48" s="130">
        <f>Määräytymistekijät!C15</f>
        <v>126921</v>
      </c>
      <c r="D48" s="42">
        <f>'Siirtyvät sote-kustannukset'!L25</f>
        <v>505398692.508807</v>
      </c>
      <c r="E48" s="36">
        <f t="shared" si="6"/>
        <v>3981.9942523995792</v>
      </c>
      <c r="F48" s="43">
        <f>'SOTE laskennallinen rahoitus'!N60</f>
        <v>488013270.52008587</v>
      </c>
      <c r="G48" s="43">
        <f t="shared" si="7"/>
        <v>-17385421.988721132</v>
      </c>
      <c r="H48" s="131">
        <f t="shared" si="8"/>
        <v>-136.97829349533279</v>
      </c>
      <c r="J48" s="36"/>
      <c r="K48" s="36"/>
      <c r="L48" s="357"/>
      <c r="M48" s="358"/>
      <c r="P48" s="14"/>
      <c r="S48" s="14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7"/>
      <c r="AF48" s="147"/>
      <c r="AG48" s="149"/>
      <c r="AH48" s="12"/>
      <c r="AI48" s="14"/>
      <c r="AJ48" s="39"/>
      <c r="AK48" s="148"/>
      <c r="AL48" s="148"/>
      <c r="AM48" s="148"/>
      <c r="AN48" s="148"/>
      <c r="AO48" s="148"/>
      <c r="AP48" s="148"/>
      <c r="AQ48" s="148"/>
      <c r="AR48" s="148"/>
      <c r="AS48" s="148"/>
      <c r="AT48" s="26"/>
      <c r="AU48" s="143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26"/>
      <c r="BG48" s="26"/>
      <c r="BH48" s="26"/>
      <c r="BI48" s="26"/>
      <c r="BJ48" s="26"/>
    </row>
    <row r="49" spans="1:65" x14ac:dyDescent="0.25">
      <c r="A49" s="13">
        <v>10</v>
      </c>
      <c r="B49" s="127" t="s">
        <v>119</v>
      </c>
      <c r="C49" s="130">
        <f>Määräytymistekijät!C16</f>
        <v>132702</v>
      </c>
      <c r="D49" s="42">
        <f>'Siirtyvät sote-kustannukset'!L26</f>
        <v>623852297.62147641</v>
      </c>
      <c r="E49" s="36">
        <f t="shared" si="6"/>
        <v>4701.1521877701653</v>
      </c>
      <c r="F49" s="43">
        <f>'SOTE laskennallinen rahoitus'!N61</f>
        <v>582265602.01378345</v>
      </c>
      <c r="G49" s="43">
        <f t="shared" si="7"/>
        <v>-41586695.607692957</v>
      </c>
      <c r="H49" s="131">
        <f t="shared" si="8"/>
        <v>-313.38409072729092</v>
      </c>
      <c r="I49" s="13"/>
      <c r="J49" s="36"/>
      <c r="K49" s="36"/>
      <c r="L49" s="357"/>
      <c r="M49" s="358"/>
      <c r="N49" s="13"/>
      <c r="O49" s="13"/>
      <c r="P49" s="14"/>
      <c r="Q49" s="13"/>
      <c r="R49" s="13"/>
      <c r="S49" s="14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7"/>
      <c r="AF49" s="147"/>
      <c r="AG49" s="149"/>
      <c r="AH49" s="12"/>
      <c r="AI49" s="14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12"/>
      <c r="AU49" s="14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12"/>
      <c r="BG49" s="12"/>
      <c r="BH49" s="12"/>
      <c r="BI49" s="12"/>
      <c r="BJ49" s="12"/>
    </row>
    <row r="50" spans="1:65" x14ac:dyDescent="0.25">
      <c r="A50" s="13">
        <v>11</v>
      </c>
      <c r="B50" s="127" t="s">
        <v>118</v>
      </c>
      <c r="C50" s="130">
        <f>Määräytymistekijät!C17</f>
        <v>248265</v>
      </c>
      <c r="D50" s="42">
        <f>'Siirtyvät sote-kustannukset'!L27</f>
        <v>1070937927.200262</v>
      </c>
      <c r="E50" s="36">
        <f t="shared" si="6"/>
        <v>4313.6887084376049</v>
      </c>
      <c r="F50" s="43">
        <f>'SOTE laskennallinen rahoitus'!N62</f>
        <v>1069182271.6757174</v>
      </c>
      <c r="G50" s="43">
        <f t="shared" si="7"/>
        <v>-1755655.5245445967</v>
      </c>
      <c r="H50" s="131">
        <f t="shared" si="8"/>
        <v>-7.0716996940551295</v>
      </c>
      <c r="I50" s="13"/>
      <c r="J50" s="36"/>
      <c r="K50" s="36"/>
      <c r="L50" s="357"/>
      <c r="M50" s="358"/>
      <c r="N50" s="13"/>
      <c r="O50" s="13"/>
      <c r="P50" s="14"/>
      <c r="Q50" s="13"/>
      <c r="R50" s="13"/>
      <c r="S50" s="14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7"/>
      <c r="AF50" s="147"/>
      <c r="AG50" s="149"/>
      <c r="AH50" s="12"/>
      <c r="AI50" s="14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12"/>
      <c r="AU50" s="14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12"/>
      <c r="BG50" s="12"/>
      <c r="BH50" s="12"/>
      <c r="BI50" s="12"/>
      <c r="BJ50" s="12"/>
    </row>
    <row r="51" spans="1:65" s="7" customFormat="1" x14ac:dyDescent="0.25">
      <c r="A51" s="7">
        <v>12</v>
      </c>
      <c r="B51" s="19" t="s">
        <v>117</v>
      </c>
      <c r="C51" s="130">
        <f>Määräytymistekijät!C18</f>
        <v>163537</v>
      </c>
      <c r="D51" s="42">
        <f>'Siirtyvät sote-kustannukset'!L28</f>
        <v>648873610.66078115</v>
      </c>
      <c r="E51" s="36">
        <f t="shared" si="6"/>
        <v>3967.7480365958845</v>
      </c>
      <c r="F51" s="43">
        <f>'SOTE laskennallinen rahoitus'!N63</f>
        <v>723936909.97187161</v>
      </c>
      <c r="G51" s="43">
        <f t="shared" si="7"/>
        <v>75063299.311090469</v>
      </c>
      <c r="H51" s="131">
        <f t="shared" si="8"/>
        <v>458.99887677461658</v>
      </c>
      <c r="J51" s="36"/>
      <c r="K51" s="36"/>
      <c r="L51" s="357"/>
      <c r="M51" s="358"/>
      <c r="P51" s="14"/>
      <c r="S51" s="14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7"/>
      <c r="AF51" s="147"/>
      <c r="AG51" s="149"/>
      <c r="AH51" s="12"/>
      <c r="AI51" s="14"/>
      <c r="AJ51" s="39"/>
      <c r="AK51" s="148"/>
      <c r="AL51" s="148"/>
      <c r="AM51" s="148"/>
      <c r="AN51" s="148"/>
      <c r="AO51" s="148"/>
      <c r="AP51" s="148"/>
      <c r="AQ51" s="148"/>
      <c r="AR51" s="148"/>
      <c r="AS51" s="148"/>
      <c r="AT51" s="26"/>
      <c r="AU51" s="143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26"/>
      <c r="BG51" s="26"/>
      <c r="BH51" s="26"/>
      <c r="BI51" s="26"/>
      <c r="BJ51" s="26"/>
    </row>
    <row r="52" spans="1:65" s="7" customFormat="1" x14ac:dyDescent="0.25">
      <c r="A52" s="7">
        <v>13</v>
      </c>
      <c r="B52" s="19" t="s">
        <v>116</v>
      </c>
      <c r="C52" s="130">
        <f>Määräytymistekijät!C19</f>
        <v>272617</v>
      </c>
      <c r="D52" s="42">
        <f>'Siirtyvät sote-kustannukset'!L29</f>
        <v>999892510.21187246</v>
      </c>
      <c r="E52" s="36">
        <f t="shared" si="6"/>
        <v>3667.7555332641487</v>
      </c>
      <c r="F52" s="43">
        <f>'SOTE laskennallinen rahoitus'!N64</f>
        <v>1005700986.4833666</v>
      </c>
      <c r="G52" s="43">
        <f t="shared" si="7"/>
        <v>5808476.2714941502</v>
      </c>
      <c r="H52" s="131">
        <f t="shared" si="8"/>
        <v>21.306361200857431</v>
      </c>
      <c r="J52" s="36"/>
      <c r="K52" s="36"/>
      <c r="L52" s="357"/>
      <c r="M52" s="358"/>
      <c r="P52" s="14"/>
      <c r="S52" s="14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7"/>
      <c r="AF52" s="147"/>
      <c r="AG52" s="149"/>
      <c r="AH52" s="12"/>
      <c r="AI52" s="14"/>
      <c r="AJ52" s="39"/>
      <c r="AK52" s="148"/>
      <c r="AL52" s="148"/>
      <c r="AM52" s="148"/>
      <c r="AN52" s="148"/>
      <c r="AO52" s="148"/>
      <c r="AP52" s="148"/>
      <c r="AQ52" s="148"/>
      <c r="AR52" s="148"/>
      <c r="AS52" s="148"/>
      <c r="AT52" s="26"/>
      <c r="AU52" s="143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26"/>
      <c r="BG52" s="26"/>
      <c r="BH52" s="26"/>
      <c r="BI52" s="26"/>
      <c r="BJ52" s="26"/>
    </row>
    <row r="53" spans="1:65" s="7" customFormat="1" x14ac:dyDescent="0.25">
      <c r="A53" s="7">
        <v>14</v>
      </c>
      <c r="B53" s="19" t="s">
        <v>132</v>
      </c>
      <c r="C53" s="130">
        <f>Määräytymistekijät!C20</f>
        <v>192150</v>
      </c>
      <c r="D53" s="42">
        <f>'Siirtyvät sote-kustannukset'!L30</f>
        <v>784518436.15521455</v>
      </c>
      <c r="E53" s="36">
        <f t="shared" si="6"/>
        <v>4082.8437999230528</v>
      </c>
      <c r="F53" s="43">
        <f>'SOTE laskennallinen rahoitus'!N65</f>
        <v>783997867.54601347</v>
      </c>
      <c r="G53" s="43">
        <f t="shared" si="7"/>
        <v>-520568.60920107365</v>
      </c>
      <c r="H53" s="131">
        <f t="shared" si="8"/>
        <v>-2.7091782940467013</v>
      </c>
      <c r="J53" s="36"/>
      <c r="K53" s="36"/>
      <c r="L53" s="357"/>
      <c r="M53" s="358"/>
      <c r="P53" s="14"/>
      <c r="S53" s="14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7"/>
      <c r="AF53" s="147"/>
      <c r="AG53" s="149"/>
      <c r="AH53" s="12"/>
      <c r="AI53" s="14"/>
      <c r="AJ53" s="39"/>
      <c r="AK53" s="148"/>
      <c r="AL53" s="148"/>
      <c r="AM53" s="148"/>
      <c r="AN53" s="148"/>
      <c r="AO53" s="148"/>
      <c r="AP53" s="148"/>
      <c r="AQ53" s="148"/>
      <c r="AR53" s="148"/>
      <c r="AS53" s="148"/>
      <c r="AT53" s="26"/>
      <c r="AU53" s="143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26"/>
      <c r="BG53" s="26"/>
      <c r="BH53" s="26"/>
      <c r="BI53" s="26"/>
      <c r="BJ53" s="26"/>
    </row>
    <row r="54" spans="1:65" s="7" customFormat="1" x14ac:dyDescent="0.25">
      <c r="A54" s="7">
        <v>15</v>
      </c>
      <c r="B54" s="19" t="s">
        <v>114</v>
      </c>
      <c r="C54" s="130">
        <f>Määräytymistekijät!C21</f>
        <v>175816</v>
      </c>
      <c r="D54" s="42">
        <f>'Siirtyvät sote-kustannukset'!L31</f>
        <v>674944936.12542629</v>
      </c>
      <c r="E54" s="36">
        <f t="shared" si="6"/>
        <v>3838.9278343576598</v>
      </c>
      <c r="F54" s="43">
        <f>'SOTE laskennallinen rahoitus'!N66</f>
        <v>662647339.61150932</v>
      </c>
      <c r="G54" s="43">
        <f t="shared" si="7"/>
        <v>-12297596.513916969</v>
      </c>
      <c r="H54" s="131">
        <f t="shared" si="8"/>
        <v>-69.945832654121176</v>
      </c>
      <c r="J54" s="36"/>
      <c r="K54" s="36"/>
      <c r="L54" s="357"/>
      <c r="M54" s="358"/>
      <c r="P54" s="14"/>
      <c r="S54" s="14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7"/>
      <c r="AF54" s="147"/>
      <c r="AG54" s="149"/>
      <c r="AH54" s="12"/>
      <c r="AI54" s="14"/>
      <c r="AJ54" s="39"/>
      <c r="AK54" s="148"/>
      <c r="AL54" s="148"/>
      <c r="AM54" s="148"/>
      <c r="AN54" s="148"/>
      <c r="AO54" s="148"/>
      <c r="AP54" s="148"/>
      <c r="AQ54" s="148"/>
      <c r="AR54" s="148"/>
      <c r="AS54" s="148"/>
      <c r="AT54" s="26"/>
      <c r="AU54" s="143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26"/>
      <c r="BG54" s="26"/>
      <c r="BH54" s="26"/>
      <c r="BI54" s="26"/>
      <c r="BJ54" s="26"/>
    </row>
    <row r="55" spans="1:65" s="7" customFormat="1" x14ac:dyDescent="0.25">
      <c r="A55" s="7">
        <v>16</v>
      </c>
      <c r="B55" s="19" t="s">
        <v>113</v>
      </c>
      <c r="C55" s="130">
        <f>Määräytymistekijät!C22</f>
        <v>67988</v>
      </c>
      <c r="D55" s="42">
        <f>'Siirtyvät sote-kustannukset'!L32</f>
        <v>265057712.83633688</v>
      </c>
      <c r="E55" s="36">
        <f t="shared" si="6"/>
        <v>3898.5955291571581</v>
      </c>
      <c r="F55" s="43">
        <f>'SOTE laskennallinen rahoitus'!N67</f>
        <v>284322615.33377296</v>
      </c>
      <c r="G55" s="43">
        <f t="shared" si="7"/>
        <v>19264902.497436076</v>
      </c>
      <c r="H55" s="131">
        <f t="shared" si="8"/>
        <v>283.35739391416246</v>
      </c>
      <c r="J55" s="36"/>
      <c r="K55" s="36"/>
      <c r="L55" s="357"/>
      <c r="M55" s="358"/>
      <c r="P55" s="14"/>
      <c r="S55" s="14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7"/>
      <c r="AF55" s="147"/>
      <c r="AG55" s="149"/>
      <c r="AH55" s="12"/>
      <c r="AI55" s="14"/>
      <c r="AJ55" s="39"/>
      <c r="AK55" s="148"/>
      <c r="AL55" s="148"/>
      <c r="AM55" s="148"/>
      <c r="AN55" s="148"/>
      <c r="AO55" s="148"/>
      <c r="AP55" s="148"/>
      <c r="AQ55" s="148"/>
      <c r="AR55" s="148"/>
      <c r="AS55" s="148"/>
      <c r="AT55" s="26"/>
      <c r="AU55" s="143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26"/>
      <c r="BG55" s="26"/>
      <c r="BH55" s="26"/>
      <c r="BI55" s="26"/>
      <c r="BJ55" s="26"/>
    </row>
    <row r="56" spans="1:65" s="7" customFormat="1" x14ac:dyDescent="0.25">
      <c r="A56" s="7">
        <v>17</v>
      </c>
      <c r="B56" s="19" t="s">
        <v>112</v>
      </c>
      <c r="C56" s="130">
        <f>Määräytymistekijät!C23</f>
        <v>413830</v>
      </c>
      <c r="D56" s="42">
        <f>'Siirtyvät sote-kustannukset'!L33</f>
        <v>1545849140.2908719</v>
      </c>
      <c r="E56" s="36">
        <f t="shared" si="6"/>
        <v>3735.4690097162406</v>
      </c>
      <c r="F56" s="43">
        <f>'SOTE laskennallinen rahoitus'!N68</f>
        <v>1601045824.5311813</v>
      </c>
      <c r="G56" s="43">
        <f t="shared" si="7"/>
        <v>55196684.240309477</v>
      </c>
      <c r="H56" s="131">
        <f t="shared" si="8"/>
        <v>133.38009385571243</v>
      </c>
      <c r="J56" s="36"/>
      <c r="K56" s="36"/>
      <c r="L56" s="357"/>
      <c r="M56" s="358"/>
      <c r="P56" s="14"/>
      <c r="S56" s="14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7"/>
      <c r="AF56" s="147"/>
      <c r="AG56" s="149"/>
      <c r="AH56" s="12"/>
      <c r="AI56" s="14"/>
      <c r="AJ56" s="39"/>
      <c r="AK56" s="148"/>
      <c r="AL56" s="148"/>
      <c r="AM56" s="148"/>
      <c r="AN56" s="148"/>
      <c r="AO56" s="148"/>
      <c r="AP56" s="148"/>
      <c r="AQ56" s="148"/>
      <c r="AR56" s="148"/>
      <c r="AS56" s="148"/>
      <c r="AT56" s="26"/>
      <c r="AU56" s="143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26"/>
      <c r="BG56" s="26"/>
      <c r="BH56" s="26"/>
      <c r="BI56" s="26"/>
      <c r="BJ56" s="26"/>
    </row>
    <row r="57" spans="1:65" s="7" customFormat="1" x14ac:dyDescent="0.25">
      <c r="A57" s="7">
        <v>18</v>
      </c>
      <c r="B57" s="19" t="s">
        <v>111</v>
      </c>
      <c r="C57" s="130">
        <f>Määräytymistekijät!C24</f>
        <v>71664</v>
      </c>
      <c r="D57" s="42">
        <f>'Siirtyvät sote-kustannukset'!L34</f>
        <v>343806102.33392066</v>
      </c>
      <c r="E57" s="36">
        <f t="shared" si="6"/>
        <v>4797.4729617928197</v>
      </c>
      <c r="F57" s="43">
        <f>'SOTE laskennallinen rahoitus'!N69</f>
        <v>326463170.27186882</v>
      </c>
      <c r="G57" s="43">
        <f t="shared" si="7"/>
        <v>-17342932.062051833</v>
      </c>
      <c r="H57" s="131">
        <f t="shared" si="8"/>
        <v>-242.00340564372394</v>
      </c>
      <c r="J57" s="36"/>
      <c r="K57" s="36"/>
      <c r="L57" s="357"/>
      <c r="M57" s="358"/>
      <c r="P57" s="14"/>
      <c r="S57" s="14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7"/>
      <c r="AF57" s="147"/>
      <c r="AG57" s="149"/>
      <c r="AH57" s="12"/>
      <c r="AI57" s="14"/>
      <c r="AJ57" s="39"/>
      <c r="AK57" s="148"/>
      <c r="AL57" s="148"/>
      <c r="AM57" s="148"/>
      <c r="AN57" s="148"/>
      <c r="AO57" s="148"/>
      <c r="AP57" s="148"/>
      <c r="AQ57" s="148"/>
      <c r="AR57" s="148"/>
      <c r="AS57" s="148"/>
      <c r="AT57" s="26"/>
      <c r="AU57" s="143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26"/>
      <c r="BG57" s="26"/>
      <c r="BH57" s="26"/>
      <c r="BI57" s="26"/>
      <c r="BJ57" s="26"/>
    </row>
    <row r="58" spans="1:65" s="7" customFormat="1" x14ac:dyDescent="0.25">
      <c r="A58" s="7">
        <v>19</v>
      </c>
      <c r="B58" s="19" t="s">
        <v>110</v>
      </c>
      <c r="C58" s="130">
        <f>Määräytymistekijät!C25</f>
        <v>176665</v>
      </c>
      <c r="D58" s="42">
        <f>'Siirtyvät sote-kustannukset'!L35</f>
        <v>803318997.61504352</v>
      </c>
      <c r="E58" s="36">
        <f t="shared" si="6"/>
        <v>4547.1315632131073</v>
      </c>
      <c r="F58" s="43">
        <f>'SOTE laskennallinen rahoitus'!N70</f>
        <v>818245974.20773542</v>
      </c>
      <c r="G58" s="43">
        <f t="shared" si="7"/>
        <v>14926976.592691898</v>
      </c>
      <c r="H58" s="131">
        <f t="shared" si="8"/>
        <v>84.493117440873391</v>
      </c>
      <c r="J58" s="36"/>
      <c r="K58" s="36"/>
      <c r="L58" s="357"/>
      <c r="M58" s="358"/>
      <c r="P58" s="14"/>
      <c r="S58" s="14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7"/>
      <c r="AF58" s="147"/>
      <c r="AG58" s="149"/>
      <c r="AH58" s="12"/>
      <c r="AI58" s="14"/>
      <c r="AJ58" s="39"/>
      <c r="AK58" s="148"/>
      <c r="AL58" s="148"/>
      <c r="AM58" s="148"/>
      <c r="AN58" s="148"/>
      <c r="AO58" s="148"/>
      <c r="AP58" s="148"/>
      <c r="AQ58" s="148"/>
      <c r="AR58" s="148"/>
      <c r="AS58" s="148"/>
      <c r="AT58" s="26"/>
      <c r="AU58" s="143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26"/>
      <c r="BG58" s="26"/>
      <c r="BH58" s="26"/>
      <c r="BI58" s="26"/>
      <c r="BJ58" s="26"/>
    </row>
    <row r="59" spans="1:65" s="7" customFormat="1" x14ac:dyDescent="0.25">
      <c r="A59" s="26"/>
      <c r="B59" s="19" t="s">
        <v>109</v>
      </c>
      <c r="C59" s="59">
        <f>SUM(C37:C58)</f>
        <v>5503664</v>
      </c>
      <c r="D59" s="59">
        <f>SUM(D37:D58)</f>
        <v>20748303999.999996</v>
      </c>
      <c r="E59" s="59">
        <f t="shared" si="6"/>
        <v>3769.9074652813101</v>
      </c>
      <c r="F59" s="59">
        <f>SUM(F37:F58)</f>
        <v>20748304000.000004</v>
      </c>
      <c r="G59" s="59">
        <f t="shared" si="7"/>
        <v>0</v>
      </c>
      <c r="H59" s="19">
        <f t="shared" si="8"/>
        <v>0</v>
      </c>
      <c r="J59" s="36"/>
      <c r="K59" s="36"/>
      <c r="L59" s="342"/>
      <c r="M59" s="358"/>
      <c r="P59" s="14"/>
      <c r="S59" s="14"/>
      <c r="T59" s="147"/>
      <c r="U59" s="147"/>
      <c r="V59" s="147"/>
      <c r="W59" s="147"/>
      <c r="X59" s="147"/>
      <c r="Y59" s="147"/>
      <c r="Z59" s="147"/>
      <c r="AA59" s="147"/>
      <c r="AB59" s="147"/>
      <c r="AC59" s="150"/>
      <c r="AD59" s="147"/>
      <c r="AE59" s="147"/>
      <c r="AF59" s="147"/>
      <c r="AG59" s="149"/>
      <c r="AH59" s="12"/>
      <c r="AI59" s="14"/>
      <c r="AJ59" s="39"/>
      <c r="AK59" s="148"/>
      <c r="AL59" s="148"/>
      <c r="AM59" s="148"/>
      <c r="AN59" s="148"/>
      <c r="AO59" s="148"/>
      <c r="AP59" s="148"/>
      <c r="AQ59" s="148"/>
      <c r="AR59" s="148"/>
      <c r="AS59" s="148"/>
      <c r="AT59" s="26"/>
      <c r="AU59" s="143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26"/>
      <c r="BG59" s="26"/>
      <c r="BH59" s="26"/>
      <c r="BI59" s="26"/>
      <c r="BJ59" s="26"/>
    </row>
    <row r="60" spans="1:65" s="7" customFormat="1" x14ac:dyDescent="0.25">
      <c r="N60" s="43"/>
      <c r="O60" s="346"/>
      <c r="P60" s="358"/>
      <c r="Q60" s="340"/>
      <c r="R60" s="340"/>
      <c r="S60" s="340"/>
      <c r="T60" s="339"/>
      <c r="U60" s="339"/>
      <c r="V60" s="14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6"/>
      <c r="AI60" s="147"/>
      <c r="AJ60" s="287"/>
      <c r="AK60" s="12"/>
      <c r="AL60" s="12"/>
      <c r="AM60" s="12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</row>
    <row r="61" spans="1:65" s="7" customFormat="1" x14ac:dyDescent="0.25">
      <c r="A61" s="20" t="s">
        <v>549</v>
      </c>
      <c r="B61" s="154"/>
      <c r="C61" s="155"/>
      <c r="D61" s="155"/>
      <c r="E61" s="155"/>
      <c r="F61" s="155"/>
      <c r="G61" s="155"/>
      <c r="H61" s="155"/>
      <c r="I61" s="155"/>
      <c r="J61" s="155"/>
      <c r="K61" s="155"/>
      <c r="L61" s="290"/>
      <c r="M61" s="155"/>
      <c r="N61" s="84"/>
      <c r="O61" s="341"/>
      <c r="P61" s="342"/>
      <c r="Q61" s="342"/>
      <c r="R61" s="342"/>
      <c r="S61" s="342"/>
      <c r="T61" s="342"/>
      <c r="U61" s="342"/>
      <c r="V61" s="14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6"/>
      <c r="AI61" s="147"/>
      <c r="AJ61" s="287"/>
      <c r="AK61" s="12"/>
      <c r="AL61" s="12"/>
      <c r="AM61" s="12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</row>
    <row r="62" spans="1:65" s="26" customFormat="1" ht="31.5" x14ac:dyDescent="0.25">
      <c r="A62" s="325" t="s">
        <v>469</v>
      </c>
      <c r="B62" s="325" t="s">
        <v>134</v>
      </c>
      <c r="C62" s="325" t="s">
        <v>443</v>
      </c>
      <c r="D62" s="329" t="s">
        <v>487</v>
      </c>
      <c r="E62" s="327" t="s">
        <v>509</v>
      </c>
      <c r="F62" s="330" t="s">
        <v>540</v>
      </c>
      <c r="G62" s="330" t="s">
        <v>541</v>
      </c>
      <c r="H62" s="328" t="s">
        <v>691</v>
      </c>
      <c r="I62" s="328" t="s">
        <v>694</v>
      </c>
      <c r="J62" s="84"/>
      <c r="K62" s="84"/>
      <c r="L62" s="153"/>
      <c r="M62" s="84"/>
      <c r="N62" s="84"/>
      <c r="O62" s="346"/>
      <c r="P62" s="347"/>
      <c r="Q62" s="348"/>
      <c r="R62" s="348"/>
      <c r="S62" s="348"/>
      <c r="T62" s="349"/>
      <c r="U62" s="348"/>
      <c r="V62" s="14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9"/>
      <c r="AI62" s="147"/>
      <c r="AJ62" s="287"/>
      <c r="AK62" s="12"/>
      <c r="AL62" s="12"/>
      <c r="AM62" s="12"/>
    </row>
    <row r="63" spans="1:65" s="26" customFormat="1" x14ac:dyDescent="0.25">
      <c r="A63" s="79">
        <v>31</v>
      </c>
      <c r="B63" s="80" t="s">
        <v>131</v>
      </c>
      <c r="C63" s="130">
        <f>Määräytymistekijät!C4</f>
        <v>656920</v>
      </c>
      <c r="D63" s="36">
        <f>'Siirtyvät pela-kustannukset'!L13</f>
        <v>51141949.350774407</v>
      </c>
      <c r="E63" s="89">
        <f>D63/C10</f>
        <v>77.8511072136248</v>
      </c>
      <c r="F63" s="156">
        <f>'PELA laskennallinen rahoitus'!F44</f>
        <v>44656479.035417356</v>
      </c>
      <c r="G63" s="157">
        <f>F63/C63</f>
        <v>67.978565175999137</v>
      </c>
      <c r="H63" s="157">
        <f>F63-D63</f>
        <v>-6485470.3153570518</v>
      </c>
      <c r="I63" s="158">
        <f>H63/C63</f>
        <v>-9.8725420376256654</v>
      </c>
      <c r="J63" s="84"/>
      <c r="K63" s="84"/>
      <c r="L63" s="153"/>
      <c r="M63" s="84"/>
      <c r="N63" s="84"/>
      <c r="O63" s="350"/>
      <c r="P63" s="351"/>
      <c r="Q63" s="351"/>
      <c r="R63" s="351"/>
      <c r="S63" s="351"/>
      <c r="T63" s="352"/>
      <c r="U63" s="352"/>
      <c r="V63" s="14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9"/>
      <c r="AI63" s="147"/>
      <c r="AJ63" s="287"/>
      <c r="AK63" s="12"/>
      <c r="AL63" s="12"/>
      <c r="AM63" s="12"/>
    </row>
    <row r="64" spans="1:65" s="26" customFormat="1" x14ac:dyDescent="0.25">
      <c r="A64" s="79">
        <v>32</v>
      </c>
      <c r="B64" s="80" t="s">
        <v>130</v>
      </c>
      <c r="C64" s="130">
        <f>Määräytymistekijät!C5</f>
        <v>274336</v>
      </c>
      <c r="D64" s="36">
        <f>'Siirtyvät pela-kustannukset'!L14</f>
        <v>13752396.557215553</v>
      </c>
      <c r="E64" s="89">
        <f>D64/Määräytymistekijät!C5</f>
        <v>50.129755326371871</v>
      </c>
      <c r="F64" s="156">
        <f>'PELA laskennallinen rahoitus'!F45</f>
        <v>21835827.459860653</v>
      </c>
      <c r="G64" s="157">
        <f>F64/C64</f>
        <v>79.595195161628993</v>
      </c>
      <c r="H64" s="157">
        <f t="shared" ref="H64:H84" si="9">F64-D64</f>
        <v>8083430.9026450999</v>
      </c>
      <c r="I64" s="158">
        <f t="shared" ref="I64:I85" si="10">H64/C64</f>
        <v>29.465439835257129</v>
      </c>
      <c r="J64" s="84"/>
      <c r="K64" s="84"/>
      <c r="L64" s="153"/>
      <c r="M64" s="84"/>
      <c r="N64" s="84"/>
      <c r="O64" s="350"/>
      <c r="P64" s="351"/>
      <c r="Q64" s="351"/>
      <c r="R64" s="351"/>
      <c r="S64" s="351"/>
      <c r="T64" s="352"/>
      <c r="U64" s="352"/>
      <c r="V64" s="14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9"/>
      <c r="AI64" s="147"/>
      <c r="AJ64" s="287"/>
      <c r="AK64" s="12"/>
      <c r="AL64" s="12"/>
      <c r="AM64" s="12"/>
    </row>
    <row r="65" spans="1:65" s="26" customFormat="1" x14ac:dyDescent="0.25">
      <c r="A65" s="79">
        <v>33</v>
      </c>
      <c r="B65" s="80" t="s">
        <v>129</v>
      </c>
      <c r="C65" s="130">
        <f>Määräytymistekijät!C6</f>
        <v>473838</v>
      </c>
      <c r="D65" s="36">
        <f>'Siirtyvät pela-kustannukset'!L15</f>
        <v>34904755.28253033</v>
      </c>
      <c r="E65" s="89">
        <f>D65/Määräytymistekijät!C6</f>
        <v>73.663900494536804</v>
      </c>
      <c r="F65" s="156">
        <f>'PELA laskennallinen rahoitus'!F46</f>
        <v>38122473.966420889</v>
      </c>
      <c r="G65" s="157">
        <f t="shared" ref="G65:G85" si="11">F65/C65</f>
        <v>80.454657428110224</v>
      </c>
      <c r="H65" s="157">
        <f t="shared" si="9"/>
        <v>3217718.6838905588</v>
      </c>
      <c r="I65" s="158">
        <f t="shared" si="10"/>
        <v>6.7907569335734124</v>
      </c>
      <c r="J65" s="84"/>
      <c r="K65" s="84"/>
      <c r="L65" s="153"/>
      <c r="M65" s="84"/>
      <c r="N65" s="84"/>
      <c r="O65" s="350"/>
      <c r="P65" s="351"/>
      <c r="Q65" s="351"/>
      <c r="R65" s="351"/>
      <c r="S65" s="351"/>
      <c r="T65" s="352"/>
      <c r="U65" s="352"/>
      <c r="V65" s="14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9"/>
      <c r="AI65" s="147"/>
      <c r="AJ65" s="287"/>
      <c r="AK65" s="12"/>
      <c r="AL65" s="12"/>
      <c r="AM65" s="12"/>
    </row>
    <row r="66" spans="1:65" s="26" customFormat="1" x14ac:dyDescent="0.25">
      <c r="A66" s="79">
        <v>34</v>
      </c>
      <c r="B66" s="80" t="s">
        <v>128</v>
      </c>
      <c r="C66" s="130">
        <f>Määräytymistekijät!C7</f>
        <v>98254</v>
      </c>
      <c r="D66" s="36">
        <f>'Siirtyvät pela-kustannukset'!L16</f>
        <v>11438079.057276396</v>
      </c>
      <c r="E66" s="89">
        <f>D66/Määräytymistekijät!C7</f>
        <v>116.41336797765379</v>
      </c>
      <c r="F66" s="156">
        <f>'PELA laskennallinen rahoitus'!F47</f>
        <v>8304817.7628199235</v>
      </c>
      <c r="G66" s="157">
        <f t="shared" si="11"/>
        <v>84.523966075884175</v>
      </c>
      <c r="H66" s="157">
        <f t="shared" si="9"/>
        <v>-3133261.2944564726</v>
      </c>
      <c r="I66" s="158">
        <f t="shared" si="10"/>
        <v>-31.889401901769624</v>
      </c>
      <c r="J66" s="84"/>
      <c r="K66" s="84"/>
      <c r="L66" s="153"/>
      <c r="M66" s="84"/>
      <c r="N66" s="84"/>
      <c r="O66" s="350"/>
      <c r="P66" s="351"/>
      <c r="Q66" s="351"/>
      <c r="R66" s="351"/>
      <c r="S66" s="351"/>
      <c r="T66" s="352"/>
      <c r="U66" s="352"/>
      <c r="V66" s="14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9"/>
      <c r="AI66" s="147"/>
      <c r="AJ66" s="287"/>
      <c r="AK66" s="12"/>
      <c r="AL66" s="12"/>
      <c r="AM66" s="12"/>
    </row>
    <row r="67" spans="1:65" s="26" customFormat="1" x14ac:dyDescent="0.25">
      <c r="A67" s="132">
        <v>35</v>
      </c>
      <c r="B67" s="82" t="s">
        <v>127</v>
      </c>
      <c r="C67" s="130">
        <f>Määräytymistekijät!C8</f>
        <v>199330</v>
      </c>
      <c r="D67" s="36">
        <f>'Siirtyvät pela-kustannukset'!L17</f>
        <v>15866451.393525623</v>
      </c>
      <c r="E67" s="136">
        <f>D67/Määräytymistekijät!C8</f>
        <v>79.598913327274488</v>
      </c>
      <c r="F67" s="156">
        <f>'PELA laskennallinen rahoitus'!F48</f>
        <v>16843341.139133148</v>
      </c>
      <c r="G67" s="157">
        <f t="shared" si="11"/>
        <v>84.499779958526801</v>
      </c>
      <c r="H67" s="157">
        <f t="shared" si="9"/>
        <v>976889.74560752511</v>
      </c>
      <c r="I67" s="158">
        <f t="shared" si="10"/>
        <v>4.9008666312523212</v>
      </c>
      <c r="J67" s="84"/>
      <c r="K67" s="84"/>
      <c r="L67" s="153"/>
      <c r="M67" s="84"/>
      <c r="N67" s="84"/>
      <c r="O67" s="350"/>
      <c r="P67" s="351"/>
      <c r="Q67" s="351"/>
      <c r="R67" s="351"/>
      <c r="S67" s="351"/>
      <c r="T67" s="352"/>
      <c r="U67" s="352"/>
      <c r="V67" s="14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9"/>
      <c r="AI67" s="147"/>
      <c r="AJ67" s="287"/>
      <c r="AK67" s="12"/>
      <c r="AL67" s="12"/>
      <c r="AM67" s="12"/>
    </row>
    <row r="68" spans="1:65" s="26" customFormat="1" x14ac:dyDescent="0.25">
      <c r="A68" s="7">
        <v>2</v>
      </c>
      <c r="B68" s="19" t="s">
        <v>126</v>
      </c>
      <c r="C68" s="130">
        <f>Määräytymistekijät!C9</f>
        <v>481403</v>
      </c>
      <c r="D68" s="36">
        <f>'Siirtyvät pela-kustannukset'!L18</f>
        <v>38345165.144876093</v>
      </c>
      <c r="E68" s="89">
        <f>D68/Määräytymistekijät!C9</f>
        <v>79.652941807334173</v>
      </c>
      <c r="F68" s="156">
        <f>'PELA laskennallinen rahoitus'!F49</f>
        <v>41415809.099602789</v>
      </c>
      <c r="G68" s="157">
        <f t="shared" si="11"/>
        <v>86.031472798471938</v>
      </c>
      <c r="H68" s="157">
        <f t="shared" si="9"/>
        <v>3070643.954726696</v>
      </c>
      <c r="I68" s="158">
        <f t="shared" si="10"/>
        <v>6.3785309911377706</v>
      </c>
      <c r="J68" s="84"/>
      <c r="K68" s="84"/>
      <c r="L68" s="153"/>
      <c r="M68" s="84"/>
      <c r="N68" s="84"/>
      <c r="O68" s="353"/>
      <c r="P68" s="351"/>
      <c r="Q68" s="351"/>
      <c r="R68" s="351"/>
      <c r="S68" s="351"/>
      <c r="T68" s="352"/>
      <c r="U68" s="352"/>
      <c r="V68" s="14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9"/>
      <c r="AI68" s="147"/>
      <c r="AJ68" s="287"/>
      <c r="AK68" s="12"/>
      <c r="AL68" s="12"/>
      <c r="AM68" s="12"/>
    </row>
    <row r="69" spans="1:65" s="7" customFormat="1" x14ac:dyDescent="0.25">
      <c r="A69" s="7">
        <v>4</v>
      </c>
      <c r="B69" s="19" t="s">
        <v>125</v>
      </c>
      <c r="C69" s="130">
        <f>Määräytymistekijät!C10</f>
        <v>215416</v>
      </c>
      <c r="D69" s="36">
        <f>'Siirtyvät pela-kustannukset'!L19</f>
        <v>22433526.278531589</v>
      </c>
      <c r="E69" s="89">
        <f>D69/Määräytymistekijät!C10</f>
        <v>104.14048296566452</v>
      </c>
      <c r="F69" s="156">
        <f>'PELA laskennallinen rahoitus'!F50</f>
        <v>21146342.139586646</v>
      </c>
      <c r="G69" s="157">
        <f t="shared" si="11"/>
        <v>98.165141584592817</v>
      </c>
      <c r="H69" s="157">
        <f t="shared" si="9"/>
        <v>-1287184.1389449425</v>
      </c>
      <c r="I69" s="158">
        <f t="shared" si="10"/>
        <v>-5.9753413810717051</v>
      </c>
      <c r="J69" s="84"/>
      <c r="K69" s="84"/>
      <c r="L69" s="153"/>
      <c r="M69" s="84"/>
      <c r="N69" s="84"/>
      <c r="O69" s="345"/>
      <c r="P69" s="343"/>
      <c r="Q69" s="343"/>
      <c r="R69" s="343"/>
      <c r="S69" s="343"/>
      <c r="T69" s="344"/>
      <c r="U69" s="344"/>
      <c r="V69" s="14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6"/>
      <c r="AI69" s="147"/>
      <c r="AJ69" s="287"/>
      <c r="AK69" s="12"/>
      <c r="AL69" s="12"/>
      <c r="AM69" s="12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</row>
    <row r="70" spans="1:65" s="7" customFormat="1" x14ac:dyDescent="0.25">
      <c r="A70" s="7">
        <v>5</v>
      </c>
      <c r="B70" s="19" t="s">
        <v>124</v>
      </c>
      <c r="C70" s="130">
        <f>Määräytymistekijät!C11</f>
        <v>170577</v>
      </c>
      <c r="D70" s="36">
        <f>'Siirtyvät pela-kustannukset'!L20</f>
        <v>13369843.520283075</v>
      </c>
      <c r="E70" s="89">
        <f>D70/Määräytymistekijät!C11</f>
        <v>78.380107050089251</v>
      </c>
      <c r="F70" s="156">
        <f>'PELA laskennallinen rahoitus'!F51</f>
        <v>15609259.11127061</v>
      </c>
      <c r="G70" s="157">
        <f t="shared" si="11"/>
        <v>91.508580355326984</v>
      </c>
      <c r="H70" s="157">
        <f t="shared" si="9"/>
        <v>2239415.5909875352</v>
      </c>
      <c r="I70" s="158">
        <f t="shared" si="10"/>
        <v>13.128473305237724</v>
      </c>
      <c r="J70" s="84"/>
      <c r="K70" s="84"/>
      <c r="L70" s="153"/>
      <c r="M70" s="84"/>
      <c r="N70" s="84"/>
      <c r="O70" s="345"/>
      <c r="P70" s="343"/>
      <c r="Q70" s="343"/>
      <c r="R70" s="343"/>
      <c r="S70" s="343"/>
      <c r="T70" s="344"/>
      <c r="U70" s="344"/>
      <c r="V70" s="14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6"/>
      <c r="AI70" s="147"/>
      <c r="AJ70" s="287"/>
      <c r="AK70" s="12"/>
      <c r="AL70" s="12"/>
      <c r="AM70" s="12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</row>
    <row r="71" spans="1:65" s="7" customFormat="1" x14ac:dyDescent="0.25">
      <c r="A71" s="7">
        <v>6</v>
      </c>
      <c r="B71" s="19" t="s">
        <v>123</v>
      </c>
      <c r="C71" s="130">
        <f>Määräytymistekijät!C12</f>
        <v>522852</v>
      </c>
      <c r="D71" s="36">
        <f>'Siirtyvät pela-kustannukset'!L21</f>
        <v>43412324.028701164</v>
      </c>
      <c r="E71" s="89">
        <f>D71/Määräytymistekijät!C12</f>
        <v>83.029851714636578</v>
      </c>
      <c r="F71" s="156">
        <f>'PELA laskennallinen rahoitus'!F52</f>
        <v>44965208.461818591</v>
      </c>
      <c r="G71" s="157">
        <f t="shared" si="11"/>
        <v>85.999878477692718</v>
      </c>
      <c r="H71" s="157">
        <f t="shared" si="9"/>
        <v>1552884.4331174269</v>
      </c>
      <c r="I71" s="158">
        <f t="shared" si="10"/>
        <v>2.9700267630561363</v>
      </c>
      <c r="J71" s="84"/>
      <c r="K71" s="84"/>
      <c r="L71" s="153"/>
      <c r="M71" s="84"/>
      <c r="N71" s="84"/>
      <c r="O71" s="345"/>
      <c r="P71" s="343"/>
      <c r="Q71" s="343"/>
      <c r="R71" s="343"/>
      <c r="S71" s="343"/>
      <c r="T71" s="344"/>
      <c r="U71" s="344"/>
      <c r="V71" s="14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6"/>
      <c r="AI71" s="147"/>
      <c r="AJ71" s="287"/>
      <c r="AK71" s="12"/>
      <c r="AL71" s="12"/>
      <c r="AM71" s="12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</row>
    <row r="72" spans="1:65" s="7" customFormat="1" x14ac:dyDescent="0.25">
      <c r="A72" s="7">
        <v>7</v>
      </c>
      <c r="B72" s="19" t="s">
        <v>122</v>
      </c>
      <c r="C72" s="130">
        <f>Määräytymistekijät!C13</f>
        <v>205771</v>
      </c>
      <c r="D72" s="36">
        <f>'Siirtyvät pela-kustannukset'!L22</f>
        <v>21264300.419343337</v>
      </c>
      <c r="E72" s="89">
        <f>D72/Määräytymistekijät!C13</f>
        <v>103.33963687469729</v>
      </c>
      <c r="F72" s="156">
        <f>'PELA laskennallinen rahoitus'!F53</f>
        <v>18570791.330209196</v>
      </c>
      <c r="G72" s="157">
        <f t="shared" si="11"/>
        <v>90.249798709289436</v>
      </c>
      <c r="H72" s="157">
        <f t="shared" si="9"/>
        <v>-2693509.0891341418</v>
      </c>
      <c r="I72" s="158">
        <f t="shared" si="10"/>
        <v>-13.089838165407865</v>
      </c>
      <c r="J72" s="84"/>
      <c r="K72" s="84"/>
      <c r="L72" s="153"/>
      <c r="M72" s="84"/>
      <c r="N72" s="84"/>
      <c r="O72" s="345"/>
      <c r="P72" s="343"/>
      <c r="Q72" s="343"/>
      <c r="R72" s="343"/>
      <c r="S72" s="343"/>
      <c r="T72" s="344"/>
      <c r="U72" s="344"/>
      <c r="V72" s="14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6"/>
      <c r="AI72" s="147"/>
      <c r="AJ72" s="287"/>
      <c r="AK72" s="12"/>
      <c r="AL72" s="12"/>
      <c r="AM72" s="12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</row>
    <row r="73" spans="1:65" s="7" customFormat="1" x14ac:dyDescent="0.25">
      <c r="A73" s="7">
        <v>8</v>
      </c>
      <c r="B73" s="19" t="s">
        <v>121</v>
      </c>
      <c r="C73" s="130">
        <f>Määräytymistekijät!C14</f>
        <v>162812</v>
      </c>
      <c r="D73" s="36">
        <f>'Siirtyvät pela-kustannukset'!L23</f>
        <v>17130160.150426064</v>
      </c>
      <c r="E73" s="89">
        <f>D73/Määräytymistekijät!C14</f>
        <v>105.21435858797916</v>
      </c>
      <c r="F73" s="156">
        <f>'PELA laskennallinen rahoitus'!F54</f>
        <v>15979584.324340813</v>
      </c>
      <c r="G73" s="157">
        <f t="shared" si="11"/>
        <v>98.147460410416997</v>
      </c>
      <c r="H73" s="157">
        <f t="shared" si="9"/>
        <v>-1150575.8260852508</v>
      </c>
      <c r="I73" s="158">
        <f t="shared" si="10"/>
        <v>-7.0668981775621624</v>
      </c>
      <c r="J73" s="84"/>
      <c r="K73" s="84"/>
      <c r="L73" s="153"/>
      <c r="M73" s="84"/>
      <c r="N73" s="84"/>
      <c r="O73" s="345"/>
      <c r="P73" s="343"/>
      <c r="Q73" s="343"/>
      <c r="R73" s="343"/>
      <c r="S73" s="343"/>
      <c r="T73" s="344"/>
      <c r="U73" s="344"/>
      <c r="V73" s="14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6"/>
      <c r="AI73" s="147"/>
      <c r="AJ73" s="287"/>
      <c r="AK73" s="12"/>
      <c r="AL73" s="12"/>
      <c r="AM73" s="12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</row>
    <row r="74" spans="1:65" s="7" customFormat="1" x14ac:dyDescent="0.25">
      <c r="A74" s="7">
        <v>9</v>
      </c>
      <c r="B74" s="19" t="s">
        <v>120</v>
      </c>
      <c r="C74" s="130">
        <f>Määräytymistekijät!C15</f>
        <v>126921</v>
      </c>
      <c r="D74" s="36">
        <f>'Siirtyvät pela-kustannukset'!L24</f>
        <v>13593213.414330894</v>
      </c>
      <c r="E74" s="89">
        <f>D74/Määräytymistekijät!C15</f>
        <v>107.09979762475</v>
      </c>
      <c r="F74" s="156">
        <f>'PELA laskennallinen rahoitus'!F55</f>
        <v>12513512.602089183</v>
      </c>
      <c r="G74" s="157">
        <f t="shared" si="11"/>
        <v>98.592924749168247</v>
      </c>
      <c r="H74" s="157">
        <f t="shared" si="9"/>
        <v>-1079700.8122417107</v>
      </c>
      <c r="I74" s="158">
        <f t="shared" si="10"/>
        <v>-8.5068728755817453</v>
      </c>
      <c r="J74" s="84"/>
      <c r="K74" s="84"/>
      <c r="L74" s="153"/>
      <c r="M74" s="84"/>
      <c r="N74" s="84"/>
      <c r="O74" s="345"/>
      <c r="P74" s="343"/>
      <c r="Q74" s="343"/>
      <c r="R74" s="343"/>
      <c r="S74" s="343"/>
      <c r="T74" s="344"/>
      <c r="U74" s="344"/>
      <c r="V74" s="14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6"/>
      <c r="AI74" s="147"/>
      <c r="AJ74" s="287"/>
      <c r="AK74" s="12"/>
      <c r="AL74" s="12"/>
      <c r="AM74" s="12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</row>
    <row r="75" spans="1:65" s="7" customFormat="1" x14ac:dyDescent="0.25">
      <c r="A75" s="13">
        <v>10</v>
      </c>
      <c r="B75" s="127" t="s">
        <v>119</v>
      </c>
      <c r="C75" s="130">
        <f>Määräytymistekijät!C16</f>
        <v>132702</v>
      </c>
      <c r="D75" s="36">
        <f>'Siirtyvät pela-kustannukset'!L25</f>
        <v>13585511.004191319</v>
      </c>
      <c r="E75" s="140">
        <f>D75/Määräytymistekijät!C16</f>
        <v>102.37608328579311</v>
      </c>
      <c r="F75" s="156">
        <f>'PELA laskennallinen rahoitus'!F56</f>
        <v>13108771.412187137</v>
      </c>
      <c r="G75" s="157">
        <f t="shared" si="11"/>
        <v>98.783525585048736</v>
      </c>
      <c r="H75" s="157">
        <f t="shared" si="9"/>
        <v>-476739.59200418182</v>
      </c>
      <c r="I75" s="158">
        <f t="shared" si="10"/>
        <v>-3.5925577007443885</v>
      </c>
      <c r="J75" s="84"/>
      <c r="K75" s="84"/>
      <c r="L75" s="153"/>
      <c r="M75" s="84"/>
      <c r="N75" s="84"/>
      <c r="O75" s="345"/>
      <c r="P75" s="343"/>
      <c r="Q75" s="343"/>
      <c r="R75" s="343"/>
      <c r="S75" s="343"/>
      <c r="T75" s="344"/>
      <c r="U75" s="344"/>
      <c r="V75" s="14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6"/>
      <c r="AI75" s="147"/>
      <c r="AJ75" s="287"/>
      <c r="AK75" s="12"/>
      <c r="AL75" s="12"/>
      <c r="AM75" s="12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</row>
    <row r="76" spans="1:65" s="7" customFormat="1" x14ac:dyDescent="0.25">
      <c r="A76" s="13">
        <v>11</v>
      </c>
      <c r="B76" s="127" t="s">
        <v>118</v>
      </c>
      <c r="C76" s="130">
        <f>Määräytymistekijät!C17</f>
        <v>248265</v>
      </c>
      <c r="D76" s="36">
        <f>'Siirtyvät pela-kustannukset'!L26</f>
        <v>22714920.995630912</v>
      </c>
      <c r="E76" s="140">
        <f>D76/Määräytymistekijät!C17</f>
        <v>91.494656901419503</v>
      </c>
      <c r="F76" s="156">
        <f>'PELA laskennallinen rahoitus'!F57</f>
        <v>22819128.408572733</v>
      </c>
      <c r="G76" s="157">
        <f t="shared" si="11"/>
        <v>91.914399567287916</v>
      </c>
      <c r="H76" s="157">
        <f t="shared" si="9"/>
        <v>104207.41294182092</v>
      </c>
      <c r="I76" s="158">
        <f t="shared" si="10"/>
        <v>0.41974266586841047</v>
      </c>
      <c r="J76" s="84"/>
      <c r="K76" s="84"/>
      <c r="L76" s="153"/>
      <c r="M76" s="84"/>
      <c r="N76" s="84"/>
      <c r="O76" s="345"/>
      <c r="P76" s="343"/>
      <c r="Q76" s="343"/>
      <c r="R76" s="343"/>
      <c r="S76" s="343"/>
      <c r="T76" s="344"/>
      <c r="U76" s="344"/>
      <c r="V76" s="14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6"/>
      <c r="AI76" s="147"/>
      <c r="AJ76" s="287"/>
      <c r="AK76" s="12"/>
      <c r="AL76" s="12"/>
      <c r="AM76" s="12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</row>
    <row r="77" spans="1:65" s="7" customFormat="1" x14ac:dyDescent="0.25">
      <c r="A77" s="7">
        <v>12</v>
      </c>
      <c r="B77" s="19" t="s">
        <v>117</v>
      </c>
      <c r="C77" s="130">
        <f>Määräytymistekijät!C18</f>
        <v>163537</v>
      </c>
      <c r="D77" s="36">
        <f>'Siirtyvät pela-kustannukset'!L27</f>
        <v>15619974.269059064</v>
      </c>
      <c r="E77" s="89">
        <f>D77/Määräytymistekijät!C18</f>
        <v>95.513396167589377</v>
      </c>
      <c r="F77" s="156">
        <f>'PELA laskennallinen rahoitus'!F58</f>
        <v>15917524.720466301</v>
      </c>
      <c r="G77" s="157">
        <f t="shared" si="11"/>
        <v>97.332864859122409</v>
      </c>
      <c r="H77" s="157">
        <f t="shared" si="9"/>
        <v>297550.45140723698</v>
      </c>
      <c r="I77" s="158">
        <f t="shared" si="10"/>
        <v>1.8194686915330291</v>
      </c>
      <c r="J77" s="84"/>
      <c r="K77" s="84"/>
      <c r="L77" s="153"/>
      <c r="M77" s="84"/>
      <c r="N77" s="84"/>
      <c r="O77" s="345"/>
      <c r="P77" s="343"/>
      <c r="Q77" s="343"/>
      <c r="R77" s="343"/>
      <c r="S77" s="343"/>
      <c r="T77" s="344"/>
      <c r="U77" s="344"/>
      <c r="V77" s="14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6"/>
      <c r="AI77" s="147"/>
      <c r="AJ77" s="287"/>
      <c r="AK77" s="12"/>
      <c r="AL77" s="12"/>
      <c r="AM77" s="12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</row>
    <row r="78" spans="1:65" s="7" customFormat="1" x14ac:dyDescent="0.25">
      <c r="A78" s="7">
        <v>13</v>
      </c>
      <c r="B78" s="19" t="s">
        <v>116</v>
      </c>
      <c r="C78" s="130">
        <f>Määräytymistekijät!C19</f>
        <v>272617</v>
      </c>
      <c r="D78" s="36">
        <f>'Siirtyvät pela-kustannukset'!L28</f>
        <v>26767415.717068635</v>
      </c>
      <c r="E78" s="89">
        <f>D78/Määräytymistekijät!C19</f>
        <v>98.186891195591741</v>
      </c>
      <c r="F78" s="156">
        <f>'PELA laskennallinen rahoitus'!F59</f>
        <v>23846095.487175751</v>
      </c>
      <c r="G78" s="157">
        <f t="shared" si="11"/>
        <v>87.471050914564216</v>
      </c>
      <c r="H78" s="157">
        <f t="shared" si="9"/>
        <v>-2921320.2298928834</v>
      </c>
      <c r="I78" s="158">
        <f t="shared" si="10"/>
        <v>-10.715840281027535</v>
      </c>
      <c r="J78" s="84"/>
      <c r="K78" s="84"/>
      <c r="L78" s="153"/>
      <c r="M78" s="84"/>
      <c r="N78" s="84"/>
      <c r="O78" s="345"/>
      <c r="P78" s="343"/>
      <c r="Q78" s="343"/>
      <c r="R78" s="343"/>
      <c r="S78" s="343"/>
      <c r="T78" s="344"/>
      <c r="U78" s="344"/>
      <c r="V78" s="14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6"/>
      <c r="AI78" s="147"/>
      <c r="AJ78" s="287"/>
      <c r="AK78" s="12"/>
      <c r="AL78" s="12"/>
      <c r="AM78" s="12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</row>
    <row r="79" spans="1:65" s="7" customFormat="1" x14ac:dyDescent="0.25">
      <c r="A79" s="7">
        <v>14</v>
      </c>
      <c r="B79" s="19" t="s">
        <v>132</v>
      </c>
      <c r="C79" s="130">
        <f>Määräytymistekijät!C20</f>
        <v>192150</v>
      </c>
      <c r="D79" s="36">
        <f>'Siirtyvät pela-kustannukset'!L29</f>
        <v>19928189.00713085</v>
      </c>
      <c r="E79" s="89">
        <f>D79/Määräytymistekijät!C20</f>
        <v>103.71162637070439</v>
      </c>
      <c r="F79" s="156">
        <f>'PELA laskennallinen rahoitus'!F60</f>
        <v>18384545.625244677</v>
      </c>
      <c r="G79" s="157">
        <f t="shared" si="11"/>
        <v>95.678093287768291</v>
      </c>
      <c r="H79" s="157">
        <f t="shared" si="9"/>
        <v>-1543643.381886173</v>
      </c>
      <c r="I79" s="158">
        <f t="shared" si="10"/>
        <v>-8.033533082936108</v>
      </c>
      <c r="J79" s="84"/>
      <c r="K79" s="84"/>
      <c r="L79" s="153"/>
      <c r="M79" s="84"/>
      <c r="N79" s="84"/>
      <c r="O79" s="345"/>
      <c r="P79" s="343"/>
      <c r="Q79" s="343"/>
      <c r="R79" s="343"/>
      <c r="S79" s="343"/>
      <c r="T79" s="344"/>
      <c r="U79" s="344"/>
      <c r="V79" s="14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6"/>
      <c r="AI79" s="147"/>
      <c r="AJ79" s="287"/>
      <c r="AK79" s="12"/>
      <c r="AL79" s="12"/>
      <c r="AM79" s="12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</row>
    <row r="80" spans="1:65" s="7" customFormat="1" x14ac:dyDescent="0.25">
      <c r="A80" s="7">
        <v>15</v>
      </c>
      <c r="B80" s="19" t="s">
        <v>114</v>
      </c>
      <c r="C80" s="130">
        <f>Määräytymistekijät!C21</f>
        <v>175816</v>
      </c>
      <c r="D80" s="36">
        <f>'Siirtyvät pela-kustannukset'!L30</f>
        <v>15498276.1888537</v>
      </c>
      <c r="E80" s="89">
        <f>D80/Määräytymistekijät!C21</f>
        <v>88.150544824439748</v>
      </c>
      <c r="F80" s="156">
        <f>'PELA laskennallinen rahoitus'!F61</f>
        <v>15784267.915331934</v>
      </c>
      <c r="G80" s="157">
        <f t="shared" si="11"/>
        <v>89.777198408176346</v>
      </c>
      <c r="H80" s="157">
        <f t="shared" si="9"/>
        <v>285991.72647823393</v>
      </c>
      <c r="I80" s="158">
        <f t="shared" si="10"/>
        <v>1.6266535837365992</v>
      </c>
      <c r="J80" s="84"/>
      <c r="K80" s="84"/>
      <c r="L80" s="153"/>
      <c r="M80" s="84"/>
      <c r="N80" s="84"/>
      <c r="O80" s="345"/>
      <c r="P80" s="343"/>
      <c r="Q80" s="343"/>
      <c r="R80" s="343"/>
      <c r="S80" s="343"/>
      <c r="T80" s="344"/>
      <c r="U80" s="344"/>
      <c r="V80" s="14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6"/>
      <c r="AI80" s="147"/>
      <c r="AJ80" s="287"/>
      <c r="AK80" s="12"/>
      <c r="AL80" s="12"/>
      <c r="AM80" s="12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</row>
    <row r="81" spans="1:66" s="7" customFormat="1" x14ac:dyDescent="0.25">
      <c r="A81" s="7">
        <v>16</v>
      </c>
      <c r="B81" s="19" t="s">
        <v>113</v>
      </c>
      <c r="C81" s="130">
        <f>Määräytymistekijät!C22</f>
        <v>67988</v>
      </c>
      <c r="D81" s="36">
        <f>'Siirtyvät pela-kustannukset'!L31</f>
        <v>8434652.5968494751</v>
      </c>
      <c r="E81" s="89">
        <f>D81/Määräytymistekijät!C22</f>
        <v>124.06090187752949</v>
      </c>
      <c r="F81" s="156">
        <f>'PELA laskennallinen rahoitus'!F62</f>
        <v>6356820.5918329349</v>
      </c>
      <c r="G81" s="157">
        <f t="shared" si="11"/>
        <v>93.499155613239608</v>
      </c>
      <c r="H81" s="157">
        <f t="shared" si="9"/>
        <v>-2077832.0050165402</v>
      </c>
      <c r="I81" s="158">
        <f t="shared" si="10"/>
        <v>-30.561746264289877</v>
      </c>
      <c r="J81" s="84"/>
      <c r="K81" s="84"/>
      <c r="L81" s="153"/>
      <c r="M81" s="84"/>
      <c r="N81" s="84"/>
      <c r="O81" s="345"/>
      <c r="P81" s="343"/>
      <c r="Q81" s="343"/>
      <c r="R81" s="343"/>
      <c r="S81" s="343"/>
      <c r="T81" s="344"/>
      <c r="U81" s="344"/>
      <c r="V81" s="14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6"/>
      <c r="AI81" s="147"/>
      <c r="AJ81" s="287"/>
      <c r="AK81" s="12"/>
      <c r="AL81" s="12"/>
      <c r="AM81" s="12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</row>
    <row r="82" spans="1:66" s="7" customFormat="1" x14ac:dyDescent="0.25">
      <c r="A82" s="7">
        <v>17</v>
      </c>
      <c r="B82" s="19" t="s">
        <v>112</v>
      </c>
      <c r="C82" s="130">
        <f>Määräytymistekijät!C23</f>
        <v>413830</v>
      </c>
      <c r="D82" s="36">
        <f>'Siirtyvät pela-kustannukset'!L32</f>
        <v>36582853.70494017</v>
      </c>
      <c r="E82" s="89">
        <f>D82/Määräytymistekijät!C23</f>
        <v>88.400680726240651</v>
      </c>
      <c r="F82" s="156">
        <f>'PELA laskennallinen rahoitus'!F63</f>
        <v>37793371.955958217</v>
      </c>
      <c r="G82" s="157">
        <f t="shared" si="11"/>
        <v>91.325839006254299</v>
      </c>
      <c r="H82" s="157">
        <f t="shared" si="9"/>
        <v>1210518.2510180473</v>
      </c>
      <c r="I82" s="158">
        <f t="shared" si="10"/>
        <v>2.9251582800136466</v>
      </c>
      <c r="J82" s="84"/>
      <c r="K82" s="84"/>
      <c r="L82" s="153"/>
      <c r="M82" s="84"/>
      <c r="N82" s="84"/>
      <c r="O82" s="345"/>
      <c r="P82" s="343"/>
      <c r="Q82" s="343"/>
      <c r="R82" s="343"/>
      <c r="S82" s="343"/>
      <c r="T82" s="344"/>
      <c r="U82" s="344"/>
      <c r="V82" s="14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6"/>
      <c r="AI82" s="147"/>
      <c r="AJ82" s="287"/>
      <c r="AK82" s="12"/>
      <c r="AL82" s="12"/>
      <c r="AM82" s="12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</row>
    <row r="83" spans="1:66" s="7" customFormat="1" x14ac:dyDescent="0.25">
      <c r="A83" s="7">
        <v>18</v>
      </c>
      <c r="B83" s="19" t="s">
        <v>111</v>
      </c>
      <c r="C83" s="130">
        <f>Määräytymistekijät!C24</f>
        <v>71664</v>
      </c>
      <c r="D83" s="36">
        <f>'Siirtyvät pela-kustannukset'!L33</f>
        <v>10377713.928060874</v>
      </c>
      <c r="E83" s="89">
        <f>D83/Määräytymistekijät!C24</f>
        <v>144.81069892918165</v>
      </c>
      <c r="F83" s="156">
        <f>'PELA laskennallinen rahoitus'!F64</f>
        <v>8514583.1008033697</v>
      </c>
      <c r="G83" s="157">
        <f t="shared" si="11"/>
        <v>118.81255722264135</v>
      </c>
      <c r="H83" s="157">
        <f t="shared" si="9"/>
        <v>-1863130.8272575047</v>
      </c>
      <c r="I83" s="158">
        <f t="shared" si="10"/>
        <v>-25.998141706540309</v>
      </c>
      <c r="J83" s="84"/>
      <c r="K83" s="84"/>
      <c r="L83" s="153"/>
      <c r="M83" s="84"/>
      <c r="N83" s="84"/>
      <c r="O83" s="345"/>
      <c r="P83" s="343"/>
      <c r="Q83" s="343"/>
      <c r="R83" s="343"/>
      <c r="S83" s="343"/>
      <c r="T83" s="344"/>
      <c r="U83" s="344"/>
      <c r="V83" s="14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6"/>
      <c r="AI83" s="147"/>
      <c r="AJ83" s="287"/>
      <c r="AK83" s="12"/>
      <c r="AL83" s="12"/>
      <c r="AM83" s="12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</row>
    <row r="84" spans="1:66" s="7" customFormat="1" x14ac:dyDescent="0.25">
      <c r="A84" s="7">
        <v>19</v>
      </c>
      <c r="B84" s="19" t="s">
        <v>110</v>
      </c>
      <c r="C84" s="130">
        <f>Määräytymistekijät!C25</f>
        <v>176665</v>
      </c>
      <c r="D84" s="36">
        <f>'Siirtyvät pela-kustannukset'!L34</f>
        <v>19115327.990400501</v>
      </c>
      <c r="E84" s="89">
        <f>D84/Määräytymistekijät!C25</f>
        <v>108.20099052104548</v>
      </c>
      <c r="F84" s="156">
        <f>'PELA laskennallinen rahoitus'!F65</f>
        <v>22788444.349857241</v>
      </c>
      <c r="G84" s="157">
        <f t="shared" si="11"/>
        <v>128.99241134269516</v>
      </c>
      <c r="H84" s="157">
        <f t="shared" si="9"/>
        <v>3673116.3594567403</v>
      </c>
      <c r="I84" s="158">
        <f t="shared" si="10"/>
        <v>20.791420821649677</v>
      </c>
      <c r="J84" s="84"/>
      <c r="K84" s="84"/>
      <c r="L84" s="153"/>
      <c r="M84" s="84"/>
      <c r="N84" s="84"/>
      <c r="O84" s="345"/>
      <c r="P84" s="343"/>
      <c r="Q84" s="343"/>
      <c r="R84" s="343"/>
      <c r="S84" s="343"/>
      <c r="T84" s="344"/>
      <c r="U84" s="344"/>
      <c r="V84" s="14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6"/>
      <c r="AI84" s="147"/>
      <c r="AJ84" s="287"/>
      <c r="AK84" s="12"/>
      <c r="AL84" s="12"/>
      <c r="AM84" s="12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</row>
    <row r="85" spans="1:66" s="7" customFormat="1" x14ac:dyDescent="0.25">
      <c r="A85" s="143"/>
      <c r="B85" s="19" t="s">
        <v>109</v>
      </c>
      <c r="C85" s="59">
        <f>SUM(C63:C84)</f>
        <v>5503664</v>
      </c>
      <c r="D85" s="59">
        <f>SUM(D63:D84)</f>
        <v>485277000.00000006</v>
      </c>
      <c r="E85" s="60">
        <f>D85/Määräytymistekijät!C26</f>
        <v>88.173442274092324</v>
      </c>
      <c r="F85" s="59">
        <f>SUM(F63:F84)</f>
        <v>485277000.00000012</v>
      </c>
      <c r="G85" s="159">
        <f t="shared" si="11"/>
        <v>88.173442274092338</v>
      </c>
      <c r="H85" s="59">
        <f>SUM(H63:H84)</f>
        <v>6.7986547946929932E-8</v>
      </c>
      <c r="I85" s="158">
        <f t="shared" si="10"/>
        <v>1.2352961217641545E-14</v>
      </c>
      <c r="J85" s="84"/>
      <c r="K85" s="84"/>
      <c r="L85" s="153"/>
      <c r="M85" s="84"/>
      <c r="N85" s="84"/>
      <c r="O85" s="59"/>
      <c r="S85" s="14"/>
      <c r="V85" s="14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6"/>
      <c r="AI85" s="147"/>
      <c r="AJ85" s="287"/>
      <c r="AK85" s="12"/>
      <c r="AL85" s="12"/>
      <c r="AM85" s="12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</row>
    <row r="86" spans="1:66" s="7" customFormat="1" x14ac:dyDescent="0.25">
      <c r="A86" s="13"/>
      <c r="B86" s="151"/>
      <c r="C86" s="152"/>
      <c r="D86" s="152"/>
      <c r="E86" s="152"/>
      <c r="F86" s="152"/>
      <c r="G86" s="152"/>
      <c r="H86" s="152"/>
      <c r="I86" s="84"/>
      <c r="J86" s="84"/>
      <c r="K86" s="84"/>
      <c r="L86" s="153"/>
      <c r="M86" s="84"/>
      <c r="N86" s="84"/>
      <c r="O86" s="59"/>
      <c r="S86" s="14"/>
      <c r="V86" s="14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6"/>
      <c r="AI86" s="147"/>
      <c r="AJ86" s="287"/>
      <c r="AK86" s="12"/>
      <c r="AL86" s="12"/>
      <c r="AM86" s="12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</row>
    <row r="87" spans="1:66" x14ac:dyDescent="0.25">
      <c r="A87" s="20" t="s">
        <v>696</v>
      </c>
      <c r="B87" s="20"/>
      <c r="C87" s="20"/>
      <c r="D87" s="20"/>
      <c r="E87" s="20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13"/>
      <c r="Q87" s="13"/>
      <c r="R87" s="13"/>
      <c r="S87" s="13"/>
      <c r="T87" s="13"/>
      <c r="U87" s="13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</row>
    <row r="88" spans="1:66" s="7" customFormat="1" ht="47.25" x14ac:dyDescent="0.25">
      <c r="A88" s="325" t="s">
        <v>469</v>
      </c>
      <c r="B88" s="325" t="s">
        <v>134</v>
      </c>
      <c r="C88" s="49" t="s">
        <v>431</v>
      </c>
      <c r="D88" s="331" t="s">
        <v>542</v>
      </c>
      <c r="E88" s="331" t="s">
        <v>543</v>
      </c>
      <c r="F88" s="331" t="s">
        <v>544</v>
      </c>
      <c r="G88" s="49" t="s">
        <v>433</v>
      </c>
      <c r="H88" s="49" t="s">
        <v>430</v>
      </c>
      <c r="I88" s="49" t="s">
        <v>429</v>
      </c>
      <c r="J88" s="49" t="s">
        <v>480</v>
      </c>
      <c r="K88" s="49" t="s">
        <v>479</v>
      </c>
      <c r="L88" s="49" t="s">
        <v>559</v>
      </c>
      <c r="M88" s="49" t="s">
        <v>662</v>
      </c>
      <c r="N88" s="50" t="s">
        <v>589</v>
      </c>
      <c r="O88" s="322" t="s">
        <v>507</v>
      </c>
      <c r="P88" s="333" t="s">
        <v>508</v>
      </c>
      <c r="T88" s="14"/>
      <c r="W88" s="14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3"/>
      <c r="AK88" s="192"/>
      <c r="AL88" s="12"/>
      <c r="AM88" s="14"/>
      <c r="AN88" s="192"/>
      <c r="AO88" s="144"/>
      <c r="AP88" s="144"/>
      <c r="AQ88" s="144"/>
      <c r="AR88" s="144"/>
      <c r="AS88" s="144"/>
      <c r="AT88" s="144"/>
      <c r="AU88" s="144"/>
      <c r="AV88" s="144"/>
      <c r="AW88" s="18"/>
      <c r="AX88" s="145"/>
      <c r="AY88" s="143"/>
      <c r="AZ88" s="144"/>
      <c r="BA88" s="144"/>
      <c r="BB88" s="144"/>
      <c r="BC88" s="144"/>
      <c r="BD88" s="144"/>
      <c r="BE88" s="144"/>
      <c r="BF88" s="144"/>
      <c r="BG88" s="144"/>
      <c r="BH88" s="144"/>
      <c r="BI88" s="18"/>
      <c r="BJ88" s="26"/>
      <c r="BK88" s="26"/>
      <c r="BL88" s="26"/>
      <c r="BM88" s="26"/>
      <c r="BN88" s="26"/>
    </row>
    <row r="89" spans="1:66" s="7" customFormat="1" x14ac:dyDescent="0.25">
      <c r="A89" s="79">
        <v>31</v>
      </c>
      <c r="B89" s="80" t="s">
        <v>131</v>
      </c>
      <c r="C89" s="42">
        <f>'SOTE laskennallinen rahoitus'!C49+'PELA laskennallinen rahoitus'!C44</f>
        <v>327997980.74588913</v>
      </c>
      <c r="D89" s="36">
        <f>'SOTE laskennallinen rahoitus'!D49</f>
        <v>1054181621.869656</v>
      </c>
      <c r="E89" s="36">
        <f>'SOTE laskennallinen rahoitus'!E49</f>
        <v>293744821.62351114</v>
      </c>
      <c r="F89" s="36">
        <f>'SOTE laskennallinen rahoitus'!F49</f>
        <v>353425363.11514169</v>
      </c>
      <c r="G89" s="36">
        <f>'SOTE laskennallinen rahoitus'!G49</f>
        <v>105407476.02193861</v>
      </c>
      <c r="H89" s="36">
        <f>'SOTE laskennallinen rahoitus'!H49</f>
        <v>15126416.57507835</v>
      </c>
      <c r="I89" s="42">
        <f>'SOTE laskennallinen rahoitus'!I49+'PELA laskennallinen rahoitus'!D44</f>
        <v>266534.31505744427</v>
      </c>
      <c r="J89" s="36">
        <f>'SOTE laskennallinen rahoitus'!J49</f>
        <v>0</v>
      </c>
      <c r="K89" s="36">
        <f>'SOTE laskennallinen rahoitus'!K49</f>
        <v>24765276.120925982</v>
      </c>
      <c r="L89" s="36">
        <f>'SOTE laskennallinen rahoitus'!L49</f>
        <v>0</v>
      </c>
      <c r="M89" s="36">
        <f>'SOTE laskennallinen rahoitus'!M49</f>
        <v>68776391.790914163</v>
      </c>
      <c r="N89" s="42">
        <f>'PELA laskennallinen rahoitus'!E44</f>
        <v>6960618.2333873585</v>
      </c>
      <c r="O89" s="160">
        <f t="shared" ref="O89:O110" si="12">SUM(C89:N89)</f>
        <v>2250652500.4114995</v>
      </c>
      <c r="P89" s="27">
        <f>O89/Määräytymistekijät!C4</f>
        <v>3426.0678627709608</v>
      </c>
      <c r="R89" s="36"/>
      <c r="T89" s="82"/>
      <c r="W89" s="82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7"/>
      <c r="AJ89" s="147"/>
      <c r="AK89" s="149"/>
      <c r="AL89" s="12"/>
      <c r="AM89" s="82"/>
      <c r="AN89" s="39"/>
      <c r="AO89" s="148"/>
      <c r="AP89" s="148"/>
      <c r="AQ89" s="148"/>
      <c r="AR89" s="148"/>
      <c r="AS89" s="148"/>
      <c r="AT89" s="148"/>
      <c r="AU89" s="148"/>
      <c r="AV89" s="148"/>
      <c r="AW89" s="148"/>
      <c r="AX89" s="26"/>
      <c r="AY89" s="82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26"/>
      <c r="BK89" s="26"/>
      <c r="BL89" s="26"/>
      <c r="BM89" s="26"/>
      <c r="BN89" s="26"/>
    </row>
    <row r="90" spans="1:66" s="7" customFormat="1" x14ac:dyDescent="0.25">
      <c r="A90" s="79">
        <v>32</v>
      </c>
      <c r="B90" s="80" t="s">
        <v>130</v>
      </c>
      <c r="C90" s="42">
        <f>'SOTE laskennallinen rahoitus'!C50+'PELA laskennallinen rahoitus'!C45</f>
        <v>136975056.39332679</v>
      </c>
      <c r="D90" s="36">
        <f>'SOTE laskennallinen rahoitus'!D50</f>
        <v>428214439.57022524</v>
      </c>
      <c r="E90" s="36">
        <f>'SOTE laskennallinen rahoitus'!E50</f>
        <v>91553171.681956589</v>
      </c>
      <c r="F90" s="36">
        <f>'SOTE laskennallinen rahoitus'!F50</f>
        <v>146743566.4938913</v>
      </c>
      <c r="G90" s="36">
        <f>'SOTE laskennallinen rahoitus'!G50</f>
        <v>53841228.75940749</v>
      </c>
      <c r="H90" s="36">
        <f>'SOTE laskennallinen rahoitus'!H50</f>
        <v>2482931.686277621</v>
      </c>
      <c r="I90" s="42">
        <f>'SOTE laskennallinen rahoitus'!I50+'PELA laskennallinen rahoitus'!D45</f>
        <v>294290.70422169304</v>
      </c>
      <c r="J90" s="36">
        <f>'SOTE laskennallinen rahoitus'!J50</f>
        <v>0</v>
      </c>
      <c r="K90" s="36">
        <f>'SOTE laskennallinen rahoitus'!K50</f>
        <v>10342213.343954135</v>
      </c>
      <c r="L90" s="36">
        <f>'SOTE laskennallinen rahoitus'!L50</f>
        <v>0</v>
      </c>
      <c r="M90" s="36">
        <f>'SOTE laskennallinen rahoitus'!M50</f>
        <v>28721671.159885876</v>
      </c>
      <c r="N90" s="42">
        <f>'PELA laskennallinen rahoitus'!E45</f>
        <v>6095456.6450567264</v>
      </c>
      <c r="O90" s="160">
        <f t="shared" si="12"/>
        <v>905264026.43820333</v>
      </c>
      <c r="P90" s="27">
        <f>O90/Määräytymistekijät!C5</f>
        <v>3299.8367929772371</v>
      </c>
      <c r="R90" s="36"/>
      <c r="T90" s="82"/>
      <c r="W90" s="82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7"/>
      <c r="AJ90" s="147"/>
      <c r="AK90" s="149"/>
      <c r="AL90" s="12"/>
      <c r="AM90" s="82"/>
      <c r="AN90" s="39"/>
      <c r="AO90" s="148"/>
      <c r="AP90" s="148"/>
      <c r="AQ90" s="148"/>
      <c r="AR90" s="148"/>
      <c r="AS90" s="148"/>
      <c r="AT90" s="148"/>
      <c r="AU90" s="148"/>
      <c r="AV90" s="148"/>
      <c r="AW90" s="148"/>
      <c r="AX90" s="26"/>
      <c r="AY90" s="82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26"/>
      <c r="BK90" s="26"/>
      <c r="BL90" s="26"/>
      <c r="BM90" s="26"/>
      <c r="BN90" s="26"/>
    </row>
    <row r="91" spans="1:66" s="7" customFormat="1" x14ac:dyDescent="0.25">
      <c r="A91" s="79">
        <v>33</v>
      </c>
      <c r="B91" s="80" t="s">
        <v>129</v>
      </c>
      <c r="C91" s="42">
        <f>'SOTE laskennallinen rahoitus'!C51+'PELA laskennallinen rahoitus'!C46</f>
        <v>236585744.3838985</v>
      </c>
      <c r="D91" s="36">
        <f>'SOTE laskennallinen rahoitus'!D51</f>
        <v>724987133.6727699</v>
      </c>
      <c r="E91" s="36">
        <f>'SOTE laskennallinen rahoitus'!E51</f>
        <v>175695983.25112286</v>
      </c>
      <c r="F91" s="36">
        <f>'SOTE laskennallinen rahoitus'!F51</f>
        <v>236580101.60791332</v>
      </c>
      <c r="G91" s="36">
        <f>'SOTE laskennallinen rahoitus'!G51</f>
        <v>64818641.597176522</v>
      </c>
      <c r="H91" s="36">
        <f>'SOTE laskennallinen rahoitus'!H51</f>
        <v>23611104.067917641</v>
      </c>
      <c r="I91" s="42">
        <f>'SOTE laskennallinen rahoitus'!I51+'PELA laskennallinen rahoitus'!D46</f>
        <v>4874139.8339218143</v>
      </c>
      <c r="J91" s="36">
        <f>'SOTE laskennallinen rahoitus'!J51</f>
        <v>0</v>
      </c>
      <c r="K91" s="36">
        <f>'SOTE laskennallinen rahoitus'!K51</f>
        <v>17863254.135339655</v>
      </c>
      <c r="L91" s="36">
        <f>'SOTE laskennallinen rahoitus'!L51</f>
        <v>0</v>
      </c>
      <c r="M91" s="36">
        <f>'SOTE laskennallinen rahoitus'!M51</f>
        <v>49608579.329938479</v>
      </c>
      <c r="N91" s="42">
        <f>'PELA laskennallinen rahoitus'!E46</f>
        <v>10460590.113452189</v>
      </c>
      <c r="O91" s="160">
        <f t="shared" si="12"/>
        <v>1545085271.9934509</v>
      </c>
      <c r="P91" s="27">
        <f>O91/Määräytymistekijät!C6</f>
        <v>3260.7880161435996</v>
      </c>
      <c r="R91" s="36"/>
      <c r="T91" s="82"/>
      <c r="W91" s="82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7"/>
      <c r="AJ91" s="147"/>
      <c r="AK91" s="149"/>
      <c r="AL91" s="12"/>
      <c r="AM91" s="82"/>
      <c r="AN91" s="39"/>
      <c r="AO91" s="148"/>
      <c r="AP91" s="148"/>
      <c r="AQ91" s="148"/>
      <c r="AR91" s="148"/>
      <c r="AS91" s="148"/>
      <c r="AT91" s="148"/>
      <c r="AU91" s="148"/>
      <c r="AV91" s="148"/>
      <c r="AW91" s="148"/>
      <c r="AX91" s="26"/>
      <c r="AY91" s="82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26"/>
      <c r="BK91" s="26"/>
      <c r="BL91" s="26"/>
      <c r="BM91" s="26"/>
      <c r="BN91" s="26"/>
    </row>
    <row r="92" spans="1:66" s="7" customFormat="1" x14ac:dyDescent="0.25">
      <c r="A92" s="79">
        <v>34</v>
      </c>
      <c r="B92" s="82" t="s">
        <v>128</v>
      </c>
      <c r="C92" s="42">
        <f>'SOTE laskennallinen rahoitus'!C52+'PELA laskennallinen rahoitus'!C47</f>
        <v>49057896.852290362</v>
      </c>
      <c r="D92" s="36">
        <f>'SOTE laskennallinen rahoitus'!D52</f>
        <v>169900154.6559402</v>
      </c>
      <c r="E92" s="36">
        <f>'SOTE laskennallinen rahoitus'!E52</f>
        <v>53486899.399953999</v>
      </c>
      <c r="F92" s="36">
        <f>'SOTE laskennallinen rahoitus'!F52</f>
        <v>54636913.481484786</v>
      </c>
      <c r="G92" s="36">
        <f>'SOTE laskennallinen rahoitus'!G52</f>
        <v>5808052.8461390007</v>
      </c>
      <c r="H92" s="36">
        <f>'SOTE laskennallinen rahoitus'!H52</f>
        <v>11560263.24148054</v>
      </c>
      <c r="I92" s="42">
        <f>'SOTE laskennallinen rahoitus'!I52+'PELA laskennallinen rahoitus'!D47</f>
        <v>3134334.6729563717</v>
      </c>
      <c r="J92" s="36">
        <f>'SOTE laskennallinen rahoitus'!J52</f>
        <v>0</v>
      </c>
      <c r="K92" s="36">
        <f>'SOTE laskennallinen rahoitus'!K52</f>
        <v>3704084.8809374985</v>
      </c>
      <c r="L92" s="36">
        <f>'SOTE laskennallinen rahoitus'!L52</f>
        <v>0</v>
      </c>
      <c r="M92" s="36">
        <f>'SOTE laskennallinen rahoitus'!M52</f>
        <v>10286725.322755404</v>
      </c>
      <c r="N92" s="42">
        <f>'PELA laskennallinen rahoitus'!E47</f>
        <v>2320206.0777957863</v>
      </c>
      <c r="O92" s="160">
        <f t="shared" si="12"/>
        <v>363895531.43173397</v>
      </c>
      <c r="P92" s="27">
        <f>O92/Määräytymistekijät!C7</f>
        <v>3703.6205287493026</v>
      </c>
      <c r="R92" s="36"/>
      <c r="T92" s="82"/>
      <c r="W92" s="82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7"/>
      <c r="AJ92" s="147"/>
      <c r="AK92" s="149"/>
      <c r="AL92" s="12"/>
      <c r="AM92" s="82"/>
      <c r="AN92" s="39"/>
      <c r="AO92" s="148"/>
      <c r="AP92" s="148"/>
      <c r="AQ92" s="148"/>
      <c r="AR92" s="148"/>
      <c r="AS92" s="148"/>
      <c r="AT92" s="148"/>
      <c r="AU92" s="148"/>
      <c r="AV92" s="148"/>
      <c r="AW92" s="148"/>
      <c r="AX92" s="26"/>
      <c r="AY92" s="82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26"/>
      <c r="BK92" s="26"/>
      <c r="BL92" s="26"/>
      <c r="BM92" s="26"/>
      <c r="BN92" s="26"/>
    </row>
    <row r="93" spans="1:66" s="7" customFormat="1" x14ac:dyDescent="0.25">
      <c r="A93" s="81">
        <v>35</v>
      </c>
      <c r="B93" s="82" t="s">
        <v>127</v>
      </c>
      <c r="C93" s="39">
        <f>'SOTE laskennallinen rahoitus'!C53+'PELA laskennallinen rahoitus'!C48</f>
        <v>99524808.960113972</v>
      </c>
      <c r="D93" s="148">
        <f>'SOTE laskennallinen rahoitus'!D53</f>
        <v>323100425.45200145</v>
      </c>
      <c r="E93" s="148">
        <f>'SOTE laskennallinen rahoitus'!E53</f>
        <v>85764693.748648524</v>
      </c>
      <c r="F93" s="148">
        <f>'SOTE laskennallinen rahoitus'!F53</f>
        <v>109703834.52618186</v>
      </c>
      <c r="G93" s="148">
        <f>'SOTE laskennallinen rahoitus'!G53</f>
        <v>11480069.90302458</v>
      </c>
      <c r="H93" s="148">
        <f>'SOTE laskennallinen rahoitus'!H53</f>
        <v>0</v>
      </c>
      <c r="I93" s="39">
        <f>'SOTE laskennallinen rahoitus'!I53+'PELA laskennallinen rahoitus'!D48</f>
        <v>1828068.0914529983</v>
      </c>
      <c r="J93" s="148">
        <f>'SOTE laskennallinen rahoitus'!J53</f>
        <v>0</v>
      </c>
      <c r="K93" s="148">
        <f>'SOTE laskennallinen rahoitus'!K53</f>
        <v>7514556.5505452361</v>
      </c>
      <c r="L93" s="148">
        <f>'SOTE laskennallinen rahoitus'!L53</f>
        <v>0</v>
      </c>
      <c r="M93" s="148">
        <f>'SOTE laskennallinen rahoitus'!M53</f>
        <v>20868900.590152409</v>
      </c>
      <c r="N93" s="39">
        <f>'PELA laskennallinen rahoitus'!E48</f>
        <v>5308946.1102106981</v>
      </c>
      <c r="O93" s="160">
        <f t="shared" si="12"/>
        <v>665094303.93233156</v>
      </c>
      <c r="P93" s="83">
        <f>O93/Määräytymistekijät!C8</f>
        <v>3336.6492947992351</v>
      </c>
      <c r="R93" s="36"/>
      <c r="T93" s="82"/>
      <c r="W93" s="82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7"/>
      <c r="AJ93" s="147"/>
      <c r="AK93" s="149"/>
      <c r="AL93" s="12"/>
      <c r="AM93" s="82"/>
      <c r="AN93" s="39"/>
      <c r="AO93" s="148"/>
      <c r="AP93" s="148"/>
      <c r="AQ93" s="148"/>
      <c r="AR93" s="148"/>
      <c r="AS93" s="148"/>
      <c r="AT93" s="148"/>
      <c r="AU93" s="148"/>
      <c r="AV93" s="148"/>
      <c r="AW93" s="148"/>
      <c r="AX93" s="26"/>
      <c r="AY93" s="82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26"/>
      <c r="BK93" s="26"/>
      <c r="BL93" s="26"/>
      <c r="BM93" s="26"/>
      <c r="BN93" s="26"/>
    </row>
    <row r="94" spans="1:66" s="7" customFormat="1" x14ac:dyDescent="0.25">
      <c r="A94" s="7">
        <v>2</v>
      </c>
      <c r="B94" s="19" t="s">
        <v>126</v>
      </c>
      <c r="C94" s="42">
        <f>'SOTE laskennallinen rahoitus'!C54+'PELA laskennallinen rahoitus'!C49</f>
        <v>240362923.83397257</v>
      </c>
      <c r="D94" s="36">
        <f>'SOTE laskennallinen rahoitus'!D54</f>
        <v>882430758.97459769</v>
      </c>
      <c r="E94" s="36">
        <f>'SOTE laskennallinen rahoitus'!E54</f>
        <v>312636930.02627546</v>
      </c>
      <c r="F94" s="36">
        <f>'SOTE laskennallinen rahoitus'!F54</f>
        <v>318995701.04302794</v>
      </c>
      <c r="G94" s="36">
        <f>'SOTE laskennallinen rahoitus'!G54</f>
        <v>36525127.018127955</v>
      </c>
      <c r="H94" s="36">
        <f>'SOTE laskennallinen rahoitus'!H54</f>
        <v>11257356.276272463</v>
      </c>
      <c r="I94" s="42">
        <f>'SOTE laskennallinen rahoitus'!I54+'PELA laskennallinen rahoitus'!D49</f>
        <v>12297762.042578116</v>
      </c>
      <c r="J94" s="36">
        <f>'SOTE laskennallinen rahoitus'!J54</f>
        <v>15145837.49705955</v>
      </c>
      <c r="K94" s="36">
        <f>'SOTE laskennallinen rahoitus'!K54</f>
        <v>18148447.635088187</v>
      </c>
      <c r="L94" s="36">
        <f>'SOTE laskennallinen rahoitus'!L54</f>
        <v>0</v>
      </c>
      <c r="M94" s="36">
        <f>'SOTE laskennallinen rahoitus'!M54</f>
        <v>50400598.759851202</v>
      </c>
      <c r="N94" s="42">
        <f>'PELA laskennallinen rahoitus'!E49</f>
        <v>12505517.504051866</v>
      </c>
      <c r="O94" s="160">
        <f t="shared" si="12"/>
        <v>1910706960.6109033</v>
      </c>
      <c r="P94" s="27">
        <f>O94/Määräytymistekijät!C9</f>
        <v>3969.0383329786132</v>
      </c>
      <c r="R94" s="36"/>
      <c r="T94" s="14"/>
      <c r="W94" s="14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7"/>
      <c r="AJ94" s="147"/>
      <c r="AK94" s="149"/>
      <c r="AL94" s="12"/>
      <c r="AM94" s="14"/>
      <c r="AN94" s="39"/>
      <c r="AO94" s="148"/>
      <c r="AP94" s="148"/>
      <c r="AQ94" s="148"/>
      <c r="AR94" s="148"/>
      <c r="AS94" s="148"/>
      <c r="AT94" s="148"/>
      <c r="AU94" s="148"/>
      <c r="AV94" s="148"/>
      <c r="AW94" s="148"/>
      <c r="AX94" s="26"/>
      <c r="AY94" s="143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26"/>
      <c r="BK94" s="26"/>
      <c r="BL94" s="26"/>
      <c r="BM94" s="26"/>
      <c r="BN94" s="26"/>
    </row>
    <row r="95" spans="1:66" s="7" customFormat="1" x14ac:dyDescent="0.25">
      <c r="A95" s="7">
        <v>4</v>
      </c>
      <c r="B95" s="19" t="s">
        <v>125</v>
      </c>
      <c r="C95" s="42">
        <f>'SOTE laskennallinen rahoitus'!C55+'PELA laskennallinen rahoitus'!C50</f>
        <v>107556495.4946667</v>
      </c>
      <c r="D95" s="36">
        <f>'SOTE laskennallinen rahoitus'!D55</f>
        <v>413105627.51574987</v>
      </c>
      <c r="E95" s="36">
        <f>'SOTE laskennallinen rahoitus'!E55</f>
        <v>153332196.28354979</v>
      </c>
      <c r="F95" s="36">
        <f>'SOTE laskennallinen rahoitus'!F55</f>
        <v>155516936.75086698</v>
      </c>
      <c r="G95" s="36">
        <f>'SOTE laskennallinen rahoitus'!G55</f>
        <v>8242225.1602268247</v>
      </c>
      <c r="H95" s="36">
        <f>'SOTE laskennallinen rahoitus'!H55</f>
        <v>0</v>
      </c>
      <c r="I95" s="42">
        <f>'SOTE laskennallinen rahoitus'!I55+'PELA laskennallinen rahoitus'!D50</f>
        <v>8788401.6136561763</v>
      </c>
      <c r="J95" s="36">
        <f>'SOTE laskennallinen rahoitus'!J55</f>
        <v>0</v>
      </c>
      <c r="K95" s="36">
        <f>'SOTE laskennallinen rahoitus'!K55</f>
        <v>8120983.8654103875</v>
      </c>
      <c r="L95" s="36">
        <f>'SOTE laskennallinen rahoitus'!L55</f>
        <v>0</v>
      </c>
      <c r="M95" s="36">
        <f>'SOTE laskennallinen rahoitus'!M55</f>
        <v>0</v>
      </c>
      <c r="N95" s="42">
        <f>'PELA laskennallinen rahoitus'!E50</f>
        <v>8061732.9821718009</v>
      </c>
      <c r="O95" s="160">
        <f t="shared" si="12"/>
        <v>862724599.66629839</v>
      </c>
      <c r="P95" s="27">
        <f>O95/Määräytymistekijät!C10</f>
        <v>4004.9234953127825</v>
      </c>
      <c r="R95" s="36"/>
      <c r="T95" s="14"/>
      <c r="W95" s="14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7"/>
      <c r="AJ95" s="147"/>
      <c r="AK95" s="149"/>
      <c r="AL95" s="12"/>
      <c r="AM95" s="14"/>
      <c r="AN95" s="39"/>
      <c r="AO95" s="148"/>
      <c r="AP95" s="148"/>
      <c r="AQ95" s="148"/>
      <c r="AR95" s="148"/>
      <c r="AS95" s="148"/>
      <c r="AT95" s="148"/>
      <c r="AU95" s="148"/>
      <c r="AV95" s="148"/>
      <c r="AW95" s="148"/>
      <c r="AX95" s="26"/>
      <c r="AY95" s="143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26"/>
      <c r="BK95" s="26"/>
      <c r="BL95" s="26"/>
      <c r="BM95" s="26"/>
      <c r="BN95" s="26"/>
    </row>
    <row r="96" spans="1:66" s="7" customFormat="1" x14ac:dyDescent="0.25">
      <c r="A96" s="7">
        <v>5</v>
      </c>
      <c r="B96" s="19" t="s">
        <v>124</v>
      </c>
      <c r="C96" s="42">
        <f>'SOTE laskennallinen rahoitus'!C56+'PELA laskennallinen rahoitus'!C51</f>
        <v>85168531.269700304</v>
      </c>
      <c r="D96" s="36">
        <f>'SOTE laskennallinen rahoitus'!D56</f>
        <v>323921042.48205793</v>
      </c>
      <c r="E96" s="36">
        <f>'SOTE laskennallinen rahoitus'!E56</f>
        <v>115387092.53379388</v>
      </c>
      <c r="F96" s="36">
        <f>'SOTE laskennallinen rahoitus'!F56</f>
        <v>113540107.10175636</v>
      </c>
      <c r="G96" s="36">
        <f>'SOTE laskennallinen rahoitus'!G56</f>
        <v>7283221.0856317803</v>
      </c>
      <c r="H96" s="36">
        <f>'SOTE laskennallinen rahoitus'!H56</f>
        <v>0</v>
      </c>
      <c r="I96" s="42">
        <f>'SOTE laskennallinen rahoitus'!I56+'PELA laskennallinen rahoitus'!D51</f>
        <v>5717977.7899854593</v>
      </c>
      <c r="J96" s="36">
        <f>'SOTE laskennallinen rahoitus'!J56</f>
        <v>0</v>
      </c>
      <c r="K96" s="36">
        <f>'SOTE laskennallinen rahoitus'!K56</f>
        <v>6430595.057052901</v>
      </c>
      <c r="L96" s="36">
        <f>'SOTE laskennallinen rahoitus'!L56</f>
        <v>0</v>
      </c>
      <c r="M96" s="36">
        <f>'SOTE laskennallinen rahoitus'!M56</f>
        <v>0</v>
      </c>
      <c r="N96" s="42">
        <f>'PELA laskennallinen rahoitus'!E51</f>
        <v>5466248.2171799047</v>
      </c>
      <c r="O96" s="160">
        <f t="shared" si="12"/>
        <v>662914815.53715837</v>
      </c>
      <c r="P96" s="27">
        <f>O96/Määräytymistekijät!C11</f>
        <v>3886.3083272490335</v>
      </c>
      <c r="R96" s="36"/>
      <c r="T96" s="14"/>
      <c r="W96" s="14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7"/>
      <c r="AJ96" s="147"/>
      <c r="AK96" s="149"/>
      <c r="AL96" s="12"/>
      <c r="AM96" s="14"/>
      <c r="AN96" s="39"/>
      <c r="AO96" s="148"/>
      <c r="AP96" s="148"/>
      <c r="AQ96" s="148"/>
      <c r="AR96" s="148"/>
      <c r="AS96" s="148"/>
      <c r="AT96" s="148"/>
      <c r="AU96" s="148"/>
      <c r="AV96" s="148"/>
      <c r="AW96" s="148"/>
      <c r="AX96" s="26"/>
      <c r="AY96" s="143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26"/>
      <c r="BK96" s="26"/>
      <c r="BL96" s="26"/>
      <c r="BM96" s="26"/>
      <c r="BN96" s="26"/>
    </row>
    <row r="97" spans="1:66" s="7" customFormat="1" x14ac:dyDescent="0.25">
      <c r="A97" s="7">
        <v>6</v>
      </c>
      <c r="B97" s="19" t="s">
        <v>123</v>
      </c>
      <c r="C97" s="42">
        <f>'SOTE laskennallinen rahoitus'!C57+'PELA laskennallinen rahoitus'!C52</f>
        <v>261058272.28421971</v>
      </c>
      <c r="D97" s="36">
        <f>'SOTE laskennallinen rahoitus'!D57</f>
        <v>957246926.17513776</v>
      </c>
      <c r="E97" s="36">
        <f>'SOTE laskennallinen rahoitus'!E57</f>
        <v>318286609.94554603</v>
      </c>
      <c r="F97" s="36">
        <f>'SOTE laskennallinen rahoitus'!F57</f>
        <v>327398614.13661885</v>
      </c>
      <c r="G97" s="36">
        <f>'SOTE laskennallinen rahoitus'!G57</f>
        <v>25973187.819087714</v>
      </c>
      <c r="H97" s="36">
        <f>'SOTE laskennallinen rahoitus'!H57</f>
        <v>0</v>
      </c>
      <c r="I97" s="42">
        <f>'SOTE laskennallinen rahoitus'!I57+'PELA laskennallinen rahoitus'!D52</f>
        <v>14635416.611200282</v>
      </c>
      <c r="J97" s="36">
        <f>'SOTE laskennallinen rahoitus'!J57</f>
        <v>0</v>
      </c>
      <c r="K97" s="36">
        <f>'SOTE laskennallinen rahoitus'!K57</f>
        <v>19711036.580372635</v>
      </c>
      <c r="L97" s="36">
        <f>'SOTE laskennallinen rahoitus'!L57</f>
        <v>0</v>
      </c>
      <c r="M97" s="36">
        <f>'SOTE laskennallinen rahoitus'!M57</f>
        <v>54740111.430102684</v>
      </c>
      <c r="N97" s="42">
        <f>'PELA laskennallinen rahoitus'!E52</f>
        <v>13999887.520259319</v>
      </c>
      <c r="O97" s="160">
        <f t="shared" si="12"/>
        <v>1993050062.5025449</v>
      </c>
      <c r="P97" s="27">
        <f>O97/Määräytymistekijät!C12</f>
        <v>3811.8818757555578</v>
      </c>
      <c r="R97" s="36"/>
      <c r="T97" s="14"/>
      <c r="W97" s="14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7"/>
      <c r="AJ97" s="147"/>
      <c r="AK97" s="149"/>
      <c r="AL97" s="12"/>
      <c r="AM97" s="14"/>
      <c r="AN97" s="39"/>
      <c r="AO97" s="148"/>
      <c r="AP97" s="148"/>
      <c r="AQ97" s="148"/>
      <c r="AR97" s="148"/>
      <c r="AS97" s="148"/>
      <c r="AT97" s="148"/>
      <c r="AU97" s="148"/>
      <c r="AV97" s="148"/>
      <c r="AW97" s="148"/>
      <c r="AX97" s="26"/>
      <c r="AY97" s="143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26"/>
      <c r="BK97" s="26"/>
      <c r="BL97" s="26"/>
      <c r="BM97" s="26"/>
      <c r="BN97" s="26"/>
    </row>
    <row r="98" spans="1:66" s="7" customFormat="1" x14ac:dyDescent="0.25">
      <c r="A98" s="7">
        <v>7</v>
      </c>
      <c r="B98" s="19" t="s">
        <v>122</v>
      </c>
      <c r="C98" s="42">
        <f>'SOTE laskennallinen rahoitus'!C58+'PELA laskennallinen rahoitus'!C53</f>
        <v>102740778.93208052</v>
      </c>
      <c r="D98" s="36">
        <f>'SOTE laskennallinen rahoitus'!D58</f>
        <v>406173358.35851407</v>
      </c>
      <c r="E98" s="36">
        <f>'SOTE laskennallinen rahoitus'!E58</f>
        <v>143368917.89997748</v>
      </c>
      <c r="F98" s="36">
        <f>'SOTE laskennallinen rahoitus'!F58</f>
        <v>144802352.66327655</v>
      </c>
      <c r="G98" s="36">
        <f>'SOTE laskennallinen rahoitus'!G58</f>
        <v>11104765.491538189</v>
      </c>
      <c r="H98" s="36">
        <f>'SOTE laskennallinen rahoitus'!H58</f>
        <v>0</v>
      </c>
      <c r="I98" s="42">
        <f>'SOTE laskennallinen rahoitus'!I58+'PELA laskennallinen rahoitus'!D53</f>
        <v>6326902.7922855467</v>
      </c>
      <c r="J98" s="36">
        <f>'SOTE laskennallinen rahoitus'!J58</f>
        <v>0</v>
      </c>
      <c r="K98" s="36">
        <f>'SOTE laskennallinen rahoitus'!K58</f>
        <v>7757376.2903840048</v>
      </c>
      <c r="L98" s="36">
        <f>'SOTE laskennallinen rahoitus'!L58</f>
        <v>0</v>
      </c>
      <c r="M98" s="36">
        <f>'SOTE laskennallinen rahoitus'!M58</f>
        <v>0</v>
      </c>
      <c r="N98" s="42">
        <f>'PELA laskennallinen rahoitus'!E53</f>
        <v>6331409.8055105358</v>
      </c>
      <c r="O98" s="160">
        <f t="shared" si="12"/>
        <v>828605862.23356688</v>
      </c>
      <c r="P98" s="27">
        <f>O98/Määräytymistekijät!C13</f>
        <v>4026.8349876006187</v>
      </c>
      <c r="R98" s="36"/>
      <c r="T98" s="14"/>
      <c r="W98" s="14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7"/>
      <c r="AJ98" s="147"/>
      <c r="AK98" s="149"/>
      <c r="AL98" s="12"/>
      <c r="AM98" s="14"/>
      <c r="AN98" s="39"/>
      <c r="AO98" s="148"/>
      <c r="AP98" s="148"/>
      <c r="AQ98" s="148"/>
      <c r="AR98" s="148"/>
      <c r="AS98" s="148"/>
      <c r="AT98" s="148"/>
      <c r="AU98" s="148"/>
      <c r="AV98" s="148"/>
      <c r="AW98" s="148"/>
      <c r="AX98" s="26"/>
      <c r="AY98" s="143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26"/>
      <c r="BK98" s="26"/>
      <c r="BL98" s="26"/>
      <c r="BM98" s="26"/>
      <c r="BN98" s="26"/>
    </row>
    <row r="99" spans="1:66" s="7" customFormat="1" x14ac:dyDescent="0.25">
      <c r="A99" s="7">
        <v>8</v>
      </c>
      <c r="B99" s="19" t="s">
        <v>121</v>
      </c>
      <c r="C99" s="42">
        <f>'SOTE laskennallinen rahoitus'!C59+'PELA laskennallinen rahoitus'!C54</f>
        <v>81291492.481884688</v>
      </c>
      <c r="D99" s="36">
        <f>'SOTE laskennallinen rahoitus'!D59</f>
        <v>329772532.57749641</v>
      </c>
      <c r="E99" s="36">
        <f>'SOTE laskennallinen rahoitus'!E59</f>
        <v>138612548.79077277</v>
      </c>
      <c r="F99" s="36">
        <f>'SOTE laskennallinen rahoitus'!F59</f>
        <v>124476922.72667746</v>
      </c>
      <c r="G99" s="36">
        <f>'SOTE laskennallinen rahoitus'!G59</f>
        <v>9797471.2047411222</v>
      </c>
      <c r="H99" s="36">
        <f>'SOTE laskennallinen rahoitus'!H59</f>
        <v>509097.71190542303</v>
      </c>
      <c r="I99" s="42">
        <f>'SOTE laskennallinen rahoitus'!I59+'PELA laskennallinen rahoitus'!D54</f>
        <v>5126806.4447481595</v>
      </c>
      <c r="J99" s="36">
        <f>'SOTE laskennallinen rahoitus'!J59</f>
        <v>0</v>
      </c>
      <c r="K99" s="36">
        <f>'SOTE laskennallinen rahoitus'!K59</f>
        <v>6137861.7423738064</v>
      </c>
      <c r="L99" s="36">
        <f>'SOTE laskennallinen rahoitus'!L59</f>
        <v>0</v>
      </c>
      <c r="M99" s="36">
        <f>'SOTE laskennallinen rahoitus'!M59</f>
        <v>0</v>
      </c>
      <c r="N99" s="42">
        <f>'PELA laskennallinen rahoitus'!E54</f>
        <v>6213433.2252836311</v>
      </c>
      <c r="O99" s="160">
        <f t="shared" si="12"/>
        <v>701938166.90588355</v>
      </c>
      <c r="P99" s="27">
        <f>O99/Määräytymistekijät!C14</f>
        <v>4311.3417125634696</v>
      </c>
      <c r="R99" s="36"/>
      <c r="T99" s="14"/>
      <c r="W99" s="14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7"/>
      <c r="AJ99" s="147"/>
      <c r="AK99" s="149"/>
      <c r="AL99" s="12"/>
      <c r="AM99" s="14"/>
      <c r="AN99" s="39"/>
      <c r="AO99" s="148"/>
      <c r="AP99" s="148"/>
      <c r="AQ99" s="148"/>
      <c r="AR99" s="148"/>
      <c r="AS99" s="148"/>
      <c r="AT99" s="148"/>
      <c r="AU99" s="148"/>
      <c r="AV99" s="148"/>
      <c r="AW99" s="148"/>
      <c r="AX99" s="26"/>
      <c r="AY99" s="143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26"/>
      <c r="BK99" s="26"/>
      <c r="BL99" s="26"/>
      <c r="BM99" s="26"/>
      <c r="BN99" s="26"/>
    </row>
    <row r="100" spans="1:66" s="7" customFormat="1" x14ac:dyDescent="0.25">
      <c r="A100" s="7">
        <v>9</v>
      </c>
      <c r="B100" s="19" t="s">
        <v>120</v>
      </c>
      <c r="C100" s="42">
        <f>'SOTE laskennallinen rahoitus'!C60+'PELA laskennallinen rahoitus'!C55</f>
        <v>63371235.027475163</v>
      </c>
      <c r="D100" s="36">
        <f>'SOTE laskennallinen rahoitus'!D60</f>
        <v>236862184.79016876</v>
      </c>
      <c r="E100" s="36">
        <f>'SOTE laskennallinen rahoitus'!E60</f>
        <v>93212263.680331513</v>
      </c>
      <c r="F100" s="36">
        <f>'SOTE laskennallinen rahoitus'!F60</f>
        <v>83594064.090084404</v>
      </c>
      <c r="G100" s="36">
        <f>'SOTE laskennallinen rahoitus'!G60</f>
        <v>7980766.3028674116</v>
      </c>
      <c r="H100" s="36">
        <f>'SOTE laskennallinen rahoitus'!H60</f>
        <v>0</v>
      </c>
      <c r="I100" s="42">
        <f>'SOTE laskennallinen rahoitus'!I60+'PELA laskennallinen rahoitus'!D55</f>
        <v>5923750.7146773227</v>
      </c>
      <c r="J100" s="36">
        <f>'SOTE laskennallinen rahoitus'!J60</f>
        <v>0</v>
      </c>
      <c r="K100" s="36">
        <f>'SOTE laskennallinen rahoitus'!K60</f>
        <v>4784804.254009692</v>
      </c>
      <c r="L100" s="36">
        <f>'SOTE laskennallinen rahoitus'!L60</f>
        <v>0</v>
      </c>
      <c r="M100" s="36">
        <f>'SOTE laskennallinen rahoitus'!M60</f>
        <v>0</v>
      </c>
      <c r="N100" s="42">
        <f>'PELA laskennallinen rahoitus'!E55</f>
        <v>4797714.2625607783</v>
      </c>
      <c r="O100" s="160">
        <f t="shared" si="12"/>
        <v>500526783.1221751</v>
      </c>
      <c r="P100" s="27">
        <f>O100/Määräytymistekijät!C15</f>
        <v>3943.608883653415</v>
      </c>
      <c r="R100" s="36"/>
      <c r="T100" s="14"/>
      <c r="W100" s="14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7"/>
      <c r="AJ100" s="147"/>
      <c r="AK100" s="149"/>
      <c r="AL100" s="12"/>
      <c r="AM100" s="14"/>
      <c r="AN100" s="39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26"/>
      <c r="AY100" s="143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26"/>
      <c r="BK100" s="26"/>
      <c r="BL100" s="26"/>
      <c r="BM100" s="26"/>
      <c r="BN100" s="26"/>
    </row>
    <row r="101" spans="1:66" s="7" customFormat="1" x14ac:dyDescent="0.25">
      <c r="A101" s="7">
        <v>10</v>
      </c>
      <c r="B101" s="19" t="s">
        <v>119</v>
      </c>
      <c r="C101" s="42">
        <f>'SOTE laskennallinen rahoitus'!C61+'PELA laskennallinen rahoitus'!C56</f>
        <v>66257669.184894614</v>
      </c>
      <c r="D101" s="36">
        <f>'SOTE laskennallinen rahoitus'!D61</f>
        <v>273328987.35122341</v>
      </c>
      <c r="E101" s="36">
        <f>'SOTE laskennallinen rahoitus'!E61</f>
        <v>117523128.08807623</v>
      </c>
      <c r="F101" s="36">
        <f>'SOTE laskennallinen rahoitus'!F61</f>
        <v>106241344.27726956</v>
      </c>
      <c r="G101" s="36">
        <f>'SOTE laskennallinen rahoitus'!G61</f>
        <v>4492075.4238576721</v>
      </c>
      <c r="H101" s="36">
        <f>'SOTE laskennallinen rahoitus'!H61</f>
        <v>0</v>
      </c>
      <c r="I101" s="42">
        <f>'SOTE laskennallinen rahoitus'!I61+'PELA laskennallinen rahoitus'!D56</f>
        <v>14120338.081387132</v>
      </c>
      <c r="J101" s="36">
        <f>'SOTE laskennallinen rahoitus'!J61</f>
        <v>4003629.4195465147</v>
      </c>
      <c r="K101" s="36">
        <f>'SOTE laskennallinen rahoitus'!K61</f>
        <v>5002742.6045776047</v>
      </c>
      <c r="L101" s="36">
        <f>'SOTE laskennallinen rahoitus'!L61</f>
        <v>0</v>
      </c>
      <c r="M101" s="36">
        <f>'SOTE laskennallinen rahoitus'!M61</f>
        <v>0</v>
      </c>
      <c r="N101" s="42">
        <f>'PELA laskennallinen rahoitus'!E56</f>
        <v>4404458.9951377641</v>
      </c>
      <c r="O101" s="160">
        <f t="shared" si="12"/>
        <v>595374373.42597067</v>
      </c>
      <c r="P101" s="27">
        <f>O101/Määräytymistekijät!C16</f>
        <v>4486.5516226279233</v>
      </c>
      <c r="R101" s="36"/>
      <c r="T101" s="14"/>
      <c r="W101" s="14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7"/>
      <c r="AJ101" s="147"/>
      <c r="AK101" s="149"/>
      <c r="AL101" s="12"/>
      <c r="AM101" s="14"/>
      <c r="AN101" s="39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26"/>
      <c r="AY101" s="14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26"/>
      <c r="BK101" s="26"/>
      <c r="BL101" s="26"/>
      <c r="BM101" s="26"/>
      <c r="BN101" s="26"/>
    </row>
    <row r="102" spans="1:66" s="7" customFormat="1" x14ac:dyDescent="0.25">
      <c r="A102" s="7">
        <v>11</v>
      </c>
      <c r="B102" s="19" t="s">
        <v>118</v>
      </c>
      <c r="C102" s="42">
        <f>'SOTE laskennallinen rahoitus'!C62+'PELA laskennallinen rahoitus'!C57</f>
        <v>123957892.42202726</v>
      </c>
      <c r="D102" s="36">
        <f>'SOTE laskennallinen rahoitus'!D62</f>
        <v>510337075.19085717</v>
      </c>
      <c r="E102" s="36">
        <f>'SOTE laskennallinen rahoitus'!E62</f>
        <v>191804475.69828498</v>
      </c>
      <c r="F102" s="36">
        <f>'SOTE laskennallinen rahoitus'!F62</f>
        <v>196397772.42833987</v>
      </c>
      <c r="G102" s="36">
        <f>'SOTE laskennallinen rahoitus'!G62</f>
        <v>7710624.3100237371</v>
      </c>
      <c r="H102" s="36">
        <f>'SOTE laskennallinen rahoitus'!H62</f>
        <v>0</v>
      </c>
      <c r="I102" s="42">
        <f>'SOTE laskennallinen rahoitus'!I62+'PELA laskennallinen rahoitus'!D57</f>
        <v>19206140.578502528</v>
      </c>
      <c r="J102" s="36">
        <f>'SOTE laskennallinen rahoitus'!J62</f>
        <v>0</v>
      </c>
      <c r="K102" s="36">
        <f>'SOTE laskennallinen rahoitus'!K62</f>
        <v>9359360.7686806452</v>
      </c>
      <c r="L102" s="36">
        <f>'SOTE laskennallinen rahoitus'!L62</f>
        <v>0</v>
      </c>
      <c r="M102" s="36">
        <f>'SOTE laskennallinen rahoitus'!M62</f>
        <v>25992161.766990356</v>
      </c>
      <c r="N102" s="42">
        <f>'PELA laskennallinen rahoitus'!E57</f>
        <v>7235896.9205834689</v>
      </c>
      <c r="O102" s="160">
        <f t="shared" si="12"/>
        <v>1092001400.08429</v>
      </c>
      <c r="P102" s="27">
        <f>O102/Määräytymistekijät!C17</f>
        <v>4398.5314083108369</v>
      </c>
      <c r="R102" s="36"/>
      <c r="T102" s="14"/>
      <c r="W102" s="14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7"/>
      <c r="AJ102" s="147"/>
      <c r="AK102" s="149"/>
      <c r="AL102" s="12"/>
      <c r="AM102" s="14"/>
      <c r="AN102" s="39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26"/>
      <c r="AY102" s="14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26"/>
      <c r="BK102" s="26"/>
      <c r="BL102" s="26"/>
      <c r="BM102" s="26"/>
      <c r="BN102" s="26"/>
    </row>
    <row r="103" spans="1:66" s="7" customFormat="1" x14ac:dyDescent="0.25">
      <c r="A103" s="7">
        <v>12</v>
      </c>
      <c r="B103" s="19" t="s">
        <v>117</v>
      </c>
      <c r="C103" s="42">
        <f>'SOTE laskennallinen rahoitus'!C63+'PELA laskennallinen rahoitus'!C58</f>
        <v>81653482.581197798</v>
      </c>
      <c r="D103" s="36">
        <f>'SOTE laskennallinen rahoitus'!D63</f>
        <v>351214538.32178986</v>
      </c>
      <c r="E103" s="36">
        <f>'SOTE laskennallinen rahoitus'!E63</f>
        <v>132440635.86381873</v>
      </c>
      <c r="F103" s="36">
        <f>'SOTE laskennallinen rahoitus'!F63</f>
        <v>136169042.03712532</v>
      </c>
      <c r="G103" s="36">
        <f>'SOTE laskennallinen rahoitus'!G63</f>
        <v>6326146.5966999056</v>
      </c>
      <c r="H103" s="36">
        <f>'SOTE laskennallinen rahoitus'!H63</f>
        <v>0</v>
      </c>
      <c r="I103" s="42">
        <f>'SOTE laskennallinen rahoitus'!I63+'PELA laskennallinen rahoitus'!D58</f>
        <v>20812402.770452235</v>
      </c>
      <c r="J103" s="36">
        <f>'SOTE laskennallinen rahoitus'!J63</f>
        <v>0</v>
      </c>
      <c r="K103" s="36">
        <f>'SOTE laskennallinen rahoitus'!K63</f>
        <v>6165193.5714970967</v>
      </c>
      <c r="L103" s="36">
        <f>'SOTE laskennallinen rahoitus'!L63</f>
        <v>0</v>
      </c>
      <c r="M103" s="36">
        <f>'SOTE laskennallinen rahoitus'!M63</f>
        <v>0</v>
      </c>
      <c r="N103" s="42">
        <f>'PELA laskennallinen rahoitus'!E58</f>
        <v>5072992.9497568877</v>
      </c>
      <c r="O103" s="160">
        <f t="shared" si="12"/>
        <v>739854434.69233787</v>
      </c>
      <c r="P103" s="27">
        <f>O103/Määräytymistekijät!C18</f>
        <v>4524.0797782296231</v>
      </c>
      <c r="R103" s="36"/>
      <c r="T103" s="14"/>
      <c r="W103" s="14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7"/>
      <c r="AJ103" s="147"/>
      <c r="AK103" s="149"/>
      <c r="AL103" s="12"/>
      <c r="AM103" s="14"/>
      <c r="AN103" s="39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26"/>
      <c r="AY103" s="143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26"/>
      <c r="BK103" s="26"/>
      <c r="BL103" s="26"/>
      <c r="BM103" s="26"/>
      <c r="BN103" s="26"/>
    </row>
    <row r="104" spans="1:66" s="7" customFormat="1" x14ac:dyDescent="0.25">
      <c r="A104" s="7">
        <v>13</v>
      </c>
      <c r="B104" s="19" t="s">
        <v>116</v>
      </c>
      <c r="C104" s="42">
        <f>'SOTE laskennallinen rahoitus'!C64+'PELA laskennallinen rahoitus'!C59</f>
        <v>136116765.38543817</v>
      </c>
      <c r="D104" s="36">
        <f>'SOTE laskennallinen rahoitus'!D64</f>
        <v>490619835.76302332</v>
      </c>
      <c r="E104" s="36">
        <f>'SOTE laskennallinen rahoitus'!E64</f>
        <v>170762721.72580138</v>
      </c>
      <c r="F104" s="36">
        <f>'SOTE laskennallinen rahoitus'!F64</f>
        <v>187550326.26626167</v>
      </c>
      <c r="G104" s="36">
        <f>'SOTE laskennallinen rahoitus'!G64</f>
        <v>9486807.9129708968</v>
      </c>
      <c r="H104" s="36">
        <f>'SOTE laskennallinen rahoitus'!H64</f>
        <v>0</v>
      </c>
      <c r="I104" s="42">
        <f>'SOTE laskennallinen rahoitus'!I64+'PELA laskennallinen rahoitus'!D59</f>
        <v>17733272.522291355</v>
      </c>
      <c r="J104" s="36">
        <f>'SOTE laskennallinen rahoitus'!J64</f>
        <v>0</v>
      </c>
      <c r="K104" s="36">
        <f>'SOTE laskennallinen rahoitus'!K64</f>
        <v>10277408.634625949</v>
      </c>
      <c r="L104" s="36">
        <f>'SOTE laskennallinen rahoitus'!L64</f>
        <v>0</v>
      </c>
      <c r="M104" s="36">
        <f>'SOTE laskennallinen rahoitus'!M64</f>
        <v>0</v>
      </c>
      <c r="N104" s="42">
        <f>'PELA laskennallinen rahoitus'!E59</f>
        <v>6999943.7601296613</v>
      </c>
      <c r="O104" s="160">
        <f t="shared" si="12"/>
        <v>1029547081.9705423</v>
      </c>
      <c r="P104" s="27">
        <f>O104/Määräytymistekijät!C19</f>
        <v>3776.5329453795703</v>
      </c>
      <c r="R104" s="36"/>
      <c r="T104" s="14"/>
      <c r="W104" s="14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7"/>
      <c r="AJ104" s="147"/>
      <c r="AK104" s="149"/>
      <c r="AL104" s="12"/>
      <c r="AM104" s="14"/>
      <c r="AN104" s="39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26"/>
      <c r="AY104" s="143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26"/>
      <c r="BK104" s="26"/>
      <c r="BL104" s="26"/>
      <c r="BM104" s="26"/>
      <c r="BN104" s="26"/>
    </row>
    <row r="105" spans="1:66" s="7" customFormat="1" x14ac:dyDescent="0.25">
      <c r="A105" s="7">
        <v>14</v>
      </c>
      <c r="B105" s="19" t="s">
        <v>115</v>
      </c>
      <c r="C105" s="42">
        <f>'SOTE laskennallinen rahoitus'!C65+'PELA laskennallinen rahoitus'!C60</f>
        <v>95939858.735192403</v>
      </c>
      <c r="D105" s="36">
        <f>'SOTE laskennallinen rahoitus'!D65</f>
        <v>382217731.13726842</v>
      </c>
      <c r="E105" s="36">
        <f>'SOTE laskennallinen rahoitus'!E65</f>
        <v>151937521.43370989</v>
      </c>
      <c r="F105" s="36">
        <f>'SOTE laskennallinen rahoitus'!F65</f>
        <v>139028855.24763945</v>
      </c>
      <c r="G105" s="36">
        <f>'SOTE laskennallinen rahoitus'!G65</f>
        <v>4440941.4037836911</v>
      </c>
      <c r="H105" s="36">
        <f>'SOTE laskennallinen rahoitus'!H65</f>
        <v>0</v>
      </c>
      <c r="I105" s="42">
        <f>'SOTE laskennallinen rahoitus'!I65+'PELA laskennallinen rahoitus'!D60</f>
        <v>15124241.633388916</v>
      </c>
      <c r="J105" s="36">
        <f>'SOTE laskennallinen rahoitus'!J65</f>
        <v>0</v>
      </c>
      <c r="K105" s="36">
        <f>'SOTE laskennallinen rahoitus'!K65</f>
        <v>7243877.1945380373</v>
      </c>
      <c r="L105" s="36">
        <f>'SOTE laskennallinen rahoitus'!L65</f>
        <v>0</v>
      </c>
      <c r="M105" s="36">
        <f>'SOTE laskennallinen rahoitus'!M65</f>
        <v>0</v>
      </c>
      <c r="N105" s="42">
        <f>'PELA laskennallinen rahoitus'!E60</f>
        <v>6449386.3857374396</v>
      </c>
      <c r="O105" s="160">
        <f t="shared" si="12"/>
        <v>802382413.17125809</v>
      </c>
      <c r="P105" s="27">
        <f>O105/Määräytymistekijät!C20</f>
        <v>4175.812714916774</v>
      </c>
      <c r="R105" s="36"/>
      <c r="T105" s="14"/>
      <c r="W105" s="14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7"/>
      <c r="AJ105" s="147"/>
      <c r="AK105" s="149"/>
      <c r="AL105" s="12"/>
      <c r="AM105" s="14"/>
      <c r="AN105" s="39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26"/>
      <c r="AY105" s="143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26"/>
      <c r="BK105" s="26"/>
      <c r="BL105" s="26"/>
      <c r="BM105" s="26"/>
      <c r="BN105" s="26"/>
    </row>
    <row r="106" spans="1:66" s="7" customFormat="1" x14ac:dyDescent="0.25">
      <c r="A106" s="7">
        <v>15</v>
      </c>
      <c r="B106" s="19" t="s">
        <v>114</v>
      </c>
      <c r="C106" s="42">
        <f>'SOTE laskennallinen rahoitus'!C66+'PELA laskennallinen rahoitus'!C61</f>
        <v>87784346.621840149</v>
      </c>
      <c r="D106" s="36">
        <f>'SOTE laskennallinen rahoitus'!D66</f>
        <v>310228264.83362007</v>
      </c>
      <c r="E106" s="36">
        <f>'SOTE laskennallinen rahoitus'!E66</f>
        <v>107265361.34642635</v>
      </c>
      <c r="F106" s="36">
        <f>'SOTE laskennallinen rahoitus'!F66</f>
        <v>100222453.36193474</v>
      </c>
      <c r="G106" s="36">
        <f>'SOTE laskennallinen rahoitus'!G66</f>
        <v>12651328.400568226</v>
      </c>
      <c r="H106" s="36">
        <f>'SOTE laskennallinen rahoitus'!H66</f>
        <v>36663677.98309993</v>
      </c>
      <c r="I106" s="42">
        <f>'SOTE laskennallinen rahoitus'!I66+'PELA laskennallinen rahoitus'!D61</f>
        <v>8763806.4146892</v>
      </c>
      <c r="J106" s="36">
        <f>'SOTE laskennallinen rahoitus'!J66</f>
        <v>3662506.9533965248</v>
      </c>
      <c r="K106" s="36">
        <f>'SOTE laskennallinen rahoitus'!K66</f>
        <v>6628100.5091589885</v>
      </c>
      <c r="L106" s="36">
        <f>'SOTE laskennallinen rahoitus'!L66</f>
        <v>0</v>
      </c>
      <c r="M106" s="36">
        <f>'SOTE laskennallinen rahoitus'!M66</f>
        <v>0</v>
      </c>
      <c r="N106" s="42">
        <f>'PELA laskennallinen rahoitus'!E61</f>
        <v>4561761.1021069689</v>
      </c>
      <c r="O106" s="160">
        <f t="shared" si="12"/>
        <v>678431607.52684116</v>
      </c>
      <c r="P106" s="27">
        <f>O106/Määräytymistekijät!C21</f>
        <v>3858.7592001117141</v>
      </c>
      <c r="R106" s="36"/>
      <c r="T106" s="14"/>
      <c r="W106" s="14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7"/>
      <c r="AJ106" s="147"/>
      <c r="AK106" s="149"/>
      <c r="AL106" s="12"/>
      <c r="AM106" s="14"/>
      <c r="AN106" s="39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26"/>
      <c r="AY106" s="143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26"/>
      <c r="BK106" s="26"/>
      <c r="BL106" s="26"/>
      <c r="BM106" s="26"/>
      <c r="BN106" s="26"/>
    </row>
    <row r="107" spans="1:66" s="7" customFormat="1" x14ac:dyDescent="0.25">
      <c r="A107" s="7">
        <v>16</v>
      </c>
      <c r="B107" s="19" t="s">
        <v>113</v>
      </c>
      <c r="C107" s="42">
        <f>'SOTE laskennallinen rahoitus'!C67+'PELA laskennallinen rahoitus'!C62</f>
        <v>33946183.271861881</v>
      </c>
      <c r="D107" s="36">
        <f>'SOTE laskennallinen rahoitus'!D67</f>
        <v>139208831.09733817</v>
      </c>
      <c r="E107" s="36">
        <f>'SOTE laskennallinen rahoitus'!E67</f>
        <v>50853108.010770902</v>
      </c>
      <c r="F107" s="36">
        <f>'SOTE laskennallinen rahoitus'!F67</f>
        <v>51886830.535924055</v>
      </c>
      <c r="G107" s="36">
        <f>'SOTE laskennallinen rahoitus'!G67</f>
        <v>2063691.8667593561</v>
      </c>
      <c r="H107" s="36">
        <f>'SOTE laskennallinen rahoitus'!H67</f>
        <v>2530672.4579680245</v>
      </c>
      <c r="I107" s="42">
        <f>'SOTE laskennallinen rahoitus'!I67+'PELA laskennallinen rahoitus'!D62</f>
        <v>5582106.6068883482</v>
      </c>
      <c r="J107" s="36">
        <f>'SOTE laskennallinen rahoitus'!J67</f>
        <v>0</v>
      </c>
      <c r="K107" s="36">
        <f>'SOTE laskennallinen rahoitus'!K67</f>
        <v>2563084.687495457</v>
      </c>
      <c r="L107" s="36">
        <f>'SOTE laskennallinen rahoitus'!L67</f>
        <v>0</v>
      </c>
      <c r="M107" s="36">
        <f>'SOTE laskennallinen rahoitus'!M67</f>
        <v>0</v>
      </c>
      <c r="N107" s="42">
        <f>'PELA laskennallinen rahoitus'!E62</f>
        <v>2044927.3905996762</v>
      </c>
      <c r="O107" s="160">
        <f t="shared" si="12"/>
        <v>290679435.92560589</v>
      </c>
      <c r="P107" s="27">
        <f>O107/Määräytymistekijät!C22</f>
        <v>4275.4520786845605</v>
      </c>
      <c r="R107" s="36"/>
      <c r="T107" s="14"/>
      <c r="W107" s="14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7"/>
      <c r="AJ107" s="147"/>
      <c r="AK107" s="149"/>
      <c r="AL107" s="12"/>
      <c r="AM107" s="14"/>
      <c r="AN107" s="39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26"/>
      <c r="AY107" s="143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26"/>
      <c r="BK107" s="26"/>
      <c r="BL107" s="26"/>
      <c r="BM107" s="26"/>
      <c r="BN107" s="26"/>
    </row>
    <row r="108" spans="1:66" s="7" customFormat="1" x14ac:dyDescent="0.25">
      <c r="A108" s="7">
        <v>17</v>
      </c>
      <c r="B108" s="19" t="s">
        <v>112</v>
      </c>
      <c r="C108" s="42">
        <f>'SOTE laskennallinen rahoitus'!C68+'PELA laskennallinen rahoitus'!C63</f>
        <v>206623948.68792439</v>
      </c>
      <c r="D108" s="36">
        <f>'SOTE laskennallinen rahoitus'!D68</f>
        <v>742918371.31042457</v>
      </c>
      <c r="E108" s="36">
        <f>'SOTE laskennallinen rahoitus'!E68</f>
        <v>248895565.04670563</v>
      </c>
      <c r="F108" s="36">
        <f>'SOTE laskennallinen rahoitus'!F68</f>
        <v>316457229.76553732</v>
      </c>
      <c r="G108" s="36">
        <f>'SOTE laskennallinen rahoitus'!G68</f>
        <v>12402411.850019412</v>
      </c>
      <c r="H108" s="36">
        <f>'SOTE laskennallinen rahoitus'!H68</f>
        <v>0</v>
      </c>
      <c r="I108" s="42">
        <f>'SOTE laskennallinen rahoitus'!I68+'PELA laskennallinen rahoitus'!D63</f>
        <v>40851900.195476659</v>
      </c>
      <c r="J108" s="36">
        <f>'SOTE laskennallinen rahoitus'!J68</f>
        <v>633609.64999740687</v>
      </c>
      <c r="K108" s="36">
        <f>'SOTE laskennallinen rahoitus'!K68</f>
        <v>15601008.063573645</v>
      </c>
      <c r="L108" s="36">
        <f>'SOTE laskennallinen rahoitus'!L68</f>
        <v>0</v>
      </c>
      <c r="M108" s="36">
        <f>'SOTE laskennallinen rahoitus'!M68</f>
        <v>43326027.849409379</v>
      </c>
      <c r="N108" s="42">
        <f>'PELA laskennallinen rahoitus'!E63</f>
        <v>11129124.068071315</v>
      </c>
      <c r="O108" s="160">
        <f t="shared" si="12"/>
        <v>1638839196.4871399</v>
      </c>
      <c r="P108" s="27">
        <f>O108/Määräytymistekijät!C23</f>
        <v>3960.1749425782082</v>
      </c>
      <c r="R108" s="36"/>
      <c r="T108" s="14"/>
      <c r="W108" s="14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7"/>
      <c r="AJ108" s="147"/>
      <c r="AK108" s="149"/>
      <c r="AL108" s="12"/>
      <c r="AM108" s="14"/>
      <c r="AN108" s="39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26"/>
      <c r="AY108" s="143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26"/>
      <c r="BK108" s="26"/>
      <c r="BL108" s="26"/>
      <c r="BM108" s="26"/>
      <c r="BN108" s="26"/>
    </row>
    <row r="109" spans="1:66" s="7" customFormat="1" x14ac:dyDescent="0.25">
      <c r="A109" s="7">
        <v>18</v>
      </c>
      <c r="B109" s="19" t="s">
        <v>111</v>
      </c>
      <c r="C109" s="42">
        <f>'SOTE laskennallinen rahoitus'!C69+'PELA laskennallinen rahoitus'!C64</f>
        <v>35781597.899551541</v>
      </c>
      <c r="D109" s="36">
        <f>'SOTE laskennallinen rahoitus'!D69</f>
        <v>147842446.02260751</v>
      </c>
      <c r="E109" s="36">
        <f>'SOTE laskennallinen rahoitus'!E69</f>
        <v>60919923.753168881</v>
      </c>
      <c r="F109" s="36">
        <f>'SOTE laskennallinen rahoitus'!F69</f>
        <v>60378615.693306573</v>
      </c>
      <c r="G109" s="36">
        <f>'SOTE laskennallinen rahoitus'!G69</f>
        <v>2158241.564254642</v>
      </c>
      <c r="H109" s="36">
        <f>'SOTE laskennallinen rahoitus'!H69</f>
        <v>0</v>
      </c>
      <c r="I109" s="42">
        <f>'SOTE laskennallinen rahoitus'!I69+'PELA laskennallinen rahoitus'!D64</f>
        <v>22245847.448191226</v>
      </c>
      <c r="J109" s="36">
        <f>'SOTE laskennallinen rahoitus'!J69</f>
        <v>0</v>
      </c>
      <c r="K109" s="36">
        <f>'SOTE laskennallinen rahoitus'!K69</f>
        <v>2701666.485919198</v>
      </c>
      <c r="L109" s="36">
        <f>'SOTE laskennallinen rahoitus'!L69</f>
        <v>0</v>
      </c>
      <c r="M109" s="36">
        <f>'SOTE laskennallinen rahoitus'!M69</f>
        <v>0</v>
      </c>
      <c r="N109" s="42">
        <f>'PELA laskennallinen rahoitus'!E64</f>
        <v>2949414.5056726104</v>
      </c>
      <c r="O109" s="160">
        <f t="shared" si="12"/>
        <v>334977753.3726722</v>
      </c>
      <c r="P109" s="27">
        <f>O109/Määräytymistekijät!C24</f>
        <v>4674.282113371738</v>
      </c>
      <c r="R109" s="36"/>
      <c r="T109" s="14"/>
      <c r="W109" s="14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7"/>
      <c r="AJ109" s="147"/>
      <c r="AK109" s="149"/>
      <c r="AL109" s="12"/>
      <c r="AM109" s="14"/>
      <c r="AN109" s="39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26"/>
      <c r="AY109" s="143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26"/>
      <c r="BK109" s="26"/>
      <c r="BL109" s="26"/>
      <c r="BM109" s="26"/>
      <c r="BN109" s="26"/>
    </row>
    <row r="110" spans="1:66" s="7" customFormat="1" x14ac:dyDescent="0.25">
      <c r="A110" s="7">
        <v>19</v>
      </c>
      <c r="B110" s="19" t="s">
        <v>110</v>
      </c>
      <c r="C110" s="42">
        <f>'SOTE laskennallinen rahoitus'!C70+'PELA laskennallinen rahoitus'!C65</f>
        <v>88208249.510553032</v>
      </c>
      <c r="D110" s="36">
        <f>'SOTE laskennallinen rahoitus'!D70</f>
        <v>349130212.76059681</v>
      </c>
      <c r="E110" s="36">
        <f>'SOTE laskennallinen rahoitus'!E70</f>
        <v>129433472.07676813</v>
      </c>
      <c r="F110" s="36">
        <f>'SOTE laskennallinen rahoitus'!F70</f>
        <v>151886118.85770646</v>
      </c>
      <c r="G110" s="36">
        <f>'SOTE laskennallinen rahoitus'!G70</f>
        <v>4971577.4611551948</v>
      </c>
      <c r="H110" s="36">
        <f>'SOTE laskennallinen rahoitus'!H70</f>
        <v>0</v>
      </c>
      <c r="I110" s="42">
        <f>'SOTE laskennallinen rahoitus'!I70+'PELA laskennallinen rahoitus'!D65</f>
        <v>101833968.12199092</v>
      </c>
      <c r="J110" s="36">
        <f>'SOTE laskennallinen rahoitus'!J70</f>
        <v>0</v>
      </c>
      <c r="K110" s="36">
        <f>'SOTE laskennallinen rahoitus'!K70</f>
        <v>6660107.0235392265</v>
      </c>
      <c r="L110" s="36">
        <f>'SOTE laskennallinen rahoitus'!L70</f>
        <v>2697279.5199992419</v>
      </c>
      <c r="M110" s="36">
        <f>'SOTE laskennallinen rahoitus'!M70</f>
        <v>0</v>
      </c>
      <c r="N110" s="42">
        <f>'PELA laskennallinen rahoitus'!E65</f>
        <v>6213433.2252836321</v>
      </c>
      <c r="O110" s="160">
        <f t="shared" si="12"/>
        <v>841034418.55759263</v>
      </c>
      <c r="P110" s="27">
        <f>O110/Määräytymistekijät!C25</f>
        <v>4760.6170919966753</v>
      </c>
      <c r="R110" s="36"/>
      <c r="T110" s="14"/>
      <c r="W110" s="14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7"/>
      <c r="AJ110" s="147"/>
      <c r="AK110" s="149"/>
      <c r="AL110" s="12"/>
      <c r="AM110" s="14"/>
      <c r="AN110" s="39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26"/>
      <c r="AY110" s="143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26"/>
      <c r="BK110" s="26"/>
      <c r="BL110" s="26"/>
      <c r="BM110" s="26"/>
      <c r="BN110" s="26"/>
    </row>
    <row r="111" spans="1:66" s="7" customFormat="1" x14ac:dyDescent="0.25">
      <c r="B111" s="19" t="s">
        <v>109</v>
      </c>
      <c r="C111" s="59">
        <f t="shared" ref="C111:O111" si="13">SUM(C89:C110)</f>
        <v>2747961210.9599991</v>
      </c>
      <c r="D111" s="59">
        <f t="shared" si="13"/>
        <v>9946942499.8830643</v>
      </c>
      <c r="E111" s="59">
        <f t="shared" si="13"/>
        <v>3336918041.9089713</v>
      </c>
      <c r="F111" s="59">
        <f t="shared" si="13"/>
        <v>3615633066.2079659</v>
      </c>
      <c r="G111" s="59">
        <f t="shared" si="13"/>
        <v>414966079.99999988</v>
      </c>
      <c r="H111" s="59">
        <f t="shared" si="13"/>
        <v>103741520</v>
      </c>
      <c r="I111" s="59">
        <f t="shared" si="13"/>
        <v>335488409.99999988</v>
      </c>
      <c r="J111" s="59">
        <f t="shared" si="13"/>
        <v>23445583.519999996</v>
      </c>
      <c r="K111" s="59">
        <f t="shared" si="13"/>
        <v>207483039.99999994</v>
      </c>
      <c r="L111" s="59">
        <f t="shared" si="13"/>
        <v>2697279.5199992419</v>
      </c>
      <c r="M111" s="59">
        <f>'SOTE laskennallinen rahoitus'!M71</f>
        <v>352721167.99999994</v>
      </c>
      <c r="N111" s="59">
        <f t="shared" si="13"/>
        <v>145583100.00000003</v>
      </c>
      <c r="O111" s="160">
        <f t="shared" si="13"/>
        <v>21233581000</v>
      </c>
      <c r="P111" s="27">
        <f>O111/Määräytymistekijät!C26</f>
        <v>3858.080907555403</v>
      </c>
      <c r="R111" s="36"/>
      <c r="T111" s="14"/>
      <c r="W111" s="14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7"/>
      <c r="AJ111" s="147"/>
      <c r="AK111" s="149"/>
      <c r="AL111" s="12"/>
      <c r="AM111" s="14"/>
      <c r="AN111" s="39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26"/>
      <c r="AY111" s="143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26"/>
      <c r="BK111" s="26"/>
      <c r="BL111" s="26"/>
      <c r="BM111" s="26"/>
      <c r="BN111" s="26"/>
    </row>
    <row r="112" spans="1:66" ht="31.5" x14ac:dyDescent="0.25">
      <c r="B112" s="151" t="s">
        <v>521</v>
      </c>
      <c r="C112" s="84">
        <f t="shared" ref="C112:L112" si="14">C111/$O$111</f>
        <v>0.12941581596434437</v>
      </c>
      <c r="D112" s="84">
        <f t="shared" si="14"/>
        <v>0.46845336638615337</v>
      </c>
      <c r="E112" s="84">
        <f t="shared" si="14"/>
        <v>0.15715286281239943</v>
      </c>
      <c r="F112" s="84">
        <f t="shared" si="14"/>
        <v>0.1702790059862237</v>
      </c>
      <c r="G112" s="84">
        <f t="shared" si="14"/>
        <v>1.9542915535537782E-2</v>
      </c>
      <c r="H112" s="84">
        <f t="shared" si="14"/>
        <v>4.8857288838844472E-3</v>
      </c>
      <c r="I112" s="84">
        <f t="shared" si="14"/>
        <v>1.5799897812808866E-2</v>
      </c>
      <c r="J112" s="84">
        <f t="shared" si="14"/>
        <v>1.1041747277578849E-3</v>
      </c>
      <c r="K112" s="84">
        <f t="shared" si="14"/>
        <v>9.7714577677688909E-3</v>
      </c>
      <c r="L112" s="84">
        <f t="shared" si="14"/>
        <v>1.2702895098095992E-4</v>
      </c>
      <c r="M112" s="84">
        <f>'SOTE laskennallinen rahoitus'!M72</f>
        <v>1.6999999999999994E-2</v>
      </c>
      <c r="N112" s="84">
        <f>N111/$O$111</f>
        <v>6.8562669669331817E-3</v>
      </c>
      <c r="O112" s="162">
        <f>O111/$O$111</f>
        <v>1</v>
      </c>
      <c r="P112" s="59"/>
      <c r="T112" s="14"/>
      <c r="V112" s="7"/>
      <c r="W112" s="14"/>
      <c r="X112" s="285"/>
      <c r="Y112" s="285"/>
      <c r="Z112" s="285"/>
      <c r="AA112" s="285"/>
      <c r="AB112" s="285"/>
      <c r="AC112" s="285"/>
      <c r="AD112" s="285"/>
      <c r="AE112" s="285"/>
      <c r="AF112" s="285"/>
      <c r="AG112" s="285"/>
      <c r="AH112" s="285"/>
      <c r="AI112" s="286"/>
      <c r="AJ112" s="147"/>
      <c r="AK112" s="287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</row>
    <row r="113" spans="1:65" x14ac:dyDescent="0.25"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S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288"/>
      <c r="AJ113" s="149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</row>
    <row r="114" spans="1:65" x14ac:dyDescent="0.25">
      <c r="A114" s="20" t="s">
        <v>697</v>
      </c>
      <c r="B114" s="20"/>
      <c r="C114" s="20"/>
      <c r="D114" s="20"/>
      <c r="E114" s="20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</row>
    <row r="115" spans="1:65" x14ac:dyDescent="0.25">
      <c r="A115" s="325" t="s">
        <v>469</v>
      </c>
      <c r="B115" s="325" t="s">
        <v>134</v>
      </c>
      <c r="C115" s="49" t="s">
        <v>431</v>
      </c>
      <c r="D115" s="331" t="s">
        <v>542</v>
      </c>
      <c r="E115" s="331" t="s">
        <v>543</v>
      </c>
      <c r="F115" s="331" t="s">
        <v>544</v>
      </c>
      <c r="G115" s="49" t="s">
        <v>433</v>
      </c>
      <c r="H115" s="49" t="s">
        <v>430</v>
      </c>
      <c r="I115" s="49" t="s">
        <v>429</v>
      </c>
      <c r="J115" s="49" t="s">
        <v>480</v>
      </c>
      <c r="K115" s="49" t="s">
        <v>479</v>
      </c>
      <c r="L115" s="49" t="s">
        <v>559</v>
      </c>
      <c r="M115" s="49" t="s">
        <v>662</v>
      </c>
      <c r="N115" s="50" t="s">
        <v>589</v>
      </c>
      <c r="O115" s="332" t="s">
        <v>508</v>
      </c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</row>
    <row r="116" spans="1:65" x14ac:dyDescent="0.25">
      <c r="A116" s="79">
        <v>31</v>
      </c>
      <c r="B116" s="80" t="s">
        <v>131</v>
      </c>
      <c r="C116" s="42">
        <f t="shared" ref="C116:O116" si="15">C89/$C10</f>
        <v>499.29668870774088</v>
      </c>
      <c r="D116" s="42">
        <f t="shared" si="15"/>
        <v>1604.733638600828</v>
      </c>
      <c r="E116" s="42">
        <f t="shared" si="15"/>
        <v>447.15463317224493</v>
      </c>
      <c r="F116" s="42">
        <f t="shared" si="15"/>
        <v>538.00365815493774</v>
      </c>
      <c r="G116" s="42">
        <f t="shared" si="15"/>
        <v>160.45709678794771</v>
      </c>
      <c r="H116" s="42">
        <f t="shared" si="15"/>
        <v>23.026268914142285</v>
      </c>
      <c r="I116" s="42">
        <f t="shared" si="15"/>
        <v>0.40573329333472002</v>
      </c>
      <c r="J116" s="42">
        <f t="shared" si="15"/>
        <v>0</v>
      </c>
      <c r="K116" s="42">
        <f t="shared" si="15"/>
        <v>37.699074652813103</v>
      </c>
      <c r="L116" s="42">
        <f t="shared" si="15"/>
        <v>0</v>
      </c>
      <c r="M116" s="42">
        <f t="shared" si="15"/>
        <v>104.69523197788797</v>
      </c>
      <c r="N116" s="42">
        <f t="shared" si="15"/>
        <v>10.595838509083844</v>
      </c>
      <c r="O116" s="27">
        <f t="shared" si="15"/>
        <v>3426.0678627709608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</row>
    <row r="117" spans="1:65" x14ac:dyDescent="0.25">
      <c r="A117" s="79">
        <v>32</v>
      </c>
      <c r="B117" s="80" t="s">
        <v>130</v>
      </c>
      <c r="C117" s="42">
        <f t="shared" ref="C117:O117" si="16">C90/$C11</f>
        <v>499.29668870774083</v>
      </c>
      <c r="D117" s="42">
        <f t="shared" si="16"/>
        <v>1560.9123103428833</v>
      </c>
      <c r="E117" s="42">
        <f t="shared" si="16"/>
        <v>333.72642191311598</v>
      </c>
      <c r="F117" s="42">
        <f t="shared" si="16"/>
        <v>534.90452034691509</v>
      </c>
      <c r="G117" s="42">
        <f t="shared" si="16"/>
        <v>196.26016548833363</v>
      </c>
      <c r="H117" s="42">
        <f t="shared" si="16"/>
        <v>9.0506958119882945</v>
      </c>
      <c r="I117" s="42">
        <f t="shared" si="16"/>
        <v>1.0727381904733357</v>
      </c>
      <c r="J117" s="42">
        <f t="shared" si="16"/>
        <v>0</v>
      </c>
      <c r="K117" s="42">
        <f t="shared" si="16"/>
        <v>37.699074652813103</v>
      </c>
      <c r="L117" s="42">
        <f t="shared" si="16"/>
        <v>0</v>
      </c>
      <c r="M117" s="42">
        <f t="shared" si="16"/>
        <v>104.69523197788797</v>
      </c>
      <c r="N117" s="42">
        <f t="shared" si="16"/>
        <v>22.218945545086051</v>
      </c>
      <c r="O117" s="27">
        <f t="shared" si="16"/>
        <v>3299.8367929772371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</row>
    <row r="118" spans="1:65" x14ac:dyDescent="0.25">
      <c r="A118" s="79">
        <v>33</v>
      </c>
      <c r="B118" s="80" t="s">
        <v>129</v>
      </c>
      <c r="C118" s="42">
        <f t="shared" ref="C118:O118" si="17">C91/$C12</f>
        <v>499.29668870774083</v>
      </c>
      <c r="D118" s="42">
        <f t="shared" si="17"/>
        <v>1530.031643035742</v>
      </c>
      <c r="E118" s="42">
        <f t="shared" si="17"/>
        <v>370.79335817541619</v>
      </c>
      <c r="F118" s="42">
        <f t="shared" si="17"/>
        <v>499.28478004700617</v>
      </c>
      <c r="G118" s="42">
        <f t="shared" si="17"/>
        <v>136.79494172518145</v>
      </c>
      <c r="H118" s="42">
        <f t="shared" si="17"/>
        <v>49.829486170205094</v>
      </c>
      <c r="I118" s="42">
        <f t="shared" si="17"/>
        <v>10.286511073239829</v>
      </c>
      <c r="J118" s="42">
        <f t="shared" si="17"/>
        <v>0</v>
      </c>
      <c r="K118" s="42">
        <f t="shared" si="17"/>
        <v>37.699074652813103</v>
      </c>
      <c r="L118" s="42">
        <f t="shared" si="17"/>
        <v>0</v>
      </c>
      <c r="M118" s="42">
        <f t="shared" si="17"/>
        <v>104.69523197788797</v>
      </c>
      <c r="N118" s="42">
        <f t="shared" si="17"/>
        <v>22.076300578366844</v>
      </c>
      <c r="O118" s="27">
        <f t="shared" si="17"/>
        <v>3260.7880161435996</v>
      </c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</row>
    <row r="119" spans="1:65" x14ac:dyDescent="0.25">
      <c r="A119" s="79">
        <v>34</v>
      </c>
      <c r="B119" s="82" t="s">
        <v>128</v>
      </c>
      <c r="C119" s="42">
        <f t="shared" ref="C119:O119" si="18">C92/$C13</f>
        <v>499.29668870774077</v>
      </c>
      <c r="D119" s="42">
        <f t="shared" si="18"/>
        <v>1729.1932608946222</v>
      </c>
      <c r="E119" s="42">
        <f t="shared" si="18"/>
        <v>544.37375984645917</v>
      </c>
      <c r="F119" s="42">
        <f t="shared" si="18"/>
        <v>556.07826125638428</v>
      </c>
      <c r="G119" s="42">
        <f t="shared" si="18"/>
        <v>59.112635069707096</v>
      </c>
      <c r="H119" s="42">
        <f t="shared" si="18"/>
        <v>117.65692227777537</v>
      </c>
      <c r="I119" s="42">
        <f t="shared" si="18"/>
        <v>31.900326429014306</v>
      </c>
      <c r="J119" s="42">
        <f t="shared" si="18"/>
        <v>0</v>
      </c>
      <c r="K119" s="42">
        <f t="shared" si="18"/>
        <v>37.699074652813103</v>
      </c>
      <c r="L119" s="42">
        <f t="shared" si="18"/>
        <v>0</v>
      </c>
      <c r="M119" s="42">
        <f t="shared" si="18"/>
        <v>104.69523197788796</v>
      </c>
      <c r="N119" s="42">
        <f t="shared" si="18"/>
        <v>23.614367636898105</v>
      </c>
      <c r="O119" s="27">
        <f t="shared" si="18"/>
        <v>3703.6205287493026</v>
      </c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</row>
    <row r="120" spans="1:65" x14ac:dyDescent="0.25">
      <c r="A120" s="81">
        <v>35</v>
      </c>
      <c r="B120" s="82" t="s">
        <v>127</v>
      </c>
      <c r="C120" s="42">
        <f t="shared" ref="C120:O120" si="19">C93/$C14</f>
        <v>499.29668870774077</v>
      </c>
      <c r="D120" s="42">
        <f t="shared" si="19"/>
        <v>1620.9322502985074</v>
      </c>
      <c r="E120" s="42">
        <f t="shared" si="19"/>
        <v>430.26485601087904</v>
      </c>
      <c r="F120" s="42">
        <f t="shared" si="19"/>
        <v>550.36288830673686</v>
      </c>
      <c r="G120" s="42">
        <f t="shared" si="19"/>
        <v>57.593287026662217</v>
      </c>
      <c r="H120" s="42">
        <f t="shared" si="19"/>
        <v>0</v>
      </c>
      <c r="I120" s="42">
        <f t="shared" si="19"/>
        <v>9.1710635200571833</v>
      </c>
      <c r="J120" s="42">
        <f t="shared" si="19"/>
        <v>0</v>
      </c>
      <c r="K120" s="42">
        <f t="shared" si="19"/>
        <v>37.699074652813103</v>
      </c>
      <c r="L120" s="42">
        <f t="shared" si="19"/>
        <v>0</v>
      </c>
      <c r="M120" s="42">
        <f t="shared" si="19"/>
        <v>104.69523197788797</v>
      </c>
      <c r="N120" s="42">
        <f t="shared" si="19"/>
        <v>26.633954297951629</v>
      </c>
      <c r="O120" s="27">
        <f t="shared" si="19"/>
        <v>3336.6492947992351</v>
      </c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</row>
    <row r="121" spans="1:65" x14ac:dyDescent="0.25">
      <c r="A121" s="7">
        <v>2</v>
      </c>
      <c r="B121" s="19" t="s">
        <v>126</v>
      </c>
      <c r="C121" s="42">
        <f t="shared" ref="C121:O121" si="20">C94/$C15</f>
        <v>499.29668870774088</v>
      </c>
      <c r="D121" s="42">
        <f t="shared" si="20"/>
        <v>1833.0395925546738</v>
      </c>
      <c r="E121" s="42">
        <f t="shared" si="20"/>
        <v>649.42871154993941</v>
      </c>
      <c r="F121" s="42">
        <f t="shared" si="20"/>
        <v>662.63754285500488</v>
      </c>
      <c r="G121" s="42">
        <f t="shared" si="20"/>
        <v>75.872246367654455</v>
      </c>
      <c r="H121" s="42">
        <f t="shared" si="20"/>
        <v>23.384474704711984</v>
      </c>
      <c r="I121" s="42">
        <f t="shared" si="20"/>
        <v>25.545669724904325</v>
      </c>
      <c r="J121" s="42">
        <f t="shared" si="20"/>
        <v>31.461867701405165</v>
      </c>
      <c r="K121" s="42">
        <f t="shared" si="20"/>
        <v>37.699074652813103</v>
      </c>
      <c r="L121" s="42">
        <f t="shared" si="20"/>
        <v>0</v>
      </c>
      <c r="M121" s="42">
        <f t="shared" si="20"/>
        <v>104.69523197788797</v>
      </c>
      <c r="N121" s="42">
        <f t="shared" si="20"/>
        <v>25.977232181876445</v>
      </c>
      <c r="O121" s="27">
        <f t="shared" si="20"/>
        <v>3969.0383329786132</v>
      </c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</row>
    <row r="122" spans="1:65" x14ac:dyDescent="0.25">
      <c r="A122" s="7">
        <v>4</v>
      </c>
      <c r="B122" s="19" t="s">
        <v>125</v>
      </c>
      <c r="C122" s="42">
        <f t="shared" ref="C122:O122" si="21">C95/$C16</f>
        <v>499.29668870774083</v>
      </c>
      <c r="D122" s="42">
        <f t="shared" si="21"/>
        <v>1917.7109755809684</v>
      </c>
      <c r="E122" s="42">
        <f t="shared" si="21"/>
        <v>711.79576393373657</v>
      </c>
      <c r="F122" s="42">
        <f t="shared" si="21"/>
        <v>721.93772398924398</v>
      </c>
      <c r="G122" s="42">
        <f t="shared" si="21"/>
        <v>38.26189865296368</v>
      </c>
      <c r="H122" s="42">
        <f t="shared" si="21"/>
        <v>0</v>
      </c>
      <c r="I122" s="42">
        <f t="shared" si="21"/>
        <v>40.797348449772421</v>
      </c>
      <c r="J122" s="42">
        <f t="shared" si="21"/>
        <v>0</v>
      </c>
      <c r="K122" s="42">
        <f t="shared" si="21"/>
        <v>37.699074652813103</v>
      </c>
      <c r="L122" s="42">
        <f t="shared" si="21"/>
        <v>0</v>
      </c>
      <c r="M122" s="42">
        <f t="shared" si="21"/>
        <v>0</v>
      </c>
      <c r="N122" s="42">
        <f t="shared" si="21"/>
        <v>37.424021345544439</v>
      </c>
      <c r="O122" s="27">
        <f t="shared" si="21"/>
        <v>4004.9234953127825</v>
      </c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</row>
    <row r="123" spans="1:65" x14ac:dyDescent="0.25">
      <c r="A123" s="7">
        <v>5</v>
      </c>
      <c r="B123" s="19" t="s">
        <v>124</v>
      </c>
      <c r="C123" s="42">
        <f t="shared" ref="C123:O123" si="22">C96/$C17</f>
        <v>499.29668870774083</v>
      </c>
      <c r="D123" s="42">
        <f t="shared" si="22"/>
        <v>1898.9725606738184</v>
      </c>
      <c r="E123" s="42">
        <f t="shared" si="22"/>
        <v>676.45164666862399</v>
      </c>
      <c r="F123" s="42">
        <f t="shared" si="22"/>
        <v>665.62377754185127</v>
      </c>
      <c r="G123" s="42">
        <f t="shared" si="22"/>
        <v>42.697556444490054</v>
      </c>
      <c r="H123" s="42">
        <f t="shared" si="22"/>
        <v>0</v>
      </c>
      <c r="I123" s="42">
        <f t="shared" si="22"/>
        <v>33.521387936154696</v>
      </c>
      <c r="J123" s="42">
        <f t="shared" si="22"/>
        <v>0</v>
      </c>
      <c r="K123" s="42">
        <f t="shared" si="22"/>
        <v>37.699074652813103</v>
      </c>
      <c r="L123" s="42">
        <f t="shared" si="22"/>
        <v>0</v>
      </c>
      <c r="M123" s="42">
        <f t="shared" si="22"/>
        <v>0</v>
      </c>
      <c r="N123" s="42">
        <f t="shared" si="22"/>
        <v>32.045634623541886</v>
      </c>
      <c r="O123" s="27">
        <f t="shared" si="22"/>
        <v>3886.3083272490335</v>
      </c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</row>
    <row r="124" spans="1:65" x14ac:dyDescent="0.25">
      <c r="A124" s="7">
        <v>6</v>
      </c>
      <c r="B124" s="19" t="s">
        <v>123</v>
      </c>
      <c r="C124" s="42">
        <f t="shared" ref="C124:O124" si="23">C97/$C18</f>
        <v>499.29668870774083</v>
      </c>
      <c r="D124" s="42">
        <f t="shared" si="23"/>
        <v>1830.8181400762314</v>
      </c>
      <c r="E124" s="42">
        <f t="shared" si="23"/>
        <v>608.75087012299093</v>
      </c>
      <c r="F124" s="42">
        <f t="shared" si="23"/>
        <v>626.17837196112635</v>
      </c>
      <c r="G124" s="42">
        <f t="shared" si="23"/>
        <v>49.675984445096724</v>
      </c>
      <c r="H124" s="42">
        <f t="shared" si="23"/>
        <v>0</v>
      </c>
      <c r="I124" s="42">
        <f t="shared" si="23"/>
        <v>27.991509282168344</v>
      </c>
      <c r="J124" s="42">
        <f t="shared" si="23"/>
        <v>0</v>
      </c>
      <c r="K124" s="42">
        <f t="shared" si="23"/>
        <v>37.699074652813103</v>
      </c>
      <c r="L124" s="42">
        <f t="shared" si="23"/>
        <v>0</v>
      </c>
      <c r="M124" s="42">
        <f t="shared" si="23"/>
        <v>104.69523197788797</v>
      </c>
      <c r="N124" s="42">
        <f t="shared" si="23"/>
        <v>26.776004529502266</v>
      </c>
      <c r="O124" s="27">
        <f t="shared" si="23"/>
        <v>3811.8818757555578</v>
      </c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</row>
    <row r="125" spans="1:65" x14ac:dyDescent="0.25">
      <c r="A125" s="7">
        <v>7</v>
      </c>
      <c r="B125" s="19" t="s">
        <v>122</v>
      </c>
      <c r="C125" s="42">
        <f t="shared" ref="C125:O125" si="24">C98/$C19</f>
        <v>499.29668870774077</v>
      </c>
      <c r="D125" s="42">
        <f t="shared" si="24"/>
        <v>1973.9096294352171</v>
      </c>
      <c r="E125" s="42">
        <f t="shared" si="24"/>
        <v>696.74015240231847</v>
      </c>
      <c r="F125" s="42">
        <f t="shared" si="24"/>
        <v>703.70631752422139</v>
      </c>
      <c r="G125" s="42">
        <f t="shared" si="24"/>
        <v>53.966620619709239</v>
      </c>
      <c r="H125" s="42">
        <f t="shared" si="24"/>
        <v>0</v>
      </c>
      <c r="I125" s="42">
        <f t="shared" si="24"/>
        <v>30.747300602541401</v>
      </c>
      <c r="J125" s="42">
        <f t="shared" si="24"/>
        <v>0</v>
      </c>
      <c r="K125" s="42">
        <f t="shared" si="24"/>
        <v>37.699074652813103</v>
      </c>
      <c r="L125" s="42">
        <f t="shared" si="24"/>
        <v>0</v>
      </c>
      <c r="M125" s="42">
        <f t="shared" si="24"/>
        <v>0</v>
      </c>
      <c r="N125" s="42">
        <f t="shared" si="24"/>
        <v>30.769203656057151</v>
      </c>
      <c r="O125" s="27">
        <f t="shared" si="24"/>
        <v>4026.8349876006187</v>
      </c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</row>
    <row r="126" spans="1:65" x14ac:dyDescent="0.25">
      <c r="A126" s="7">
        <v>8</v>
      </c>
      <c r="B126" s="19" t="s">
        <v>121</v>
      </c>
      <c r="C126" s="42">
        <f t="shared" ref="C126:O126" si="25">C99/$C20</f>
        <v>499.29668870774077</v>
      </c>
      <c r="D126" s="42">
        <f t="shared" si="25"/>
        <v>2025.4805086694864</v>
      </c>
      <c r="E126" s="42">
        <f t="shared" si="25"/>
        <v>851.36567814886348</v>
      </c>
      <c r="F126" s="42">
        <f t="shared" si="25"/>
        <v>764.5439078610757</v>
      </c>
      <c r="G126" s="42">
        <f t="shared" si="25"/>
        <v>60.176591435159089</v>
      </c>
      <c r="H126" s="42">
        <f t="shared" si="25"/>
        <v>3.1269053380919285</v>
      </c>
      <c r="I126" s="42">
        <f t="shared" si="25"/>
        <v>31.489119013022133</v>
      </c>
      <c r="J126" s="42">
        <f t="shared" si="25"/>
        <v>0</v>
      </c>
      <c r="K126" s="42">
        <f t="shared" si="25"/>
        <v>37.699074652813103</v>
      </c>
      <c r="L126" s="42">
        <f t="shared" si="25"/>
        <v>0</v>
      </c>
      <c r="M126" s="42">
        <f t="shared" si="25"/>
        <v>0</v>
      </c>
      <c r="N126" s="42">
        <f t="shared" si="25"/>
        <v>38.163238737216119</v>
      </c>
      <c r="O126" s="27">
        <f t="shared" si="25"/>
        <v>4311.3417125634696</v>
      </c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</row>
    <row r="127" spans="1:65" x14ac:dyDescent="0.25">
      <c r="A127" s="7">
        <v>9</v>
      </c>
      <c r="B127" s="19" t="s">
        <v>120</v>
      </c>
      <c r="C127" s="42">
        <f t="shared" ref="C127:O127" si="26">C100/$C21</f>
        <v>499.29668870774077</v>
      </c>
      <c r="D127" s="42">
        <f t="shared" si="26"/>
        <v>1866.2174485717003</v>
      </c>
      <c r="E127" s="42">
        <f t="shared" si="26"/>
        <v>734.41167088449913</v>
      </c>
      <c r="F127" s="42">
        <f t="shared" si="26"/>
        <v>658.63067648446201</v>
      </c>
      <c r="G127" s="42">
        <f t="shared" si="26"/>
        <v>62.8797937525501</v>
      </c>
      <c r="H127" s="42">
        <f t="shared" si="26"/>
        <v>0</v>
      </c>
      <c r="I127" s="42">
        <f t="shared" si="26"/>
        <v>46.672739063490852</v>
      </c>
      <c r="J127" s="42">
        <f t="shared" si="26"/>
        <v>0</v>
      </c>
      <c r="K127" s="42">
        <f t="shared" si="26"/>
        <v>37.699074652813103</v>
      </c>
      <c r="L127" s="42">
        <f t="shared" si="26"/>
        <v>0</v>
      </c>
      <c r="M127" s="42">
        <f t="shared" si="26"/>
        <v>0</v>
      </c>
      <c r="N127" s="42">
        <f t="shared" si="26"/>
        <v>37.800791536158542</v>
      </c>
      <c r="O127" s="27">
        <f t="shared" si="26"/>
        <v>3943.608883653415</v>
      </c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</row>
    <row r="128" spans="1:65" x14ac:dyDescent="0.25">
      <c r="A128" s="7">
        <v>10</v>
      </c>
      <c r="B128" s="19" t="s">
        <v>119</v>
      </c>
      <c r="C128" s="42">
        <f t="shared" ref="C128:O128" si="27">C101/$C22</f>
        <v>499.29668870774077</v>
      </c>
      <c r="D128" s="42">
        <f t="shared" si="27"/>
        <v>2059.7201801873625</v>
      </c>
      <c r="E128" s="42">
        <f t="shared" si="27"/>
        <v>885.61685647598551</v>
      </c>
      <c r="F128" s="42">
        <f t="shared" si="27"/>
        <v>800.60092747109729</v>
      </c>
      <c r="G128" s="42">
        <f t="shared" si="27"/>
        <v>33.85084945108342</v>
      </c>
      <c r="H128" s="42">
        <f t="shared" si="27"/>
        <v>0</v>
      </c>
      <c r="I128" s="42">
        <f t="shared" si="27"/>
        <v>106.40636977127046</v>
      </c>
      <c r="J128" s="42">
        <f t="shared" si="27"/>
        <v>30.170075956251711</v>
      </c>
      <c r="K128" s="42">
        <f t="shared" si="27"/>
        <v>37.699074652813103</v>
      </c>
      <c r="L128" s="42">
        <f t="shared" si="27"/>
        <v>0</v>
      </c>
      <c r="M128" s="42">
        <f t="shared" si="27"/>
        <v>0</v>
      </c>
      <c r="N128" s="42">
        <f t="shared" si="27"/>
        <v>33.190599954316923</v>
      </c>
      <c r="O128" s="27">
        <f t="shared" si="27"/>
        <v>4486.5516226279233</v>
      </c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</row>
    <row r="129" spans="1:65" x14ac:dyDescent="0.25">
      <c r="A129" s="7">
        <v>11</v>
      </c>
      <c r="B129" s="19" t="s">
        <v>118</v>
      </c>
      <c r="C129" s="42">
        <f t="shared" ref="C129:O129" si="28">C102/$C23</f>
        <v>499.29668870774077</v>
      </c>
      <c r="D129" s="42">
        <f t="shared" si="28"/>
        <v>2055.6142637538806</v>
      </c>
      <c r="E129" s="42">
        <f t="shared" si="28"/>
        <v>772.57960525359988</v>
      </c>
      <c r="F129" s="42">
        <f t="shared" si="28"/>
        <v>791.08119319412674</v>
      </c>
      <c r="G129" s="42">
        <f t="shared" si="28"/>
        <v>31.058040037958381</v>
      </c>
      <c r="H129" s="42">
        <f t="shared" si="28"/>
        <v>0</v>
      </c>
      <c r="I129" s="42">
        <f t="shared" si="28"/>
        <v>77.361450782440244</v>
      </c>
      <c r="J129" s="42">
        <f t="shared" si="28"/>
        <v>0</v>
      </c>
      <c r="K129" s="42">
        <f t="shared" si="28"/>
        <v>37.699074652813103</v>
      </c>
      <c r="L129" s="42">
        <f t="shared" si="28"/>
        <v>0</v>
      </c>
      <c r="M129" s="42">
        <f t="shared" si="28"/>
        <v>104.69523197788797</v>
      </c>
      <c r="N129" s="42">
        <f t="shared" si="28"/>
        <v>29.145859950389578</v>
      </c>
      <c r="O129" s="27">
        <f t="shared" si="28"/>
        <v>4398.5314083108369</v>
      </c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</row>
    <row r="130" spans="1:65" x14ac:dyDescent="0.25">
      <c r="A130" s="7">
        <v>12</v>
      </c>
      <c r="B130" s="19" t="s">
        <v>117</v>
      </c>
      <c r="C130" s="42">
        <f t="shared" ref="C130:O130" si="29">C103/$C24</f>
        <v>499.29668870774077</v>
      </c>
      <c r="D130" s="42">
        <f t="shared" si="29"/>
        <v>2147.6151471641883</v>
      </c>
      <c r="E130" s="42">
        <f t="shared" si="29"/>
        <v>809.8512010359658</v>
      </c>
      <c r="F130" s="42">
        <f t="shared" si="29"/>
        <v>832.64974921348266</v>
      </c>
      <c r="G130" s="42">
        <f t="shared" si="29"/>
        <v>38.683274101273142</v>
      </c>
      <c r="H130" s="42">
        <f t="shared" si="29"/>
        <v>0</v>
      </c>
      <c r="I130" s="42">
        <f t="shared" si="29"/>
        <v>127.26418345972003</v>
      </c>
      <c r="J130" s="42">
        <f t="shared" si="29"/>
        <v>0</v>
      </c>
      <c r="K130" s="42">
        <f t="shared" si="29"/>
        <v>37.699074652813103</v>
      </c>
      <c r="L130" s="42">
        <f t="shared" si="29"/>
        <v>0</v>
      </c>
      <c r="M130" s="42">
        <f t="shared" si="29"/>
        <v>0</v>
      </c>
      <c r="N130" s="42">
        <f t="shared" si="29"/>
        <v>31.020459894439103</v>
      </c>
      <c r="O130" s="27">
        <f t="shared" si="29"/>
        <v>4524.0797782296231</v>
      </c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</row>
    <row r="131" spans="1:65" x14ac:dyDescent="0.25">
      <c r="A131" s="7">
        <v>13</v>
      </c>
      <c r="B131" s="19" t="s">
        <v>116</v>
      </c>
      <c r="C131" s="42">
        <f t="shared" ref="C131:O131" si="30">C104/$C25</f>
        <v>499.29668870774083</v>
      </c>
      <c r="D131" s="42">
        <f t="shared" si="30"/>
        <v>1799.6670631802981</v>
      </c>
      <c r="E131" s="42">
        <f t="shared" si="30"/>
        <v>626.38324728759164</v>
      </c>
      <c r="F131" s="42">
        <f t="shared" si="30"/>
        <v>687.96269589299879</v>
      </c>
      <c r="G131" s="42">
        <f t="shared" si="30"/>
        <v>34.799032756471156</v>
      </c>
      <c r="H131" s="42">
        <f t="shared" si="30"/>
        <v>0</v>
      </c>
      <c r="I131" s="42">
        <f t="shared" si="30"/>
        <v>65.048300444548047</v>
      </c>
      <c r="J131" s="42">
        <f t="shared" si="30"/>
        <v>0</v>
      </c>
      <c r="K131" s="42">
        <f t="shared" si="30"/>
        <v>37.699074652813103</v>
      </c>
      <c r="L131" s="42">
        <f t="shared" si="30"/>
        <v>0</v>
      </c>
      <c r="M131" s="42">
        <f t="shared" si="30"/>
        <v>0</v>
      </c>
      <c r="N131" s="42">
        <f t="shared" si="30"/>
        <v>25.676842457108915</v>
      </c>
      <c r="O131" s="27">
        <f t="shared" si="30"/>
        <v>3776.5329453795703</v>
      </c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</row>
    <row r="132" spans="1:65" x14ac:dyDescent="0.25">
      <c r="A132" s="7">
        <v>14</v>
      </c>
      <c r="B132" s="19" t="s">
        <v>115</v>
      </c>
      <c r="C132" s="42">
        <f t="shared" ref="C132:O132" si="31">C105/$C26</f>
        <v>499.29668870774083</v>
      </c>
      <c r="D132" s="42">
        <f t="shared" si="31"/>
        <v>1989.1633158327786</v>
      </c>
      <c r="E132" s="42">
        <f t="shared" si="31"/>
        <v>790.72350472916935</v>
      </c>
      <c r="F132" s="42">
        <f t="shared" si="31"/>
        <v>723.54335283705154</v>
      </c>
      <c r="G132" s="42">
        <f t="shared" si="31"/>
        <v>23.111847014226861</v>
      </c>
      <c r="H132" s="42">
        <f t="shared" si="31"/>
        <v>0</v>
      </c>
      <c r="I132" s="42">
        <f t="shared" si="31"/>
        <v>78.71059918495402</v>
      </c>
      <c r="J132" s="42">
        <f t="shared" si="31"/>
        <v>0</v>
      </c>
      <c r="K132" s="42">
        <f t="shared" si="31"/>
        <v>37.699074652813103</v>
      </c>
      <c r="L132" s="42">
        <f t="shared" si="31"/>
        <v>0</v>
      </c>
      <c r="M132" s="42">
        <f t="shared" si="31"/>
        <v>0</v>
      </c>
      <c r="N132" s="42">
        <f t="shared" si="31"/>
        <v>33.564331958040277</v>
      </c>
      <c r="O132" s="27">
        <f t="shared" si="31"/>
        <v>4175.812714916774</v>
      </c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</row>
    <row r="133" spans="1:65" x14ac:dyDescent="0.25">
      <c r="A133" s="7">
        <v>15</v>
      </c>
      <c r="B133" s="19" t="s">
        <v>114</v>
      </c>
      <c r="C133" s="42">
        <f t="shared" ref="C133:O133" si="32">C106/$C27</f>
        <v>499.29668870774077</v>
      </c>
      <c r="D133" s="42">
        <f t="shared" si="32"/>
        <v>1764.5053057379309</v>
      </c>
      <c r="E133" s="42">
        <f t="shared" si="32"/>
        <v>610.10011231302246</v>
      </c>
      <c r="F133" s="42">
        <f t="shared" si="32"/>
        <v>570.04171043553902</v>
      </c>
      <c r="G133" s="42">
        <f t="shared" si="32"/>
        <v>71.957776314830426</v>
      </c>
      <c r="H133" s="42">
        <f t="shared" si="32"/>
        <v>208.53436537687088</v>
      </c>
      <c r="I133" s="42">
        <f t="shared" si="32"/>
        <v>49.846466844253079</v>
      </c>
      <c r="J133" s="42">
        <f t="shared" si="32"/>
        <v>20.831476961121428</v>
      </c>
      <c r="K133" s="42">
        <f t="shared" si="32"/>
        <v>37.699074652813103</v>
      </c>
      <c r="L133" s="42">
        <f t="shared" si="32"/>
        <v>0</v>
      </c>
      <c r="M133" s="42">
        <f t="shared" si="32"/>
        <v>0</v>
      </c>
      <c r="N133" s="42">
        <f t="shared" si="32"/>
        <v>25.946222767592079</v>
      </c>
      <c r="O133" s="27">
        <f t="shared" si="32"/>
        <v>3858.7592001117141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</row>
    <row r="134" spans="1:65" x14ac:dyDescent="0.25">
      <c r="A134" s="7">
        <v>16</v>
      </c>
      <c r="B134" s="19" t="s">
        <v>113</v>
      </c>
      <c r="C134" s="42">
        <f t="shared" ref="C134:O134" si="33">C107/$C28</f>
        <v>499.29668870774077</v>
      </c>
      <c r="D134" s="42">
        <f t="shared" si="33"/>
        <v>2047.5500249652612</v>
      </c>
      <c r="E134" s="42">
        <f t="shared" si="33"/>
        <v>747.97181871463943</v>
      </c>
      <c r="F134" s="42">
        <f t="shared" si="33"/>
        <v>763.17630369953599</v>
      </c>
      <c r="G134" s="42">
        <f t="shared" si="33"/>
        <v>30.353766352287995</v>
      </c>
      <c r="H134" s="42">
        <f t="shared" si="33"/>
        <v>37.222340088957239</v>
      </c>
      <c r="I134" s="42">
        <f t="shared" si="33"/>
        <v>82.104292035187797</v>
      </c>
      <c r="J134" s="42">
        <f t="shared" si="33"/>
        <v>0</v>
      </c>
      <c r="K134" s="42">
        <f t="shared" si="33"/>
        <v>37.699074652813103</v>
      </c>
      <c r="L134" s="42">
        <f t="shared" si="33"/>
        <v>0</v>
      </c>
      <c r="M134" s="42">
        <f t="shared" si="33"/>
        <v>0</v>
      </c>
      <c r="N134" s="42">
        <f t="shared" si="33"/>
        <v>30.077769468136673</v>
      </c>
      <c r="O134" s="27">
        <f t="shared" si="33"/>
        <v>4275.4520786845605</v>
      </c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</row>
    <row r="135" spans="1:65" x14ac:dyDescent="0.25">
      <c r="A135" s="7">
        <v>17</v>
      </c>
      <c r="B135" s="19" t="s">
        <v>112</v>
      </c>
      <c r="C135" s="42">
        <f t="shared" ref="C135:O135" si="34">C108/$C29</f>
        <v>499.29668870774083</v>
      </c>
      <c r="D135" s="42">
        <f t="shared" si="34"/>
        <v>1795.2259896827793</v>
      </c>
      <c r="E135" s="42">
        <f t="shared" si="34"/>
        <v>601.44398677405127</v>
      </c>
      <c r="F135" s="42">
        <f t="shared" si="34"/>
        <v>764.70345254219683</v>
      </c>
      <c r="G135" s="42">
        <f t="shared" si="34"/>
        <v>29.969822994996527</v>
      </c>
      <c r="H135" s="42">
        <f t="shared" si="34"/>
        <v>0</v>
      </c>
      <c r="I135" s="42">
        <f t="shared" si="34"/>
        <v>98.716623240163017</v>
      </c>
      <c r="J135" s="42">
        <f t="shared" si="34"/>
        <v>1.5310867989208294</v>
      </c>
      <c r="K135" s="42">
        <f t="shared" si="34"/>
        <v>37.699074652813103</v>
      </c>
      <c r="L135" s="42">
        <f t="shared" si="34"/>
        <v>0</v>
      </c>
      <c r="M135" s="42">
        <f t="shared" si="34"/>
        <v>104.69523197788797</v>
      </c>
      <c r="N135" s="42">
        <f t="shared" si="34"/>
        <v>26.892985206658086</v>
      </c>
      <c r="O135" s="27">
        <f t="shared" si="34"/>
        <v>3960.1749425782082</v>
      </c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</row>
    <row r="136" spans="1:65" x14ac:dyDescent="0.25">
      <c r="A136" s="7">
        <v>18</v>
      </c>
      <c r="B136" s="19" t="s">
        <v>111</v>
      </c>
      <c r="C136" s="42">
        <f t="shared" ref="C136:O136" si="35">C109/$C30</f>
        <v>499.29668870774083</v>
      </c>
      <c r="D136" s="42">
        <f t="shared" si="35"/>
        <v>2062.9946140685352</v>
      </c>
      <c r="E136" s="42">
        <f t="shared" si="35"/>
        <v>850.07707849364931</v>
      </c>
      <c r="F136" s="42">
        <f t="shared" si="35"/>
        <v>842.52366171727192</v>
      </c>
      <c r="G136" s="42">
        <f t="shared" si="35"/>
        <v>30.116119170778102</v>
      </c>
      <c r="H136" s="42">
        <f t="shared" si="35"/>
        <v>0</v>
      </c>
      <c r="I136" s="42">
        <f t="shared" si="35"/>
        <v>310.41872415984631</v>
      </c>
      <c r="J136" s="42">
        <f t="shared" si="35"/>
        <v>0</v>
      </c>
      <c r="K136" s="42">
        <f t="shared" si="35"/>
        <v>37.699074652813103</v>
      </c>
      <c r="L136" s="42">
        <f t="shared" si="35"/>
        <v>0</v>
      </c>
      <c r="M136" s="42">
        <f t="shared" si="35"/>
        <v>0</v>
      </c>
      <c r="N136" s="42">
        <f t="shared" si="35"/>
        <v>41.15615240110251</v>
      </c>
      <c r="O136" s="27">
        <f t="shared" si="35"/>
        <v>4674.282113371738</v>
      </c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</row>
    <row r="137" spans="1:65" x14ac:dyDescent="0.25">
      <c r="A137" s="7">
        <v>19</v>
      </c>
      <c r="B137" s="19" t="s">
        <v>110</v>
      </c>
      <c r="C137" s="42">
        <f t="shared" ref="C137:O137" si="36">C110/$C31</f>
        <v>499.29668870774083</v>
      </c>
      <c r="D137" s="42">
        <f t="shared" si="36"/>
        <v>1976.2273951297473</v>
      </c>
      <c r="E137" s="42">
        <f t="shared" si="36"/>
        <v>732.64920655912681</v>
      </c>
      <c r="F137" s="42">
        <f t="shared" si="36"/>
        <v>859.74085901398951</v>
      </c>
      <c r="G137" s="42">
        <f t="shared" si="36"/>
        <v>28.141269980783939</v>
      </c>
      <c r="H137" s="42">
        <f t="shared" si="36"/>
        <v>0</v>
      </c>
      <c r="I137" s="42">
        <f t="shared" si="36"/>
        <v>576.42412544641502</v>
      </c>
      <c r="J137" s="42">
        <f t="shared" si="36"/>
        <v>0</v>
      </c>
      <c r="K137" s="42">
        <f t="shared" si="36"/>
        <v>37.699074652813103</v>
      </c>
      <c r="L137" s="42">
        <f t="shared" si="36"/>
        <v>15.267763960033069</v>
      </c>
      <c r="M137" s="42">
        <f t="shared" si="36"/>
        <v>0</v>
      </c>
      <c r="N137" s="42">
        <f t="shared" si="36"/>
        <v>35.170708546025708</v>
      </c>
      <c r="O137" s="27">
        <f t="shared" si="36"/>
        <v>4760.6170919966753</v>
      </c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</row>
    <row r="138" spans="1:65" x14ac:dyDescent="0.25">
      <c r="B138" s="19" t="s">
        <v>109</v>
      </c>
      <c r="C138" s="42">
        <f t="shared" ref="C138:O138" si="37">C111/$C32</f>
        <v>499.29668870774071</v>
      </c>
      <c r="D138" s="42">
        <f t="shared" si="37"/>
        <v>1807.3309889344741</v>
      </c>
      <c r="E138" s="42">
        <f t="shared" si="37"/>
        <v>606.30845958419184</v>
      </c>
      <c r="F138" s="42">
        <f t="shared" si="37"/>
        <v>656.95018195296188</v>
      </c>
      <c r="G138" s="42">
        <f t="shared" si="37"/>
        <v>75.398149305626191</v>
      </c>
      <c r="H138" s="42">
        <f t="shared" si="37"/>
        <v>18.849537326406555</v>
      </c>
      <c r="I138" s="42">
        <f t="shared" si="37"/>
        <v>60.957284092924255</v>
      </c>
      <c r="J138" s="42">
        <f t="shared" si="37"/>
        <v>4.2599954357678804</v>
      </c>
      <c r="K138" s="42">
        <f t="shared" si="37"/>
        <v>37.699074652813096</v>
      </c>
      <c r="L138" s="42">
        <f t="shared" si="37"/>
        <v>0.49008797048643266</v>
      </c>
      <c r="M138" s="42">
        <f t="shared" si="37"/>
        <v>64.088426909782271</v>
      </c>
      <c r="N138" s="42">
        <f t="shared" si="37"/>
        <v>26.452032682227699</v>
      </c>
      <c r="O138" s="27">
        <f t="shared" si="37"/>
        <v>3858.080907555403</v>
      </c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</row>
    <row r="139" spans="1:65" ht="31.5" x14ac:dyDescent="0.25">
      <c r="B139" s="151" t="s">
        <v>521</v>
      </c>
      <c r="C139" s="84">
        <f t="shared" ref="C139:L139" si="38">C138/$O$138</f>
        <v>0.12941581596434437</v>
      </c>
      <c r="D139" s="84">
        <f t="shared" si="38"/>
        <v>0.46845336638615331</v>
      </c>
      <c r="E139" s="84">
        <f t="shared" si="38"/>
        <v>0.15715286281239946</v>
      </c>
      <c r="F139" s="84">
        <f t="shared" si="38"/>
        <v>0.17027900598622372</v>
      </c>
      <c r="G139" s="84">
        <f t="shared" si="38"/>
        <v>1.9542915535537782E-2</v>
      </c>
      <c r="H139" s="84">
        <f t="shared" si="38"/>
        <v>4.8857288838844472E-3</v>
      </c>
      <c r="I139" s="84">
        <f t="shared" si="38"/>
        <v>1.5799897812808866E-2</v>
      </c>
      <c r="J139" s="84">
        <f t="shared" si="38"/>
        <v>1.1041747277578849E-3</v>
      </c>
      <c r="K139" s="84">
        <f t="shared" si="38"/>
        <v>9.7714577677688909E-3</v>
      </c>
      <c r="L139" s="84">
        <f t="shared" si="38"/>
        <v>1.2702895098095992E-4</v>
      </c>
      <c r="M139" s="84">
        <f>M138/O138</f>
        <v>1.6611478205207118E-2</v>
      </c>
      <c r="N139" s="84">
        <f>N138/$O$138</f>
        <v>6.8562669669331817E-3</v>
      </c>
      <c r="O139" s="84">
        <f>O138/$O$138</f>
        <v>1</v>
      </c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</row>
    <row r="140" spans="1:65" x14ac:dyDescent="0.25"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</row>
    <row r="141" spans="1:65" x14ac:dyDescent="0.25"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</row>
    <row r="142" spans="1:65" x14ac:dyDescent="0.25"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</row>
    <row r="143" spans="1:65" x14ac:dyDescent="0.25"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</row>
    <row r="144" spans="1:65" x14ac:dyDescent="0.25"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</row>
    <row r="145" spans="22:65" x14ac:dyDescent="0.25"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</row>
    <row r="146" spans="22:65" x14ac:dyDescent="0.25"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</row>
    <row r="147" spans="22:65" x14ac:dyDescent="0.25"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</row>
    <row r="148" spans="22:65" x14ac:dyDescent="0.25"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</row>
    <row r="149" spans="22:65" x14ac:dyDescent="0.25"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</row>
    <row r="150" spans="22:65" x14ac:dyDescent="0.25"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</row>
    <row r="151" spans="22:65" x14ac:dyDescent="0.25"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</row>
    <row r="152" spans="22:65" x14ac:dyDescent="0.25"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</row>
    <row r="153" spans="22:65" x14ac:dyDescent="0.25"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</row>
    <row r="154" spans="22:65" x14ac:dyDescent="0.25"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</row>
    <row r="155" spans="22:65" x14ac:dyDescent="0.25"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</row>
    <row r="156" spans="22:65" x14ac:dyDescent="0.25"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</row>
    <row r="157" spans="22:65" x14ac:dyDescent="0.25"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</row>
    <row r="158" spans="22:65" x14ac:dyDescent="0.25"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</row>
    <row r="159" spans="22:65" x14ac:dyDescent="0.25"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</row>
    <row r="160" spans="22:65" x14ac:dyDescent="0.25"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</row>
    <row r="161" spans="22:65" x14ac:dyDescent="0.25"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</row>
    <row r="162" spans="22:65" x14ac:dyDescent="0.25"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</row>
    <row r="163" spans="22:65" x14ac:dyDescent="0.25"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</row>
    <row r="164" spans="22:65" x14ac:dyDescent="0.25"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</row>
    <row r="165" spans="22:65" x14ac:dyDescent="0.25"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</row>
    <row r="166" spans="22:65" x14ac:dyDescent="0.25"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</row>
    <row r="167" spans="22:65" x14ac:dyDescent="0.25"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</row>
    <row r="168" spans="22:65" x14ac:dyDescent="0.25"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29"/>
  <sheetViews>
    <sheetView zoomScale="80" zoomScaleNormal="80" workbookViewId="0">
      <selection activeCell="J12" sqref="J11:J12"/>
    </sheetView>
  </sheetViews>
  <sheetFormatPr defaultColWidth="8.625" defaultRowHeight="12.75" x14ac:dyDescent="0.2"/>
  <cols>
    <col min="1" max="1" width="19.875" style="474" customWidth="1"/>
    <col min="2" max="2" width="17.25" style="474" customWidth="1"/>
    <col min="3" max="3" width="11.375" style="474" customWidth="1"/>
    <col min="4" max="4" width="16" style="474" customWidth="1"/>
    <col min="5" max="5" width="20.875" style="474" customWidth="1"/>
    <col min="6" max="6" width="19" style="474" customWidth="1"/>
    <col min="7" max="7" width="15.25" style="474" customWidth="1"/>
    <col min="8" max="8" width="11.75" style="474" customWidth="1"/>
    <col min="9" max="16384" width="8.625" style="474"/>
  </cols>
  <sheetData>
    <row r="1" spans="1:7" ht="23.25" x14ac:dyDescent="0.35">
      <c r="A1" s="440" t="s">
        <v>665</v>
      </c>
    </row>
    <row r="2" spans="1:7" x14ac:dyDescent="0.2">
      <c r="A2" s="474" t="s">
        <v>706</v>
      </c>
    </row>
    <row r="3" spans="1:7" x14ac:dyDescent="0.2">
      <c r="A3" s="474" t="s">
        <v>707</v>
      </c>
    </row>
    <row r="5" spans="1:7" x14ac:dyDescent="0.2">
      <c r="A5" s="481" t="s">
        <v>708</v>
      </c>
      <c r="B5" s="546"/>
      <c r="C5" s="546"/>
      <c r="D5" s="546"/>
      <c r="E5" s="546"/>
    </row>
    <row r="6" spans="1:7" ht="54.95" customHeight="1" x14ac:dyDescent="0.2">
      <c r="A6" s="475" t="s">
        <v>134</v>
      </c>
      <c r="B6" s="538" t="s">
        <v>488</v>
      </c>
      <c r="C6" s="538" t="s">
        <v>511</v>
      </c>
      <c r="D6" s="538" t="s">
        <v>702</v>
      </c>
      <c r="E6" s="539" t="s">
        <v>703</v>
      </c>
      <c r="F6" s="539" t="s">
        <v>705</v>
      </c>
      <c r="G6" s="540" t="s">
        <v>704</v>
      </c>
    </row>
    <row r="7" spans="1:7" x14ac:dyDescent="0.2">
      <c r="A7" s="474" t="s">
        <v>131</v>
      </c>
      <c r="B7" s="476">
        <f>'Yhteenveto ja muutos nykytilaan'!D10</f>
        <v>2473030439.3196907</v>
      </c>
      <c r="C7" s="476">
        <f>'Yhteenveto ja muutos nykytilaan'!E10</f>
        <v>3764.5838752354789</v>
      </c>
      <c r="D7" s="476">
        <f>'Yhteenveto ja muutos nykytilaan'!F10</f>
        <v>2250652500.4114995</v>
      </c>
      <c r="E7" s="477">
        <f>'Yhteenveto ja muutos nykytilaan'!G10</f>
        <v>-222377938.9081912</v>
      </c>
      <c r="F7" s="477">
        <f>'Yhteenveto ja muutos nykytilaan'!I10</f>
        <v>-338.5160124645181</v>
      </c>
      <c r="G7" s="478">
        <f>-E7</f>
        <v>222377938.9081912</v>
      </c>
    </row>
    <row r="8" spans="1:7" x14ac:dyDescent="0.2">
      <c r="A8" s="474" t="s">
        <v>130</v>
      </c>
      <c r="B8" s="476">
        <f>'Yhteenveto ja muutos nykytilaan'!D11</f>
        <v>893262634.76570797</v>
      </c>
      <c r="C8" s="476">
        <f>'Yhteenveto ja muutos nykytilaan'!E11</f>
        <v>3256.0897394644085</v>
      </c>
      <c r="D8" s="476">
        <f>'Yhteenveto ja muutos nykytilaan'!F11</f>
        <v>905264026.43820333</v>
      </c>
      <c r="E8" s="477">
        <f>'Yhteenveto ja muutos nykytilaan'!G11</f>
        <v>12001391.672495365</v>
      </c>
      <c r="F8" s="477">
        <f>'Yhteenveto ja muutos nykytilaan'!I11</f>
        <v>43.747053512828643</v>
      </c>
      <c r="G8" s="478">
        <f t="shared" ref="G8:G29" si="0">-E8</f>
        <v>-12001391.672495365</v>
      </c>
    </row>
    <row r="9" spans="1:7" x14ac:dyDescent="0.2">
      <c r="A9" s="474" t="s">
        <v>129</v>
      </c>
      <c r="B9" s="476">
        <f>'Yhteenveto ja muutos nykytilaan'!D12</f>
        <v>1539663070.3413417</v>
      </c>
      <c r="C9" s="476">
        <f>'Yhteenveto ja muutos nykytilaan'!E12</f>
        <v>3249.3448612001184</v>
      </c>
      <c r="D9" s="476">
        <f>'Yhteenveto ja muutos nykytilaan'!F12</f>
        <v>1545085271.9934509</v>
      </c>
      <c r="E9" s="477">
        <f>'Yhteenveto ja muutos nykytilaan'!G12</f>
        <v>5422201.6521091461</v>
      </c>
      <c r="F9" s="477">
        <f>'Yhteenveto ja muutos nykytilaan'!I12</f>
        <v>11.443154943481204</v>
      </c>
      <c r="G9" s="478">
        <f t="shared" si="0"/>
        <v>-5422201.6521091461</v>
      </c>
    </row>
    <row r="10" spans="1:7" x14ac:dyDescent="0.2">
      <c r="A10" s="474" t="s">
        <v>128</v>
      </c>
      <c r="B10" s="476">
        <f>'Yhteenveto ja muutos nykytilaan'!D13</f>
        <v>338187708.36668003</v>
      </c>
      <c r="C10" s="476">
        <f>'Yhteenveto ja muutos nykytilaan'!E13</f>
        <v>3441.9739488130767</v>
      </c>
      <c r="D10" s="476">
        <f>'Yhteenveto ja muutos nykytilaan'!F13</f>
        <v>363895531.43173397</v>
      </c>
      <c r="E10" s="477">
        <f>'Yhteenveto ja muutos nykytilaan'!G13</f>
        <v>25707823.06505394</v>
      </c>
      <c r="F10" s="477">
        <f>'Yhteenveto ja muutos nykytilaan'!I13</f>
        <v>261.64657993622586</v>
      </c>
      <c r="G10" s="478">
        <f t="shared" si="0"/>
        <v>-25707823.06505394</v>
      </c>
    </row>
    <row r="11" spans="1:7" x14ac:dyDescent="0.2">
      <c r="A11" s="474" t="s">
        <v>127</v>
      </c>
      <c r="B11" s="476">
        <f>'Yhteenveto ja muutos nykytilaan'!D14</f>
        <v>698908432.4880197</v>
      </c>
      <c r="C11" s="476">
        <f>'Yhteenveto ja muutos nykytilaan'!E14</f>
        <v>3506.2882280039116</v>
      </c>
      <c r="D11" s="476">
        <f>'Yhteenveto ja muutos nykytilaan'!F14</f>
        <v>665094303.93233156</v>
      </c>
      <c r="E11" s="477">
        <f>'Yhteenveto ja muutos nykytilaan'!G14</f>
        <v>-33814128.555688143</v>
      </c>
      <c r="F11" s="477">
        <f>'Yhteenveto ja muutos nykytilaan'!I14</f>
        <v>-169.6389332046765</v>
      </c>
      <c r="G11" s="478">
        <f t="shared" si="0"/>
        <v>33814128.555688143</v>
      </c>
    </row>
    <row r="12" spans="1:7" x14ac:dyDescent="0.2">
      <c r="A12" s="474" t="s">
        <v>126</v>
      </c>
      <c r="B12" s="476">
        <f>'Yhteenveto ja muutos nykytilaan'!D15</f>
        <v>1807839324.8244114</v>
      </c>
      <c r="C12" s="476">
        <f>'Yhteenveto ja muutos nykytilaan'!E15</f>
        <v>3755.3553360166252</v>
      </c>
      <c r="D12" s="476">
        <f>'Yhteenveto ja muutos nykytilaan'!F15</f>
        <v>1910706960.6109033</v>
      </c>
      <c r="E12" s="477">
        <f>'Yhteenveto ja muutos nykytilaan'!G15</f>
        <v>102867635.78649187</v>
      </c>
      <c r="F12" s="477">
        <f>'Yhteenveto ja muutos nykytilaan'!I15</f>
        <v>213.68299696198801</v>
      </c>
      <c r="G12" s="478">
        <f t="shared" si="0"/>
        <v>-102867635.78649187</v>
      </c>
    </row>
    <row r="13" spans="1:7" x14ac:dyDescent="0.2">
      <c r="A13" s="474" t="s">
        <v>125</v>
      </c>
      <c r="B13" s="476">
        <f>'Yhteenveto ja muutos nykytilaan'!D16</f>
        <v>887901055.93950152</v>
      </c>
      <c r="C13" s="476">
        <f>'Yhteenveto ja muutos nykytilaan'!E16</f>
        <v>4121.7971549908152</v>
      </c>
      <c r="D13" s="476">
        <f>'Yhteenveto ja muutos nykytilaan'!F16</f>
        <v>862724599.66629839</v>
      </c>
      <c r="E13" s="477">
        <f>'Yhteenveto ja muutos nykytilaan'!G16</f>
        <v>-25176456.273203135</v>
      </c>
      <c r="F13" s="477">
        <f>'Yhteenveto ja muutos nykytilaan'!I16</f>
        <v>-116.87365967803271</v>
      </c>
      <c r="G13" s="478">
        <f t="shared" si="0"/>
        <v>25176456.273203135</v>
      </c>
    </row>
    <row r="14" spans="1:7" x14ac:dyDescent="0.2">
      <c r="A14" s="474" t="s">
        <v>124</v>
      </c>
      <c r="B14" s="476">
        <f>'Yhteenveto ja muutos nykytilaan'!D17</f>
        <v>658599173.76827157</v>
      </c>
      <c r="C14" s="476">
        <f>'Yhteenveto ja muutos nykytilaan'!E17</f>
        <v>3861.0080712421463</v>
      </c>
      <c r="D14" s="476">
        <f>'Yhteenveto ja muutos nykytilaan'!F17</f>
        <v>662914815.53715837</v>
      </c>
      <c r="E14" s="477">
        <f>'Yhteenveto ja muutos nykytilaan'!G17</f>
        <v>4315641.7688868046</v>
      </c>
      <c r="F14" s="477">
        <f>'Yhteenveto ja muutos nykytilaan'!I17</f>
        <v>25.300256006887139</v>
      </c>
      <c r="G14" s="478">
        <f t="shared" si="0"/>
        <v>-4315641.7688868046</v>
      </c>
    </row>
    <row r="15" spans="1:7" x14ac:dyDescent="0.2">
      <c r="A15" s="474" t="s">
        <v>123</v>
      </c>
      <c r="B15" s="476">
        <f>'Yhteenveto ja muutos nykytilaan'!D18</f>
        <v>1958095489.9405127</v>
      </c>
      <c r="C15" s="476">
        <f>'Yhteenveto ja muutos nykytilaan'!E18</f>
        <v>3745.0282105462206</v>
      </c>
      <c r="D15" s="476">
        <f>'Yhteenveto ja muutos nykytilaan'!F18</f>
        <v>1993050062.5025449</v>
      </c>
      <c r="E15" s="477">
        <f>'Yhteenveto ja muutos nykytilaan'!G18</f>
        <v>34954572.562032223</v>
      </c>
      <c r="F15" s="477">
        <f>'Yhteenveto ja muutos nykytilaan'!I18</f>
        <v>66.853665209337123</v>
      </c>
      <c r="G15" s="478">
        <f t="shared" si="0"/>
        <v>-34954572.562032223</v>
      </c>
    </row>
    <row r="16" spans="1:7" x14ac:dyDescent="0.2">
      <c r="A16" s="474" t="s">
        <v>122</v>
      </c>
      <c r="B16" s="476">
        <f>'Yhteenveto ja muutos nykytilaan'!D19</f>
        <v>788130832.77518666</v>
      </c>
      <c r="C16" s="476">
        <f>'Yhteenveto ja muutos nykytilaan'!E19</f>
        <v>3830.1356011060193</v>
      </c>
      <c r="D16" s="476">
        <f>'Yhteenveto ja muutos nykytilaan'!F19</f>
        <v>828605862.23356688</v>
      </c>
      <c r="E16" s="477">
        <f>'Yhteenveto ja muutos nykytilaan'!G19</f>
        <v>40475029.458380222</v>
      </c>
      <c r="F16" s="477">
        <f>'Yhteenveto ja muutos nykytilaan'!I19</f>
        <v>196.69938649459937</v>
      </c>
      <c r="G16" s="478">
        <f t="shared" si="0"/>
        <v>-40475029.458380222</v>
      </c>
    </row>
    <row r="17" spans="1:7" x14ac:dyDescent="0.2">
      <c r="A17" s="474" t="s">
        <v>121</v>
      </c>
      <c r="B17" s="476">
        <f>'Yhteenveto ja muutos nykytilaan'!D20</f>
        <v>721294425.09414613</v>
      </c>
      <c r="C17" s="476">
        <f>'Yhteenveto ja muutos nykytilaan'!E20</f>
        <v>4430.2288841986228</v>
      </c>
      <c r="D17" s="476">
        <f>'Yhteenveto ja muutos nykytilaan'!F20</f>
        <v>701938166.90588355</v>
      </c>
      <c r="E17" s="477">
        <f>'Yhteenveto ja muutos nykytilaan'!G20</f>
        <v>-19356258.188262582</v>
      </c>
      <c r="F17" s="477">
        <f>'Yhteenveto ja muutos nykytilaan'!I20</f>
        <v>-118.88717163515321</v>
      </c>
      <c r="G17" s="478">
        <f t="shared" si="0"/>
        <v>19356258.188262582</v>
      </c>
    </row>
    <row r="18" spans="1:7" x14ac:dyDescent="0.2">
      <c r="A18" s="474" t="s">
        <v>120</v>
      </c>
      <c r="B18" s="476">
        <f>'Yhteenveto ja muutos nykytilaan'!D21</f>
        <v>518991905.9231379</v>
      </c>
      <c r="C18" s="476">
        <f>'Yhteenveto ja muutos nykytilaan'!E21</f>
        <v>4089.0940500243291</v>
      </c>
      <c r="D18" s="476">
        <f>'Yhteenveto ja muutos nykytilaan'!F21</f>
        <v>500526783.1221751</v>
      </c>
      <c r="E18" s="477">
        <f>'Yhteenveto ja muutos nykytilaan'!G21</f>
        <v>-18465122.800962806</v>
      </c>
      <c r="F18" s="477">
        <f>'Yhteenveto ja muutos nykytilaan'!I21</f>
        <v>-145.48516637091416</v>
      </c>
      <c r="G18" s="478">
        <f t="shared" si="0"/>
        <v>18465122.800962806</v>
      </c>
    </row>
    <row r="19" spans="1:7" x14ac:dyDescent="0.2">
      <c r="A19" s="474" t="s">
        <v>119</v>
      </c>
      <c r="B19" s="476">
        <f>'Yhteenveto ja muutos nykytilaan'!D22</f>
        <v>637437808.62566769</v>
      </c>
      <c r="C19" s="476">
        <f>'Yhteenveto ja muutos nykytilaan'!E22</f>
        <v>4803.5282710559577</v>
      </c>
      <c r="D19" s="476">
        <f>'Yhteenveto ja muutos nykytilaan'!F22</f>
        <v>595374373.42597067</v>
      </c>
      <c r="E19" s="477">
        <f>'Yhteenveto ja muutos nykytilaan'!G22</f>
        <v>-42063435.199697018</v>
      </c>
      <c r="F19" s="477">
        <f>'Yhteenveto ja muutos nykytilaan'!I22</f>
        <v>-316.97664842803442</v>
      </c>
      <c r="G19" s="478">
        <f t="shared" si="0"/>
        <v>42063435.199697018</v>
      </c>
    </row>
    <row r="20" spans="1:7" x14ac:dyDescent="0.2">
      <c r="A20" s="474" t="s">
        <v>118</v>
      </c>
      <c r="B20" s="476">
        <f>'Yhteenveto ja muutos nykytilaan'!D23</f>
        <v>1093652848.1958928</v>
      </c>
      <c r="C20" s="476">
        <f>'Yhteenveto ja muutos nykytilaan'!E23</f>
        <v>4405.183365339024</v>
      </c>
      <c r="D20" s="476">
        <f>'Yhteenveto ja muutos nykytilaan'!F23</f>
        <v>1092001400.08429</v>
      </c>
      <c r="E20" s="477">
        <f>'Yhteenveto ja muutos nykytilaan'!G23</f>
        <v>-1651448.1116027832</v>
      </c>
      <c r="F20" s="477">
        <f>'Yhteenveto ja muutos nykytilaan'!I23</f>
        <v>-6.6519570281870983</v>
      </c>
      <c r="G20" s="478">
        <f t="shared" si="0"/>
        <v>1651448.1116027832</v>
      </c>
    </row>
    <row r="21" spans="1:7" x14ac:dyDescent="0.2">
      <c r="A21" s="474" t="s">
        <v>117</v>
      </c>
      <c r="B21" s="476">
        <f>'Yhteenveto ja muutos nykytilaan'!D24</f>
        <v>664493584.92984021</v>
      </c>
      <c r="C21" s="476">
        <f>'Yhteenveto ja muutos nykytilaan'!E24</f>
        <v>4063.2614327634737</v>
      </c>
      <c r="D21" s="476">
        <f>'Yhteenveto ja muutos nykytilaan'!F24</f>
        <v>739854434.69233787</v>
      </c>
      <c r="E21" s="477">
        <f>'Yhteenveto ja muutos nykytilaan'!G24</f>
        <v>75360849.762497663</v>
      </c>
      <c r="F21" s="477">
        <f>'Yhteenveto ja muutos nykytilaan'!I24</f>
        <v>460.81834546614937</v>
      </c>
      <c r="G21" s="478">
        <f t="shared" si="0"/>
        <v>-75360849.762497663</v>
      </c>
    </row>
    <row r="22" spans="1:7" x14ac:dyDescent="0.2">
      <c r="A22" s="474" t="s">
        <v>116</v>
      </c>
      <c r="B22" s="476">
        <f>'Yhteenveto ja muutos nykytilaan'!D25</f>
        <v>1026659925.9289411</v>
      </c>
      <c r="C22" s="476">
        <f>'Yhteenveto ja muutos nykytilaan'!E25</f>
        <v>3765.9424244597408</v>
      </c>
      <c r="D22" s="476">
        <f>'Yhteenveto ja muutos nykytilaan'!F25</f>
        <v>1029547081.9705423</v>
      </c>
      <c r="E22" s="477">
        <f>'Yhteenveto ja muutos nykytilaan'!G25</f>
        <v>2887156.041601181</v>
      </c>
      <c r="F22" s="477">
        <f>'Yhteenveto ja muutos nykytilaan'!I25</f>
        <v>10.590520919829487</v>
      </c>
      <c r="G22" s="478">
        <f t="shared" si="0"/>
        <v>-2887156.041601181</v>
      </c>
    </row>
    <row r="23" spans="1:7" x14ac:dyDescent="0.2">
      <c r="A23" s="474" t="s">
        <v>132</v>
      </c>
      <c r="B23" s="476">
        <f>'Yhteenveto ja muutos nykytilaan'!D26</f>
        <v>804446625.16234541</v>
      </c>
      <c r="C23" s="476">
        <f>'Yhteenveto ja muutos nykytilaan'!E26</f>
        <v>4186.5554262937567</v>
      </c>
      <c r="D23" s="476">
        <f>'Yhteenveto ja muutos nykytilaan'!F26</f>
        <v>802382413.17125809</v>
      </c>
      <c r="E23" s="477">
        <f>'Yhteenveto ja muutos nykytilaan'!G26</f>
        <v>-2064211.9910873175</v>
      </c>
      <c r="F23" s="477">
        <f>'Yhteenveto ja muutos nykytilaan'!I26</f>
        <v>-10.742711376982697</v>
      </c>
      <c r="G23" s="478">
        <f t="shared" si="0"/>
        <v>2064211.9910873175</v>
      </c>
    </row>
    <row r="24" spans="1:7" x14ac:dyDescent="0.2">
      <c r="A24" s="474" t="s">
        <v>114</v>
      </c>
      <c r="B24" s="476">
        <f>'Yhteenveto ja muutos nykytilaan'!D27</f>
        <v>690443212.31428003</v>
      </c>
      <c r="C24" s="476">
        <f>'Yhteenveto ja muutos nykytilaan'!E27</f>
        <v>3927.0783791820995</v>
      </c>
      <c r="D24" s="476">
        <f>'Yhteenveto ja muutos nykytilaan'!F27</f>
        <v>678431607.52684116</v>
      </c>
      <c r="E24" s="477">
        <f>'Yhteenveto ja muutos nykytilaan'!G27</f>
        <v>-12011604.787438869</v>
      </c>
      <c r="F24" s="477">
        <f>'Yhteenveto ja muutos nykytilaan'!I27</f>
        <v>-68.319179070385417</v>
      </c>
      <c r="G24" s="478">
        <f t="shared" si="0"/>
        <v>12011604.787438869</v>
      </c>
    </row>
    <row r="25" spans="1:7" x14ac:dyDescent="0.2">
      <c r="A25" s="474" t="s">
        <v>113</v>
      </c>
      <c r="B25" s="476">
        <f>'Yhteenveto ja muutos nykytilaan'!D28</f>
        <v>273492365.43318635</v>
      </c>
      <c r="C25" s="476">
        <f>'Yhteenveto ja muutos nykytilaan'!E28</f>
        <v>4022.6564310346876</v>
      </c>
      <c r="D25" s="476">
        <f>'Yhteenveto ja muutos nykytilaan'!F28</f>
        <v>290679435.92560589</v>
      </c>
      <c r="E25" s="477">
        <f>'Yhteenveto ja muutos nykytilaan'!G28</f>
        <v>17187070.492419541</v>
      </c>
      <c r="F25" s="477">
        <f>'Yhteenveto ja muutos nykytilaan'!I28</f>
        <v>252.79564764987299</v>
      </c>
      <c r="G25" s="478">
        <f t="shared" si="0"/>
        <v>-17187070.492419541</v>
      </c>
    </row>
    <row r="26" spans="1:7" x14ac:dyDescent="0.2">
      <c r="A26" s="474" t="s">
        <v>112</v>
      </c>
      <c r="B26" s="476">
        <f>'Yhteenveto ja muutos nykytilaan'!D29</f>
        <v>1582431993.9958119</v>
      </c>
      <c r="C26" s="476">
        <f>'Yhteenveto ja muutos nykytilaan'!E29</f>
        <v>3823.869690442481</v>
      </c>
      <c r="D26" s="476">
        <f>'Yhteenveto ja muutos nykytilaan'!F29</f>
        <v>1638839196.4871399</v>
      </c>
      <c r="E26" s="477">
        <f>'Yhteenveto ja muutos nykytilaan'!G29</f>
        <v>56407202.491328001</v>
      </c>
      <c r="F26" s="477">
        <f>'Yhteenveto ja muutos nykytilaan'!I29</f>
        <v>136.30525213572719</v>
      </c>
      <c r="G26" s="478">
        <f t="shared" si="0"/>
        <v>-56407202.491328001</v>
      </c>
    </row>
    <row r="27" spans="1:7" x14ac:dyDescent="0.2">
      <c r="A27" s="474" t="s">
        <v>111</v>
      </c>
      <c r="B27" s="476">
        <f>'Yhteenveto ja muutos nykytilaan'!D30</f>
        <v>354183816.26198155</v>
      </c>
      <c r="C27" s="476">
        <f>'Yhteenveto ja muutos nykytilaan'!E30</f>
        <v>4942.2836607220015</v>
      </c>
      <c r="D27" s="476">
        <f>'Yhteenveto ja muutos nykytilaan'!F30</f>
        <v>334977753.3726722</v>
      </c>
      <c r="E27" s="477">
        <f>'Yhteenveto ja muutos nykytilaan'!G30</f>
        <v>-19206062.889309347</v>
      </c>
      <c r="F27" s="477">
        <f>'Yhteenveto ja muutos nykytilaan'!I30</f>
        <v>-268.00154735026354</v>
      </c>
      <c r="G27" s="478">
        <f t="shared" si="0"/>
        <v>19206062.889309347</v>
      </c>
    </row>
    <row r="28" spans="1:7" x14ac:dyDescent="0.2">
      <c r="A28" s="474" t="s">
        <v>110</v>
      </c>
      <c r="B28" s="476">
        <f>'Yhteenveto ja muutos nykytilaan'!D31</f>
        <v>822434325.60544407</v>
      </c>
      <c r="C28" s="476">
        <f>'Yhteenveto ja muutos nykytilaan'!E31</f>
        <v>4655.3325537341525</v>
      </c>
      <c r="D28" s="476">
        <f>'Yhteenveto ja muutos nykytilaan'!F31</f>
        <v>841034418.55759263</v>
      </c>
      <c r="E28" s="477">
        <f>'Yhteenveto ja muutos nykytilaan'!G31</f>
        <v>18600092.952148557</v>
      </c>
      <c r="F28" s="477">
        <f>'Yhteenveto ja muutos nykytilaan'!I31</f>
        <v>105.2845382625228</v>
      </c>
      <c r="G28" s="478">
        <f t="shared" si="0"/>
        <v>-18600092.952148557</v>
      </c>
    </row>
    <row r="29" spans="1:7" x14ac:dyDescent="0.2">
      <c r="A29" s="541" t="s">
        <v>109</v>
      </c>
      <c r="B29" s="542">
        <f>'Yhteenveto ja muutos nykytilaan'!D32</f>
        <v>21233581000.000004</v>
      </c>
      <c r="C29" s="542">
        <f>'Yhteenveto ja muutos nykytilaan'!E32</f>
        <v>3858.0809075554039</v>
      </c>
      <c r="D29" s="542">
        <f>'Yhteenveto ja muutos nykytilaan'!F32</f>
        <v>21233581000</v>
      </c>
      <c r="E29" s="543">
        <f>'Yhteenveto ja muutos nykytilaan'!G32</f>
        <v>0</v>
      </c>
      <c r="F29" s="544">
        <f>'Yhteenveto ja muutos nykytilaan'!I32</f>
        <v>0</v>
      </c>
      <c r="G29" s="545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99"/>
  <sheetViews>
    <sheetView zoomScale="70" zoomScaleNormal="70" workbookViewId="0">
      <selection activeCell="D21" sqref="D21"/>
    </sheetView>
  </sheetViews>
  <sheetFormatPr defaultColWidth="8.375" defaultRowHeight="15.75" x14ac:dyDescent="0.25"/>
  <cols>
    <col min="1" max="1" width="26.125" style="7" customWidth="1"/>
    <col min="2" max="2" width="25.625" style="7" customWidth="1"/>
    <col min="3" max="3" width="29.625" style="7" customWidth="1"/>
    <col min="4" max="5" width="32.5" style="7" customWidth="1"/>
    <col min="6" max="6" width="30.5" style="7" customWidth="1"/>
    <col min="7" max="7" width="19.125" style="7" customWidth="1"/>
    <col min="8" max="8" width="31.125" style="7" customWidth="1"/>
    <col min="9" max="9" width="20.625" style="7" customWidth="1"/>
    <col min="10" max="10" width="29" style="7" customWidth="1"/>
    <col min="11" max="11" width="14.875" style="7" customWidth="1"/>
    <col min="12" max="12" width="31.5" style="7" customWidth="1"/>
    <col min="13" max="13" width="20" style="7" customWidth="1"/>
    <col min="14" max="14" width="20.625" style="7" customWidth="1"/>
    <col min="15" max="15" width="11.875" style="9" bestFit="1" customWidth="1"/>
    <col min="16" max="16" width="12.125" style="9" bestFit="1" customWidth="1"/>
    <col min="17" max="17" width="18.875" style="9" bestFit="1" customWidth="1"/>
    <col min="18" max="18" width="17.375" style="9" customWidth="1"/>
    <col min="19" max="19" width="12.125" style="9" customWidth="1"/>
    <col min="20" max="20" width="14.125" style="9" customWidth="1"/>
    <col min="21" max="21" width="13.625" style="9" customWidth="1"/>
    <col min="22" max="22" width="11.625" style="9" customWidth="1"/>
    <col min="23" max="23" width="12.625" style="9" customWidth="1"/>
    <col min="24" max="24" width="11.125" style="9" customWidth="1"/>
    <col min="25" max="26" width="11.625" style="9" bestFit="1" customWidth="1"/>
    <col min="27" max="27" width="6.875" style="9" bestFit="1" customWidth="1"/>
    <col min="28" max="28" width="10.625" style="9" customWidth="1"/>
    <col min="29" max="30" width="12.375" style="9" customWidth="1"/>
    <col min="31" max="31" width="9.625" style="9" bestFit="1" customWidth="1"/>
    <col min="32" max="32" width="13" style="9" customWidth="1"/>
    <col min="33" max="33" width="13.125" style="9" bestFit="1" customWidth="1"/>
    <col min="34" max="34" width="15.625" style="9" bestFit="1" customWidth="1"/>
    <col min="35" max="35" width="15.375" style="9" bestFit="1" customWidth="1"/>
    <col min="36" max="36" width="13" style="9" bestFit="1" customWidth="1"/>
    <col min="37" max="37" width="15.625" style="9" bestFit="1" customWidth="1"/>
    <col min="38" max="38" width="12.125" style="9" bestFit="1" customWidth="1"/>
    <col min="39" max="39" width="12.375" style="9" bestFit="1" customWidth="1"/>
    <col min="40" max="40" width="12.125" style="9" bestFit="1" customWidth="1"/>
    <col min="41" max="41" width="12.875" style="9" bestFit="1" customWidth="1"/>
    <col min="42" max="42" width="12.125" style="9" bestFit="1" customWidth="1"/>
    <col min="43" max="43" width="12.625" style="9" bestFit="1" customWidth="1"/>
    <col min="44" max="44" width="11.625" style="9" bestFit="1" customWidth="1"/>
    <col min="45" max="45" width="6.375" style="9" bestFit="1" customWidth="1"/>
    <col min="46" max="46" width="11.625" style="9" bestFit="1" customWidth="1"/>
    <col min="47" max="47" width="12.125" style="9" bestFit="1" customWidth="1"/>
    <col min="48" max="48" width="12.625" style="9" bestFit="1" customWidth="1"/>
    <col min="49" max="49" width="11.625" style="9" bestFit="1" customWidth="1"/>
    <col min="50" max="50" width="6.375" style="9" bestFit="1" customWidth="1"/>
    <col min="51" max="16384" width="8.375" style="9"/>
  </cols>
  <sheetData>
    <row r="1" spans="1:18" ht="23.25" x14ac:dyDescent="0.35">
      <c r="A1" s="440" t="s">
        <v>515</v>
      </c>
      <c r="D1" s="36">
        <f>A10-N16</f>
        <v>0</v>
      </c>
      <c r="E1" s="36">
        <f>A10-'Arvio hyten vaikutuksesta'!N30</f>
        <v>0</v>
      </c>
      <c r="F1" s="36">
        <f>A10-N71</f>
        <v>0</v>
      </c>
    </row>
    <row r="2" spans="1:18" x14ac:dyDescent="0.25">
      <c r="A2" s="7" t="str">
        <f>INFO!A2</f>
        <v>VM/KAO 13.4.2021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8" x14ac:dyDescent="0.25">
      <c r="A3" s="302" t="s">
        <v>681</v>
      </c>
    </row>
    <row r="4" spans="1:18" x14ac:dyDescent="0.25">
      <c r="A4" s="302" t="s">
        <v>683</v>
      </c>
    </row>
    <row r="5" spans="1:18" x14ac:dyDescent="0.25">
      <c r="A5" s="7" t="s">
        <v>684</v>
      </c>
    </row>
    <row r="6" spans="1:18" x14ac:dyDescent="0.25">
      <c r="A6" s="302" t="s">
        <v>682</v>
      </c>
    </row>
    <row r="7" spans="1:18" x14ac:dyDescent="0.25">
      <c r="A7" s="302"/>
    </row>
    <row r="8" spans="1:18" s="7" customFormat="1" x14ac:dyDescent="0.25">
      <c r="A8" s="20" t="s">
        <v>468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R8" s="19"/>
    </row>
    <row r="9" spans="1:18" ht="31.5" x14ac:dyDescent="0.25">
      <c r="A9" s="536" t="s">
        <v>435</v>
      </c>
      <c r="B9" s="537" t="s">
        <v>639</v>
      </c>
      <c r="C9" s="537" t="s">
        <v>434</v>
      </c>
    </row>
    <row r="10" spans="1:18" x14ac:dyDescent="0.25">
      <c r="A10" s="86">
        <f>'Siirtyvät sote-kustannukset'!L13</f>
        <v>20748303999.999996</v>
      </c>
      <c r="B10" s="86">
        <f>C44</f>
        <v>5503664</v>
      </c>
      <c r="C10" s="86">
        <f>A10/B10</f>
        <v>3769.9074652813101</v>
      </c>
      <c r="D10" s="5"/>
      <c r="E10" s="5"/>
      <c r="F10" s="5"/>
      <c r="J10" s="45"/>
      <c r="K10" s="45"/>
      <c r="L10" s="45"/>
      <c r="M10" s="45"/>
      <c r="N10" s="45"/>
    </row>
    <row r="11" spans="1:18" x14ac:dyDescent="0.25">
      <c r="A11" s="423"/>
      <c r="B11" s="423"/>
      <c r="C11" s="423"/>
      <c r="J11" s="46"/>
      <c r="K11" s="47"/>
      <c r="L11" s="46"/>
      <c r="M11" s="46"/>
      <c r="N11" s="46"/>
    </row>
    <row r="12" spans="1:18" x14ac:dyDescent="0.25">
      <c r="A12" s="48" t="s">
        <v>466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8" x14ac:dyDescent="0.25">
      <c r="A13" s="49" t="s">
        <v>432</v>
      </c>
      <c r="B13" s="49" t="s">
        <v>431</v>
      </c>
      <c r="C13" s="49" t="s">
        <v>481</v>
      </c>
      <c r="D13" s="50" t="s">
        <v>542</v>
      </c>
      <c r="E13" s="50" t="s">
        <v>543</v>
      </c>
      <c r="F13" s="50" t="s">
        <v>544</v>
      </c>
      <c r="G13" s="51" t="s">
        <v>433</v>
      </c>
      <c r="H13" s="49" t="s">
        <v>430</v>
      </c>
      <c r="I13" s="49" t="s">
        <v>429</v>
      </c>
      <c r="J13" s="49" t="s">
        <v>480</v>
      </c>
      <c r="K13" s="49" t="s">
        <v>479</v>
      </c>
      <c r="L13" s="189" t="s">
        <v>559</v>
      </c>
      <c r="M13" s="464" t="s">
        <v>714</v>
      </c>
      <c r="N13" s="468" t="s">
        <v>0</v>
      </c>
    </row>
    <row r="14" spans="1:18" ht="31.5" x14ac:dyDescent="0.25">
      <c r="A14" s="52" t="s">
        <v>465</v>
      </c>
      <c r="B14" s="53">
        <v>0.11724</v>
      </c>
      <c r="C14" s="54">
        <v>0.8145</v>
      </c>
      <c r="D14" s="54">
        <f>C14*D15</f>
        <v>0.47940990742583411</v>
      </c>
      <c r="E14" s="54">
        <f>C14*E15</f>
        <v>0.16082847262643599</v>
      </c>
      <c r="F14" s="54">
        <f>C14*F15</f>
        <v>0.17426161994773004</v>
      </c>
      <c r="G14" s="53">
        <v>0.02</v>
      </c>
      <c r="H14" s="53">
        <v>5.0000000000000001E-3</v>
      </c>
      <c r="I14" s="53">
        <v>1.4999999999999999E-2</v>
      </c>
      <c r="J14" s="53">
        <v>1.1299999999999999E-3</v>
      </c>
      <c r="K14" s="53">
        <v>0.01</v>
      </c>
      <c r="L14" s="191">
        <v>1.2999999999996348E-4</v>
      </c>
      <c r="M14" s="480">
        <v>1.7000000000000001E-2</v>
      </c>
      <c r="N14" s="469">
        <f>B14+SUM(D14:M14)</f>
        <v>1</v>
      </c>
    </row>
    <row r="15" spans="1:18" x14ac:dyDescent="0.25">
      <c r="B15" s="53"/>
      <c r="C15" s="438" t="s">
        <v>579</v>
      </c>
      <c r="D15" s="439">
        <v>0.58859411593104249</v>
      </c>
      <c r="E15" s="439">
        <v>0.19745668830747204</v>
      </c>
      <c r="F15" s="439">
        <v>0.21394919576148561</v>
      </c>
      <c r="G15" s="53"/>
      <c r="H15" s="53"/>
      <c r="I15" s="53"/>
      <c r="J15" s="53"/>
      <c r="K15" s="53"/>
      <c r="L15" s="191"/>
      <c r="N15" s="470"/>
    </row>
    <row r="16" spans="1:18" x14ac:dyDescent="0.25">
      <c r="A16" s="56" t="s">
        <v>428</v>
      </c>
      <c r="B16" s="57">
        <f>B14*$A$10</f>
        <v>2432531160.9599996</v>
      </c>
      <c r="C16" s="58">
        <f>C14*A10</f>
        <v>16899493607.999996</v>
      </c>
      <c r="D16" s="58">
        <f>D14*A10</f>
        <v>9946942499.8830624</v>
      </c>
      <c r="E16" s="58">
        <f>E14*A10</f>
        <v>3336918041.9089718</v>
      </c>
      <c r="F16" s="58">
        <f>F14*A10</f>
        <v>3615633066.2079663</v>
      </c>
      <c r="G16" s="57">
        <f t="shared" ref="G16:L16" si="0">G14*$A$10</f>
        <v>414966079.99999994</v>
      </c>
      <c r="H16" s="57">
        <f t="shared" si="0"/>
        <v>103741519.99999999</v>
      </c>
      <c r="I16" s="57">
        <f t="shared" si="0"/>
        <v>311224559.99999994</v>
      </c>
      <c r="J16" s="57">
        <f t="shared" si="0"/>
        <v>23445583.519999996</v>
      </c>
      <c r="K16" s="57">
        <f t="shared" si="0"/>
        <v>207483039.99999997</v>
      </c>
      <c r="L16" s="57">
        <f t="shared" si="0"/>
        <v>2697279.5199992419</v>
      </c>
      <c r="M16" s="36">
        <f>M14*A10</f>
        <v>352721167.99999994</v>
      </c>
      <c r="N16" s="471">
        <f>B16+SUM(D16:M16)</f>
        <v>20748304000</v>
      </c>
    </row>
    <row r="17" spans="1:14" x14ac:dyDescent="0.25">
      <c r="A17" s="19" t="s">
        <v>467</v>
      </c>
      <c r="B17" s="427">
        <f>B16/$B$10</f>
        <v>441.98395122958078</v>
      </c>
      <c r="C17" s="13"/>
      <c r="D17" s="427">
        <f>D16/$B$10</f>
        <v>1807.3309889344739</v>
      </c>
      <c r="E17" s="427">
        <f>E16/$B$10</f>
        <v>606.30845958419184</v>
      </c>
      <c r="F17" s="427">
        <f>F16/$B$10</f>
        <v>656.95018195296188</v>
      </c>
      <c r="G17" s="427">
        <f>G16/G44</f>
        <v>964.79283158455166</v>
      </c>
      <c r="H17" s="427">
        <f>H16/H44</f>
        <v>411.5583766414091</v>
      </c>
      <c r="I17" s="427">
        <f>I16/$B$10</f>
        <v>56.54861197921965</v>
      </c>
      <c r="J17" s="59">
        <f>J16/J44</f>
        <v>675.49003198017795</v>
      </c>
      <c r="K17" s="429">
        <f>K16/$B$10</f>
        <v>37.699074652813103</v>
      </c>
      <c r="L17" s="428">
        <f>L16/L44</f>
        <v>1741.3037572622607</v>
      </c>
      <c r="M17" s="467">
        <f>M16/M44</f>
        <v>104.69523197788797</v>
      </c>
      <c r="N17" s="472"/>
    </row>
    <row r="18" spans="1:14" x14ac:dyDescent="0.25">
      <c r="A18" s="185"/>
      <c r="B18" s="182"/>
      <c r="C18" s="183"/>
      <c r="D18" s="426"/>
      <c r="E18" s="426"/>
      <c r="F18" s="426"/>
      <c r="G18" s="184"/>
      <c r="H18" s="183"/>
      <c r="I18" s="184"/>
      <c r="J18" s="184"/>
      <c r="K18" s="184"/>
      <c r="L18" s="183"/>
      <c r="N18" s="472"/>
    </row>
    <row r="19" spans="1:14" x14ac:dyDescent="0.25">
      <c r="G19" s="19"/>
      <c r="M19" s="61"/>
      <c r="N19" s="61"/>
    </row>
    <row r="20" spans="1:14" x14ac:dyDescent="0.25">
      <c r="A20" s="20" t="s">
        <v>438</v>
      </c>
      <c r="B20" s="24"/>
      <c r="C20" s="24"/>
      <c r="D20" s="24"/>
      <c r="E20" s="24"/>
      <c r="F20" s="24"/>
      <c r="G20" s="20"/>
      <c r="H20" s="62"/>
      <c r="I20" s="62"/>
      <c r="J20" s="62"/>
      <c r="K20" s="62"/>
      <c r="L20" s="62"/>
      <c r="M20" s="62"/>
      <c r="N20" s="61"/>
    </row>
    <row r="21" spans="1:14" ht="68.45" customHeight="1" x14ac:dyDescent="0.25">
      <c r="A21" s="301" t="s">
        <v>469</v>
      </c>
      <c r="B21" s="29" t="s">
        <v>134</v>
      </c>
      <c r="C21" s="63" t="s">
        <v>643</v>
      </c>
      <c r="D21" s="28" t="s">
        <v>545</v>
      </c>
      <c r="E21" s="28" t="s">
        <v>546</v>
      </c>
      <c r="F21" s="28" t="s">
        <v>547</v>
      </c>
      <c r="G21" s="28" t="s">
        <v>471</v>
      </c>
      <c r="H21" s="190" t="s">
        <v>472</v>
      </c>
      <c r="I21" s="63" t="s">
        <v>436</v>
      </c>
      <c r="J21" s="190" t="s">
        <v>560</v>
      </c>
      <c r="K21" s="63" t="s">
        <v>470</v>
      </c>
      <c r="L21" s="190" t="s">
        <v>561</v>
      </c>
      <c r="M21" s="466" t="s">
        <v>663</v>
      </c>
      <c r="N21" s="64"/>
    </row>
    <row r="22" spans="1:14" x14ac:dyDescent="0.25">
      <c r="A22" s="65">
        <v>31</v>
      </c>
      <c r="B22" s="30" t="s">
        <v>131</v>
      </c>
      <c r="C22" s="66">
        <f>Määräytymistekijät!C4</f>
        <v>656920</v>
      </c>
      <c r="D22" s="67">
        <f>'TH, VH ja SH tarvekertoimet'!O5</f>
        <v>0.88790246414515983</v>
      </c>
      <c r="E22" s="67">
        <f>'TH, VH ja SH tarvekertoimet'!P5</f>
        <v>0.73750353653139678</v>
      </c>
      <c r="F22" s="67">
        <f>'TH, VH ja SH tarvekertoimet'!Q5</f>
        <v>0.8189413336572593</v>
      </c>
      <c r="G22" s="66">
        <f>Määräytymistekijät!F4</f>
        <v>109254</v>
      </c>
      <c r="H22" s="66">
        <f>Määräytymistekijät!D4</f>
        <v>36754</v>
      </c>
      <c r="I22" s="68">
        <f>Määräytymistekijät!I4</f>
        <v>5.9372651746575997E-3</v>
      </c>
      <c r="J22" s="66">
        <f>Määräytymistekijät!J4</f>
        <v>0</v>
      </c>
      <c r="K22" s="68">
        <f>'Hyte-kerroin'!G5</f>
        <v>0.87387114899602281</v>
      </c>
      <c r="L22" s="66">
        <f>Määräytymistekijät!E4</f>
        <v>0</v>
      </c>
      <c r="M22" s="465">
        <f>Määräytymistekijät!K4</f>
        <v>656920</v>
      </c>
      <c r="N22" s="69"/>
    </row>
    <row r="23" spans="1:14" x14ac:dyDescent="0.25">
      <c r="A23" s="65">
        <v>32</v>
      </c>
      <c r="B23" s="70" t="s">
        <v>130</v>
      </c>
      <c r="C23" s="35">
        <f>Määräytymistekijät!C5</f>
        <v>274336</v>
      </c>
      <c r="D23" s="67">
        <f>'TH, VH ja SH tarvekertoimet'!O6</f>
        <v>0.86365603196077068</v>
      </c>
      <c r="E23" s="67">
        <f>'TH, VH ja SH tarvekertoimet'!P6</f>
        <v>0.55042349589182138</v>
      </c>
      <c r="F23" s="67">
        <f>'TH, VH ja SH tarvekertoimet'!Q6</f>
        <v>0.81422387121770312</v>
      </c>
      <c r="G23" s="35">
        <f>Määräytymistekijät!F5</f>
        <v>55806</v>
      </c>
      <c r="H23" s="35">
        <f>Määräytymistekijät!D5</f>
        <v>6033</v>
      </c>
      <c r="I23" s="71">
        <f>Määräytymistekijät!I5</f>
        <v>1.784705259363897E-2</v>
      </c>
      <c r="J23" s="35">
        <f>Määräytymistekijät!J5</f>
        <v>0</v>
      </c>
      <c r="K23" s="71">
        <f>'Hyte-kerroin'!G6</f>
        <v>0.94761042530650896</v>
      </c>
      <c r="L23" s="35">
        <f>Määräytymistekijät!E5</f>
        <v>0</v>
      </c>
      <c r="M23" s="465">
        <f>Määräytymistekijät!K5</f>
        <v>274336</v>
      </c>
      <c r="N23" s="69"/>
    </row>
    <row r="24" spans="1:14" x14ac:dyDescent="0.25">
      <c r="A24" s="65">
        <v>33</v>
      </c>
      <c r="B24" s="70" t="s">
        <v>129</v>
      </c>
      <c r="C24" s="35">
        <f>Määräytymistekijät!C6</f>
        <v>473838</v>
      </c>
      <c r="D24" s="67">
        <f>'TH, VH ja SH tarvekertoimet'!O7</f>
        <v>0.8465696944297868</v>
      </c>
      <c r="E24" s="67">
        <f>'TH, VH ja SH tarvekertoimet'!P7</f>
        <v>0.61155893887693302</v>
      </c>
      <c r="F24" s="67">
        <f>'TH, VH ja SH tarvekertoimet'!Q7</f>
        <v>0.76000402125279465</v>
      </c>
      <c r="G24" s="35">
        <f>Määräytymistekijät!F6</f>
        <v>67184</v>
      </c>
      <c r="H24" s="35">
        <f>Määräytymistekijät!D6</f>
        <v>57370</v>
      </c>
      <c r="I24" s="71">
        <f>Määräytymistekijät!I6</f>
        <v>0.16306132686413158</v>
      </c>
      <c r="J24" s="35">
        <f>Määräytymistekijät!J6</f>
        <v>0</v>
      </c>
      <c r="K24" s="71">
        <f>'Hyte-kerroin'!G7</f>
        <v>0.88237151640734968</v>
      </c>
      <c r="L24" s="35">
        <f>Määräytymistekijät!E6</f>
        <v>0</v>
      </c>
      <c r="M24" s="465">
        <f>Määräytymistekijät!K6</f>
        <v>473838</v>
      </c>
      <c r="N24" s="69"/>
    </row>
    <row r="25" spans="1:14" x14ac:dyDescent="0.25">
      <c r="A25" s="65">
        <v>34</v>
      </c>
      <c r="B25" s="70" t="s">
        <v>128</v>
      </c>
      <c r="C25" s="35">
        <f>Määräytymistekijät!C7</f>
        <v>98254</v>
      </c>
      <c r="D25" s="67">
        <f>'TH, VH ja SH tarvekertoimet'!O8</f>
        <v>0.95676623235132019</v>
      </c>
      <c r="E25" s="67">
        <f>'TH, VH ja SH tarvekertoimet'!P8</f>
        <v>0.89784952072051294</v>
      </c>
      <c r="F25" s="67">
        <f>'TH, VH ja SH tarvekertoimet'!Q8</f>
        <v>0.84645423128324815</v>
      </c>
      <c r="G25" s="35">
        <f>Määräytymistekijät!F7</f>
        <v>6020</v>
      </c>
      <c r="H25" s="35">
        <f>Määräytymistekijät!D7</f>
        <v>28089</v>
      </c>
      <c r="I25" s="71">
        <f>Määräytymistekijät!I7</f>
        <v>0.50051565330355308</v>
      </c>
      <c r="J25" s="35">
        <f>Määräytymistekijät!J7</f>
        <v>0</v>
      </c>
      <c r="K25" s="71">
        <f>'Hyte-kerroin'!G8</f>
        <v>0.97158935208957586</v>
      </c>
      <c r="L25" s="35">
        <f>Määräytymistekijät!E7</f>
        <v>0</v>
      </c>
      <c r="M25" s="465">
        <f>Määräytymistekijät!K7</f>
        <v>98254</v>
      </c>
      <c r="N25" s="69"/>
    </row>
    <row r="26" spans="1:14" x14ac:dyDescent="0.25">
      <c r="A26" s="72">
        <v>35</v>
      </c>
      <c r="B26" s="70" t="s">
        <v>127</v>
      </c>
      <c r="C26" s="35">
        <f>Määräytymistekijät!C8</f>
        <v>199330</v>
      </c>
      <c r="D26" s="67">
        <f>'TH, VH ja SH tarvekertoimet'!O9</f>
        <v>0.89686518973159446</v>
      </c>
      <c r="E26" s="67">
        <f>'TH, VH ja SH tarvekertoimet'!P9</f>
        <v>0.7096467964605937</v>
      </c>
      <c r="F26" s="67">
        <f>'TH, VH ja SH tarvekertoimet'!Q9</f>
        <v>0.83775437381055973</v>
      </c>
      <c r="G26" s="35">
        <f>Määräytymistekijät!F8</f>
        <v>11899</v>
      </c>
      <c r="H26" s="35">
        <f>Määräytymistekijät!D8</f>
        <v>0</v>
      </c>
      <c r="I26" s="71">
        <f>Määräytymistekijät!I8</f>
        <v>0.15239941416791861</v>
      </c>
      <c r="J26" s="35">
        <f>Määräytymistekijät!J8</f>
        <v>0</v>
      </c>
      <c r="K26" s="71">
        <f>'Hyte-kerroin'!G9</f>
        <v>1.0392398316505769</v>
      </c>
      <c r="L26" s="35">
        <f>Määräytymistekijät!E8</f>
        <v>0</v>
      </c>
      <c r="M26" s="465">
        <f>Määräytymistekijät!K8</f>
        <v>199330</v>
      </c>
      <c r="N26" s="69"/>
    </row>
    <row r="27" spans="1:14" x14ac:dyDescent="0.25">
      <c r="A27" s="7">
        <v>2</v>
      </c>
      <c r="B27" s="70" t="s">
        <v>126</v>
      </c>
      <c r="C27" s="35">
        <f>Määräytymistekijät!C9</f>
        <v>481403</v>
      </c>
      <c r="D27" s="67">
        <f>'TH, VH ja SH tarvekertoimet'!O10</f>
        <v>1.014224623922017</v>
      </c>
      <c r="E27" s="67">
        <f>'TH, VH ja SH tarvekertoimet'!P10</f>
        <v>1.071119330901831</v>
      </c>
      <c r="F27" s="67">
        <f>'TH, VH ja SH tarvekertoimet'!Q10</f>
        <v>1.0086572179417559</v>
      </c>
      <c r="G27" s="35">
        <f>Määräytymistekijät!F9</f>
        <v>37858</v>
      </c>
      <c r="H27" s="35">
        <f>Määräytymistekijät!D9</f>
        <v>27353</v>
      </c>
      <c r="I27" s="71">
        <f>Määräytymistekijät!I9</f>
        <v>0.40326660174875489</v>
      </c>
      <c r="J27" s="35">
        <f>Määräytymistekijät!J9</f>
        <v>22422</v>
      </c>
      <c r="K27" s="71">
        <f>'Hyte-kerroin'!G10</f>
        <v>0.9140275431773901</v>
      </c>
      <c r="L27" s="35">
        <f>Määräytymistekijät!E9</f>
        <v>0</v>
      </c>
      <c r="M27" s="465">
        <f>Määräytymistekijät!K9</f>
        <v>481403</v>
      </c>
      <c r="N27" s="69"/>
    </row>
    <row r="28" spans="1:14" x14ac:dyDescent="0.25">
      <c r="A28" s="7">
        <v>4</v>
      </c>
      <c r="B28" s="70" t="s">
        <v>125</v>
      </c>
      <c r="C28" s="35">
        <f>Määräytymistekijät!C10</f>
        <v>215416</v>
      </c>
      <c r="D28" s="67">
        <f>'TH, VH ja SH tarvekertoimet'!O11</f>
        <v>1.0610734764812337</v>
      </c>
      <c r="E28" s="67">
        <f>'TH, VH ja SH tarvekertoimet'!P11</f>
        <v>1.1739829004231412</v>
      </c>
      <c r="F28" s="67">
        <f>'TH, VH ja SH tarvekertoimet'!Q11</f>
        <v>1.0989230900935123</v>
      </c>
      <c r="G28" s="35">
        <f>Määräytymistekijät!F10</f>
        <v>8543</v>
      </c>
      <c r="H28" s="35">
        <f>Määräytymistekijät!D10</f>
        <v>0</v>
      </c>
      <c r="I28" s="71">
        <f>Määräytymistekijät!I10</f>
        <v>0.66082905275581871</v>
      </c>
      <c r="J28" s="35">
        <f>Määräytymistekijät!J10</f>
        <v>0</v>
      </c>
      <c r="K28" s="71">
        <f>'Hyte-kerroin'!G11</f>
        <v>1.1368461987025378</v>
      </c>
      <c r="L28" s="35">
        <f>Määräytymistekijät!E10</f>
        <v>0</v>
      </c>
      <c r="M28" s="465">
        <f>Määräytymistekijät!K10</f>
        <v>0</v>
      </c>
      <c r="N28" s="69"/>
    </row>
    <row r="29" spans="1:14" x14ac:dyDescent="0.25">
      <c r="A29" s="7">
        <v>5</v>
      </c>
      <c r="B29" s="70" t="s">
        <v>124</v>
      </c>
      <c r="C29" s="35">
        <f>Määräytymistekijät!C11</f>
        <v>170577</v>
      </c>
      <c r="D29" s="67">
        <f>'TH, VH ja SH tarvekertoimet'!O12</f>
        <v>1.0507054724897804</v>
      </c>
      <c r="E29" s="67">
        <f>'TH, VH ja SH tarvekertoimet'!P12</f>
        <v>1.1156889467327185</v>
      </c>
      <c r="F29" s="67">
        <f>'TH, VH ja SH tarvekertoimet'!Q12</f>
        <v>1.0132028208944319</v>
      </c>
      <c r="G29" s="35">
        <f>Määräytymistekijät!F11</f>
        <v>7549</v>
      </c>
      <c r="H29" s="35">
        <f>Määräytymistekijät!D11</f>
        <v>0</v>
      </c>
      <c r="I29" s="71">
        <f>Määräytymistekijät!I11</f>
        <v>0.55476480473221568</v>
      </c>
      <c r="J29" s="35">
        <f>Määräytymistekijät!J11</f>
        <v>0</v>
      </c>
      <c r="K29" s="71">
        <f>'Hyte-kerroin'!G12</f>
        <v>0.890597856238035</v>
      </c>
      <c r="L29" s="35">
        <f>Määräytymistekijät!E11</f>
        <v>0</v>
      </c>
      <c r="M29" s="465">
        <f>Määräytymistekijät!K11</f>
        <v>0</v>
      </c>
      <c r="N29" s="69"/>
    </row>
    <row r="30" spans="1:14" x14ac:dyDescent="0.25">
      <c r="A30" s="7">
        <v>6</v>
      </c>
      <c r="B30" s="70" t="s">
        <v>123</v>
      </c>
      <c r="C30" s="35">
        <f>Määräytymistekijät!C12</f>
        <v>522852</v>
      </c>
      <c r="D30" s="67">
        <f>'TH, VH ja SH tarvekertoimet'!O13</f>
        <v>1.0129954896394515</v>
      </c>
      <c r="E30" s="67">
        <f>'TH, VH ja SH tarvekertoimet'!P13</f>
        <v>1.0040283299699861</v>
      </c>
      <c r="F30" s="67">
        <f>'TH, VH ja SH tarvekertoimet'!Q13</f>
        <v>0.95315959895108338</v>
      </c>
      <c r="G30" s="35">
        <f>Määräytymistekijät!F12</f>
        <v>26921</v>
      </c>
      <c r="H30" s="35">
        <f>Määräytymistekijät!D12</f>
        <v>0</v>
      </c>
      <c r="I30" s="71">
        <f>Määräytymistekijät!I12</f>
        <v>0.46120270505882377</v>
      </c>
      <c r="J30" s="35">
        <f>Määräytymistekijät!J12</f>
        <v>0</v>
      </c>
      <c r="K30" s="71">
        <f>'Hyte-kerroin'!G13</f>
        <v>1.1944179298635271</v>
      </c>
      <c r="L30" s="35">
        <f>Määräytymistekijät!E12</f>
        <v>0</v>
      </c>
      <c r="M30" s="465">
        <f>Määräytymistekijät!K12</f>
        <v>522852</v>
      </c>
      <c r="N30" s="69"/>
    </row>
    <row r="31" spans="1:14" x14ac:dyDescent="0.25">
      <c r="A31" s="7">
        <v>7</v>
      </c>
      <c r="B31" s="70" t="s">
        <v>122</v>
      </c>
      <c r="C31" s="35">
        <f>Määräytymistekijät!C13</f>
        <v>205771</v>
      </c>
      <c r="D31" s="67">
        <f>'TH, VH ja SH tarvekertoimet'!O14</f>
        <v>1.0921683086942204</v>
      </c>
      <c r="E31" s="67">
        <f>'TH, VH ja SH tarvekertoimet'!P14</f>
        <v>1.1491512964871791</v>
      </c>
      <c r="F31" s="67">
        <f>'TH, VH ja SH tarvekertoimet'!Q14</f>
        <v>1.0711715086709683</v>
      </c>
      <c r="G31" s="35">
        <f>Määräytymistekijät!F13</f>
        <v>11510</v>
      </c>
      <c r="H31" s="35">
        <f>Määräytymistekijät!D13</f>
        <v>0</v>
      </c>
      <c r="I31" s="71">
        <f>Määräytymistekijät!I13</f>
        <v>0.50539601286714941</v>
      </c>
      <c r="J31" s="35">
        <f>Määräytymistekijät!J13</f>
        <v>0</v>
      </c>
      <c r="K31" s="71">
        <f>'Hyte-kerroin'!G14</f>
        <v>0.96746372283020388</v>
      </c>
      <c r="L31" s="35">
        <f>Määräytymistekijät!E13</f>
        <v>0</v>
      </c>
      <c r="M31" s="465">
        <f>Määräytymistekijät!K13</f>
        <v>0</v>
      </c>
      <c r="N31" s="69"/>
    </row>
    <row r="32" spans="1:14" x14ac:dyDescent="0.25">
      <c r="A32" s="7">
        <v>8</v>
      </c>
      <c r="B32" s="70" t="s">
        <v>121</v>
      </c>
      <c r="C32" s="35">
        <f>Määräytymistekijät!C14</f>
        <v>162812</v>
      </c>
      <c r="D32" s="67">
        <f>'TH, VH ja SH tarvekertoimet'!O15</f>
        <v>1.1207025835724889</v>
      </c>
      <c r="E32" s="67">
        <f>'TH, VH ja SH tarvekertoimet'!P15</f>
        <v>1.4041791182210002</v>
      </c>
      <c r="F32" s="67">
        <f>'TH, VH ja SH tarvekertoimet'!Q15</f>
        <v>1.1637776027221158</v>
      </c>
      <c r="G32" s="35">
        <f>Määräytymistekijät!F14</f>
        <v>10155</v>
      </c>
      <c r="H32" s="35">
        <f>Määräytymistekijät!D14</f>
        <v>1237</v>
      </c>
      <c r="I32" s="71">
        <f>Määräytymistekijät!I14</f>
        <v>0.50960817267400127</v>
      </c>
      <c r="J32" s="35">
        <f>Määräytymistekijät!J14</f>
        <v>0</v>
      </c>
      <c r="K32" s="71">
        <f>'Hyte-kerroin'!G15</f>
        <v>1.0514534009847949</v>
      </c>
      <c r="L32" s="35">
        <f>Määräytymistekijät!E14</f>
        <v>0</v>
      </c>
      <c r="M32" s="465">
        <f>Määräytymistekijät!K14</f>
        <v>0</v>
      </c>
      <c r="N32" s="69"/>
    </row>
    <row r="33" spans="1:15" x14ac:dyDescent="0.25">
      <c r="A33" s="7">
        <v>9</v>
      </c>
      <c r="B33" s="70" t="s">
        <v>120</v>
      </c>
      <c r="C33" s="35">
        <f>Määräytymistekijät!C15</f>
        <v>126921</v>
      </c>
      <c r="D33" s="67">
        <f>'TH, VH ja SH tarvekertoimet'!O16</f>
        <v>1.0325820007501467</v>
      </c>
      <c r="E33" s="67">
        <f>'TH, VH ja SH tarvekertoimet'!P16</f>
        <v>1.2112838923411375</v>
      </c>
      <c r="F33" s="67">
        <f>'TH, VH ja SH tarvekertoimet'!Q16</f>
        <v>1.0025580243033108</v>
      </c>
      <c r="G33" s="35">
        <f>Määräytymistekijät!F15</f>
        <v>8272</v>
      </c>
      <c r="H33" s="35">
        <f>Määräytymistekijät!D15</f>
        <v>0</v>
      </c>
      <c r="I33" s="71">
        <f>Määräytymistekijät!I15</f>
        <v>0.76382676456344767</v>
      </c>
      <c r="J33" s="35">
        <f>Määräytymistekijät!J15</f>
        <v>0</v>
      </c>
      <c r="K33" s="71">
        <f>'Hyte-kerroin'!G16</f>
        <v>1.1503916373463356</v>
      </c>
      <c r="L33" s="35">
        <f>Määräytymistekijät!E15</f>
        <v>0</v>
      </c>
      <c r="M33" s="465">
        <f>Määräytymistekijät!K15</f>
        <v>0</v>
      </c>
      <c r="N33" s="69"/>
    </row>
    <row r="34" spans="1:15" x14ac:dyDescent="0.25">
      <c r="A34" s="7">
        <v>10</v>
      </c>
      <c r="B34" s="70" t="s">
        <v>119</v>
      </c>
      <c r="C34" s="35">
        <f>Määräytymistekijät!C16</f>
        <v>132702</v>
      </c>
      <c r="D34" s="67">
        <f>'TH, VH ja SH tarvekertoimet'!O17</f>
        <v>1.1396474651285025</v>
      </c>
      <c r="E34" s="67">
        <f>'TH, VH ja SH tarvekertoimet'!P17</f>
        <v>1.4606704598569253</v>
      </c>
      <c r="F34" s="67">
        <f>'TH, VH ja SH tarvekertoimet'!Q17</f>
        <v>1.2186630728849099</v>
      </c>
      <c r="G34" s="35">
        <f>Määräytymistekijät!F16</f>
        <v>4656</v>
      </c>
      <c r="H34" s="35">
        <f>Määräytymistekijät!D16</f>
        <v>0</v>
      </c>
      <c r="I34" s="71">
        <f>Määräytymistekijät!I16</f>
        <v>1.7352535842039383</v>
      </c>
      <c r="J34" s="35">
        <f>Määräytymistekijät!J16</f>
        <v>5927</v>
      </c>
      <c r="K34" s="71">
        <f>'Hyte-kerroin'!G17</f>
        <v>1.1167694850719772</v>
      </c>
      <c r="L34" s="35">
        <f>Määräytymistekijät!E16</f>
        <v>0</v>
      </c>
      <c r="M34" s="465">
        <f>Määräytymistekijät!K16</f>
        <v>0</v>
      </c>
      <c r="N34" s="69"/>
    </row>
    <row r="35" spans="1:15" x14ac:dyDescent="0.25">
      <c r="A35" s="7">
        <v>11</v>
      </c>
      <c r="B35" s="70" t="s">
        <v>118</v>
      </c>
      <c r="C35" s="35">
        <f>Määräytymistekijät!C17</f>
        <v>248265</v>
      </c>
      <c r="D35" s="67">
        <f>'TH, VH ja SH tarvekertoimet'!O18</f>
        <v>1.1373756530151591</v>
      </c>
      <c r="E35" s="67">
        <f>'TH, VH ja SH tarvekertoimet'!P18</f>
        <v>1.274235239573331</v>
      </c>
      <c r="F35" s="67">
        <f>'TH, VH ja SH tarvekertoimet'!Q18</f>
        <v>1.2041722720015453</v>
      </c>
      <c r="G35" s="35">
        <f>Määräytymistekijät!F17</f>
        <v>7992</v>
      </c>
      <c r="H35" s="35">
        <f>Määräytymistekijät!D17</f>
        <v>0</v>
      </c>
      <c r="I35" s="71">
        <f>Määräytymistekijät!I17</f>
        <v>1.2715723008395969</v>
      </c>
      <c r="J35" s="35">
        <f>Määräytymistekijät!J17</f>
        <v>0</v>
      </c>
      <c r="K35" s="71">
        <f>'Hyte-kerroin'!G18</f>
        <v>1.0492403075409518</v>
      </c>
      <c r="L35" s="35">
        <f>Määräytymistekijät!E17</f>
        <v>0</v>
      </c>
      <c r="M35" s="465">
        <f>Määräytymistekijät!K17</f>
        <v>248265</v>
      </c>
      <c r="N35" s="69"/>
    </row>
    <row r="36" spans="1:15" x14ac:dyDescent="0.25">
      <c r="A36" s="7">
        <v>12</v>
      </c>
      <c r="B36" s="70" t="s">
        <v>117</v>
      </c>
      <c r="C36" s="35">
        <f>Määräytymistekijät!C18</f>
        <v>163537</v>
      </c>
      <c r="D36" s="67">
        <f>'TH, VH ja SH tarvekertoimet'!O19</f>
        <v>1.1882799334007612</v>
      </c>
      <c r="E36" s="67">
        <f>'TH, VH ja SH tarvekertoimet'!P19</f>
        <v>1.3357082327226049</v>
      </c>
      <c r="F36" s="67">
        <f>'TH, VH ja SH tarvekertoimet'!Q19</f>
        <v>1.2674473226237739</v>
      </c>
      <c r="G36" s="35">
        <f>Määräytymistekijät!F18</f>
        <v>6557</v>
      </c>
      <c r="H36" s="35">
        <f>Määräytymistekijät!D18</f>
        <v>0</v>
      </c>
      <c r="I36" s="71">
        <f>Määräytymistekijät!I18</f>
        <v>2.0913778753164851</v>
      </c>
      <c r="J36" s="35">
        <f>Määräytymistekijät!J18</f>
        <v>0</v>
      </c>
      <c r="K36" s="71">
        <f>'Hyte-kerroin'!G19</f>
        <v>0.93426324114917869</v>
      </c>
      <c r="L36" s="35">
        <f>Määräytymistekijät!E18</f>
        <v>0</v>
      </c>
      <c r="M36" s="465">
        <f>Määräytymistekijät!K18</f>
        <v>0</v>
      </c>
      <c r="N36" s="69"/>
    </row>
    <row r="37" spans="1:15" x14ac:dyDescent="0.25">
      <c r="A37" s="7">
        <v>13</v>
      </c>
      <c r="B37" s="70" t="s">
        <v>116</v>
      </c>
      <c r="C37" s="35">
        <f>Määräytymistekijät!C19</f>
        <v>272617</v>
      </c>
      <c r="D37" s="67">
        <f>'TH, VH ja SH tarvekertoimet'!O20</f>
        <v>0.99575953391985261</v>
      </c>
      <c r="E37" s="67">
        <f>'TH, VH ja SH tarvekertoimet'!P20</f>
        <v>1.0331098591584342</v>
      </c>
      <c r="F37" s="67">
        <f>'TH, VH ja SH tarvekertoimet'!Q20</f>
        <v>1.0472067970935695</v>
      </c>
      <c r="G37" s="35">
        <f>Määräytymistekijät!F19</f>
        <v>9833</v>
      </c>
      <c r="H37" s="35">
        <f>Määräytymistekijät!D19</f>
        <v>0</v>
      </c>
      <c r="I37" s="71">
        <f>Määräytymistekijät!I19</f>
        <v>1.0710577562453651</v>
      </c>
      <c r="J37" s="35">
        <f>Määräytymistekijät!J19</f>
        <v>0</v>
      </c>
      <c r="K37" s="71">
        <f>'Hyte-kerroin'!G20</f>
        <v>0.9990076873394298</v>
      </c>
      <c r="L37" s="35">
        <f>Määräytymistekijät!E19</f>
        <v>0</v>
      </c>
      <c r="M37" s="465">
        <f>Määräytymistekijät!K19</f>
        <v>0</v>
      </c>
      <c r="N37" s="69"/>
    </row>
    <row r="38" spans="1:15" x14ac:dyDescent="0.25">
      <c r="A38" s="7">
        <v>14</v>
      </c>
      <c r="B38" s="70" t="s">
        <v>132</v>
      </c>
      <c r="C38" s="35">
        <f>Määräytymistekijät!C20</f>
        <v>192150</v>
      </c>
      <c r="D38" s="67">
        <f>'TH, VH ja SH tarvekertoimet'!O21</f>
        <v>1.1006082051442638</v>
      </c>
      <c r="E38" s="67">
        <f>'TH, VH ja SH tarvekertoimet'!P21</f>
        <v>1.30416043555033</v>
      </c>
      <c r="F38" s="67">
        <f>'TH, VH ja SH tarvekertoimet'!Q21</f>
        <v>1.1013671549433526</v>
      </c>
      <c r="G38" s="35">
        <f>Määräytymistekijät!F20</f>
        <v>4603</v>
      </c>
      <c r="H38" s="35">
        <f>Määräytymistekijät!D20</f>
        <v>0</v>
      </c>
      <c r="I38" s="71">
        <f>Määräytymistekijät!I20</f>
        <v>1.3070095400492965</v>
      </c>
      <c r="J38" s="35">
        <f>Määräytymistekijät!J20</f>
        <v>0</v>
      </c>
      <c r="K38" s="71">
        <f>'Hyte-kerroin'!G21</f>
        <v>1.1383879455404682</v>
      </c>
      <c r="L38" s="35">
        <f>Määräytymistekijät!E20</f>
        <v>0</v>
      </c>
      <c r="M38" s="465">
        <f>Määräytymistekijät!K20</f>
        <v>0</v>
      </c>
      <c r="N38" s="69"/>
    </row>
    <row r="39" spans="1:15" x14ac:dyDescent="0.25">
      <c r="A39" s="7">
        <v>15</v>
      </c>
      <c r="B39" s="70" t="s">
        <v>114</v>
      </c>
      <c r="C39" s="35">
        <f>Määräytymistekijät!C21</f>
        <v>175816</v>
      </c>
      <c r="D39" s="67">
        <f>'TH, VH ja SH tarvekertoimet'!O22</f>
        <v>0.97630446030154605</v>
      </c>
      <c r="E39" s="67">
        <f>'TH, VH ja SH tarvekertoimet'!P22</f>
        <v>1.0062536695124309</v>
      </c>
      <c r="F39" s="67">
        <f>'TH, VH ja SH tarvekertoimet'!Q22</f>
        <v>0.8677091902782279</v>
      </c>
      <c r="G39" s="35">
        <f>Määräytymistekijät!F21</f>
        <v>13113</v>
      </c>
      <c r="H39" s="35">
        <f>Määräytymistekijät!D21</f>
        <v>89085</v>
      </c>
      <c r="I39" s="71">
        <f>Määräytymistekijät!I21</f>
        <v>0.76621206366216332</v>
      </c>
      <c r="J39" s="35">
        <f>Määräytymistekijät!J21</f>
        <v>5422</v>
      </c>
      <c r="K39" s="71">
        <f>'Hyte-kerroin'!G22</f>
        <v>1.0994124889149994</v>
      </c>
      <c r="L39" s="35">
        <f>Määräytymistekijät!E21</f>
        <v>0</v>
      </c>
      <c r="M39" s="465">
        <f>Määräytymistekijät!K21</f>
        <v>0</v>
      </c>
      <c r="N39" s="69"/>
    </row>
    <row r="40" spans="1:15" x14ac:dyDescent="0.25">
      <c r="A40" s="7">
        <v>16</v>
      </c>
      <c r="B40" s="70" t="s">
        <v>113</v>
      </c>
      <c r="C40" s="35">
        <f>Määräytymistekijät!C22</f>
        <v>67988</v>
      </c>
      <c r="D40" s="67">
        <f>'TH, VH ja SH tarvekertoimet'!O23</f>
        <v>1.1329136928993897</v>
      </c>
      <c r="E40" s="67">
        <f>'TH, VH ja SH tarvekertoimet'!P23</f>
        <v>1.2336489898682936</v>
      </c>
      <c r="F40" s="67">
        <f>'TH, VH ja SH tarvekertoimet'!Q23</f>
        <v>1.16169585558343</v>
      </c>
      <c r="G40" s="35">
        <f>Määräytymistekijät!F22</f>
        <v>2139</v>
      </c>
      <c r="H40" s="35">
        <f>Määräytymistekijät!D22</f>
        <v>6149</v>
      </c>
      <c r="I40" s="71">
        <f>Määräytymistekijät!I22</f>
        <v>1.3438993585938339</v>
      </c>
      <c r="J40" s="35">
        <f>Määräytymistekijät!J22</f>
        <v>0</v>
      </c>
      <c r="K40" s="71">
        <f>'Hyte-kerroin'!G23</f>
        <v>0.72616424547911207</v>
      </c>
      <c r="L40" s="35">
        <f>Määräytymistekijät!E22</f>
        <v>0</v>
      </c>
      <c r="M40" s="465">
        <f>Määräytymistekijät!K22</f>
        <v>0</v>
      </c>
      <c r="N40" s="69"/>
    </row>
    <row r="41" spans="1:15" x14ac:dyDescent="0.25">
      <c r="A41" s="7">
        <v>17</v>
      </c>
      <c r="B41" s="70" t="s">
        <v>112</v>
      </c>
      <c r="C41" s="35">
        <f>Määräytymistekijät!C23</f>
        <v>413830</v>
      </c>
      <c r="D41" s="67">
        <f>'TH, VH ja SH tarvekertoimet'!O24</f>
        <v>0.99330227870500287</v>
      </c>
      <c r="E41" s="67">
        <f>'TH, VH ja SH tarvekertoimet'!P24</f>
        <v>0.99197690097631708</v>
      </c>
      <c r="F41" s="67">
        <f>'TH, VH ja SH tarvekertoimet'!Q24</f>
        <v>1.1640204593123169</v>
      </c>
      <c r="G41" s="35">
        <f>Määräytymistekijät!F23</f>
        <v>12855</v>
      </c>
      <c r="H41" s="35">
        <f>Määräytymistekijät!D23</f>
        <v>0</v>
      </c>
      <c r="I41" s="71">
        <f>Määräytymistekijät!I23</f>
        <v>1.6197834697054365</v>
      </c>
      <c r="J41" s="35">
        <f>Määräytymistekijät!J23</f>
        <v>938</v>
      </c>
      <c r="K41" s="71">
        <f>'Hyte-kerroin'!G24</f>
        <v>0.91972463066753429</v>
      </c>
      <c r="L41" s="35">
        <f>Määräytymistekijät!E23</f>
        <v>0</v>
      </c>
      <c r="M41" s="465">
        <f>Määräytymistekijät!K23</f>
        <v>413830</v>
      </c>
      <c r="N41" s="69"/>
    </row>
    <row r="42" spans="1:15" x14ac:dyDescent="0.25">
      <c r="A42" s="7">
        <v>18</v>
      </c>
      <c r="B42" s="70" t="s">
        <v>111</v>
      </c>
      <c r="C42" s="35">
        <f>Määräytymistekijät!C24</f>
        <v>71664</v>
      </c>
      <c r="D42" s="67">
        <f>'TH, VH ja SH tarvekertoimet'!O25</f>
        <v>1.1414592162140649</v>
      </c>
      <c r="E42" s="67">
        <f>'TH, VH ja SH tarvekertoimet'!P25</f>
        <v>1.4020537979572885</v>
      </c>
      <c r="F42" s="67">
        <f>'TH, VH ja SH tarvekertoimet'!Q25</f>
        <v>1.2824772484462106</v>
      </c>
      <c r="G42" s="35">
        <f>Määräytymistekijät!F24</f>
        <v>2237</v>
      </c>
      <c r="H42" s="35">
        <f>Määräytymistekijät!D24</f>
        <v>0</v>
      </c>
      <c r="I42" s="71">
        <f>Määräytymistekijät!I24</f>
        <v>5.1296583004205925</v>
      </c>
      <c r="J42" s="35">
        <f>Määräytymistekijät!J24</f>
        <v>0</v>
      </c>
      <c r="K42" s="71">
        <f>'Hyte-kerroin'!G25</f>
        <v>0.94925820248712744</v>
      </c>
      <c r="L42" s="35">
        <f>Määräytymistekijät!E24</f>
        <v>0</v>
      </c>
      <c r="M42" s="465">
        <f>Määräytymistekijät!K24</f>
        <v>0</v>
      </c>
      <c r="N42" s="69"/>
    </row>
    <row r="43" spans="1:15" x14ac:dyDescent="0.25">
      <c r="A43" s="7">
        <v>19</v>
      </c>
      <c r="B43" s="70" t="s">
        <v>110</v>
      </c>
      <c r="C43" s="35">
        <f>Määräytymistekijät!C25</f>
        <v>176665</v>
      </c>
      <c r="D43" s="67">
        <f>'TH, VH ja SH tarvekertoimet'!O26</f>
        <v>1.0934507332798225</v>
      </c>
      <c r="E43" s="67">
        <f>'TH, VH ja SH tarvekertoimet'!P26</f>
        <v>1.208377014995931</v>
      </c>
      <c r="F43" s="67">
        <f>'TH, VH ja SH tarvekertoimet'!Q26</f>
        <v>1.3086850154423848</v>
      </c>
      <c r="G43" s="35">
        <f>Määräytymistekijät!F25</f>
        <v>5153</v>
      </c>
      <c r="H43" s="35">
        <f>Määräytymistekijät!D25</f>
        <v>0</v>
      </c>
      <c r="I43" s="71">
        <f>Määräytymistekijät!I25</f>
        <v>9.5478057061119799</v>
      </c>
      <c r="J43" s="35">
        <f>Määräytymistekijät!J25</f>
        <v>0</v>
      </c>
      <c r="K43" s="71">
        <f>'Hyte-kerroin'!G26</f>
        <v>1.2874883815752132</v>
      </c>
      <c r="L43" s="35">
        <f>Määräytymistekijät!E25</f>
        <v>1549</v>
      </c>
      <c r="M43" s="465">
        <f>Määräytymistekijät!K25</f>
        <v>0</v>
      </c>
      <c r="N43" s="69"/>
    </row>
    <row r="44" spans="1:15" x14ac:dyDescent="0.25">
      <c r="B44" s="73" t="s">
        <v>109</v>
      </c>
      <c r="C44" s="44">
        <f>SUM(C22:C43)</f>
        <v>5503664</v>
      </c>
      <c r="D44" s="74">
        <v>1</v>
      </c>
      <c r="E44" s="74">
        <v>1</v>
      </c>
      <c r="F44" s="74">
        <v>1</v>
      </c>
      <c r="G44" s="44">
        <f>SUM(G22:G43)</f>
        <v>430109</v>
      </c>
      <c r="H44" s="44">
        <f>SUM(H22:H43)</f>
        <v>252070</v>
      </c>
      <c r="I44" s="75">
        <f>Määräytymistekijät!I26</f>
        <v>1</v>
      </c>
      <c r="J44" s="44">
        <f>SUM(J22:J43)</f>
        <v>34709</v>
      </c>
      <c r="K44" s="75">
        <f>'Hyte-kerroin'!G27</f>
        <v>1</v>
      </c>
      <c r="L44" s="44">
        <f>SUM(L22:L43)</f>
        <v>1549</v>
      </c>
      <c r="M44" s="465">
        <f>Määräytymistekijät!K26</f>
        <v>3369028</v>
      </c>
      <c r="N44" s="69"/>
    </row>
    <row r="45" spans="1:15" x14ac:dyDescent="0.25">
      <c r="B45" s="19"/>
      <c r="C45" s="59"/>
      <c r="D45" s="76"/>
      <c r="E45" s="19"/>
      <c r="F45" s="76"/>
      <c r="G45" s="59"/>
      <c r="H45" s="59"/>
      <c r="I45" s="77"/>
      <c r="J45" s="27"/>
      <c r="K45" s="77"/>
      <c r="L45" s="59"/>
      <c r="M45" s="69"/>
      <c r="N45" s="69"/>
    </row>
    <row r="47" spans="1:15" x14ac:dyDescent="0.25">
      <c r="A47" s="20" t="s">
        <v>688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5" x14ac:dyDescent="0.25">
      <c r="A48" s="300" t="s">
        <v>469</v>
      </c>
      <c r="B48" s="300" t="s">
        <v>134</v>
      </c>
      <c r="C48" s="303" t="s">
        <v>431</v>
      </c>
      <c r="D48" s="304" t="s">
        <v>542</v>
      </c>
      <c r="E48" s="304" t="s">
        <v>543</v>
      </c>
      <c r="F48" s="304" t="s">
        <v>544</v>
      </c>
      <c r="G48" s="305" t="s">
        <v>433</v>
      </c>
      <c r="H48" s="306" t="s">
        <v>430</v>
      </c>
      <c r="I48" s="306" t="s">
        <v>429</v>
      </c>
      <c r="J48" s="306" t="s">
        <v>480</v>
      </c>
      <c r="K48" s="306" t="s">
        <v>479</v>
      </c>
      <c r="L48" s="307" t="s">
        <v>559</v>
      </c>
      <c r="M48" s="464" t="s">
        <v>714</v>
      </c>
      <c r="N48" s="314" t="s">
        <v>504</v>
      </c>
      <c r="O48" s="315" t="s">
        <v>502</v>
      </c>
    </row>
    <row r="49" spans="1:15" x14ac:dyDescent="0.25">
      <c r="A49" s="309">
        <v>31</v>
      </c>
      <c r="B49" s="31" t="s">
        <v>131</v>
      </c>
      <c r="C49" s="66">
        <f t="shared" ref="C49:C70" si="1">C22*B$17</f>
        <v>290348097.24173623</v>
      </c>
      <c r="D49" s="66">
        <f t="shared" ref="D49:D70" si="2">D22*$D$17*$C22</f>
        <v>1054181621.869656</v>
      </c>
      <c r="E49" s="66">
        <f t="shared" ref="E49:E70" si="3">E22*C22*E$17</f>
        <v>293744821.62351114</v>
      </c>
      <c r="F49" s="66">
        <f t="shared" ref="F49:F70" si="4">F22*C22*F$17</f>
        <v>353425363.11514169</v>
      </c>
      <c r="G49" s="66">
        <f t="shared" ref="G49:H70" si="5">G22*G$17</f>
        <v>105407476.02193861</v>
      </c>
      <c r="H49" s="66">
        <f t="shared" si="5"/>
        <v>15126416.57507835</v>
      </c>
      <c r="I49" s="66">
        <f t="shared" ref="I49:I70" si="6">I22*I$17*$C22</f>
        <v>220557.01718032992</v>
      </c>
      <c r="J49" s="66">
        <f t="shared" ref="J49:J70" si="7">J22*$J$17</f>
        <v>0</v>
      </c>
      <c r="K49" s="66">
        <f t="shared" ref="K49:K70" si="8">K$17*$C22</f>
        <v>24765276.120925982</v>
      </c>
      <c r="L49" s="66">
        <f t="shared" ref="L49:L70" si="9">L$17*L22</f>
        <v>0</v>
      </c>
      <c r="M49" s="66">
        <f t="shared" ref="M49:M71" si="10">$M$17*M22</f>
        <v>68776391.790914163</v>
      </c>
      <c r="N49" s="88">
        <f t="shared" ref="N49:N70" si="11">SUM(C49:M49)</f>
        <v>2205996021.3760824</v>
      </c>
      <c r="O49" s="311">
        <f t="shared" ref="O49:O71" si="12">N49/C22</f>
        <v>3358.0892975949619</v>
      </c>
    </row>
    <row r="50" spans="1:15" x14ac:dyDescent="0.25">
      <c r="A50" s="310">
        <v>32</v>
      </c>
      <c r="B50" s="85" t="s">
        <v>130</v>
      </c>
      <c r="C50" s="35">
        <f t="shared" si="1"/>
        <v>121252109.24451828</v>
      </c>
      <c r="D50" s="35">
        <f t="shared" si="2"/>
        <v>428214439.57022524</v>
      </c>
      <c r="E50" s="35">
        <f t="shared" si="3"/>
        <v>91553171.681956589</v>
      </c>
      <c r="F50" s="35">
        <f t="shared" si="4"/>
        <v>146743566.4938913</v>
      </c>
      <c r="G50" s="35">
        <f t="shared" si="5"/>
        <v>53841228.75940749</v>
      </c>
      <c r="H50" s="35">
        <f t="shared" si="5"/>
        <v>2482931.686277621</v>
      </c>
      <c r="I50" s="35">
        <f t="shared" si="6"/>
        <v>276867.03822627629</v>
      </c>
      <c r="J50" s="35">
        <f t="shared" si="7"/>
        <v>0</v>
      </c>
      <c r="K50" s="35">
        <f t="shared" si="8"/>
        <v>10342213.343954135</v>
      </c>
      <c r="L50" s="35">
        <f t="shared" si="9"/>
        <v>0</v>
      </c>
      <c r="M50" s="35">
        <f t="shared" si="10"/>
        <v>28721671.159885876</v>
      </c>
      <c r="N50" s="88">
        <f t="shared" si="11"/>
        <v>883428198.97834265</v>
      </c>
      <c r="O50" s="312">
        <f t="shared" si="12"/>
        <v>3220.2415978156082</v>
      </c>
    </row>
    <row r="51" spans="1:15" x14ac:dyDescent="0.25">
      <c r="A51" s="310">
        <v>33</v>
      </c>
      <c r="B51" s="85" t="s">
        <v>129</v>
      </c>
      <c r="C51" s="35">
        <f t="shared" si="1"/>
        <v>209428791.4827221</v>
      </c>
      <c r="D51" s="35">
        <f t="shared" si="2"/>
        <v>724987133.6727699</v>
      </c>
      <c r="E51" s="35">
        <f t="shared" si="3"/>
        <v>175695983.25112286</v>
      </c>
      <c r="F51" s="35">
        <f t="shared" si="4"/>
        <v>236580101.60791332</v>
      </c>
      <c r="G51" s="35">
        <f t="shared" si="5"/>
        <v>64818641.597176522</v>
      </c>
      <c r="H51" s="35">
        <f t="shared" si="5"/>
        <v>23611104.067917641</v>
      </c>
      <c r="I51" s="35">
        <f t="shared" si="6"/>
        <v>4369208.8821295043</v>
      </c>
      <c r="J51" s="35">
        <f t="shared" si="7"/>
        <v>0</v>
      </c>
      <c r="K51" s="35">
        <f t="shared" si="8"/>
        <v>17863254.135339655</v>
      </c>
      <c r="L51" s="35">
        <f t="shared" si="9"/>
        <v>0</v>
      </c>
      <c r="M51" s="35">
        <f t="shared" si="10"/>
        <v>49608579.329938479</v>
      </c>
      <c r="N51" s="88">
        <f t="shared" si="11"/>
        <v>1506962798.02703</v>
      </c>
      <c r="O51" s="312">
        <f t="shared" si="12"/>
        <v>3180.3333587154893</v>
      </c>
    </row>
    <row r="52" spans="1:15" x14ac:dyDescent="0.25">
      <c r="A52" s="310">
        <v>34</v>
      </c>
      <c r="B52" s="85" t="s">
        <v>128</v>
      </c>
      <c r="C52" s="35">
        <f t="shared" si="1"/>
        <v>43426691.144111231</v>
      </c>
      <c r="D52" s="35">
        <f t="shared" si="2"/>
        <v>169900154.6559402</v>
      </c>
      <c r="E52" s="35">
        <f t="shared" si="3"/>
        <v>53486899.399953999</v>
      </c>
      <c r="F52" s="35">
        <f t="shared" si="4"/>
        <v>54636913.481484786</v>
      </c>
      <c r="G52" s="35">
        <f t="shared" si="5"/>
        <v>5808052.8461390007</v>
      </c>
      <c r="H52" s="35">
        <f t="shared" si="5"/>
        <v>11560263.24148054</v>
      </c>
      <c r="I52" s="35">
        <f t="shared" si="6"/>
        <v>2780928.6961113685</v>
      </c>
      <c r="J52" s="35">
        <f t="shared" si="7"/>
        <v>0</v>
      </c>
      <c r="K52" s="35">
        <f t="shared" si="8"/>
        <v>3704084.8809374985</v>
      </c>
      <c r="L52" s="35">
        <f t="shared" si="9"/>
        <v>0</v>
      </c>
      <c r="M52" s="35">
        <f t="shared" si="10"/>
        <v>10286725.322755404</v>
      </c>
      <c r="N52" s="88">
        <f t="shared" si="11"/>
        <v>355590713.66891408</v>
      </c>
      <c r="O52" s="312">
        <f t="shared" si="12"/>
        <v>3619.0965626734187</v>
      </c>
    </row>
    <row r="53" spans="1:15" x14ac:dyDescent="0.25">
      <c r="A53" s="310">
        <v>35</v>
      </c>
      <c r="B53" s="85" t="s">
        <v>127</v>
      </c>
      <c r="C53" s="35">
        <f t="shared" si="1"/>
        <v>88100660.998592332</v>
      </c>
      <c r="D53" s="35">
        <f t="shared" si="2"/>
        <v>323100425.45200145</v>
      </c>
      <c r="E53" s="35">
        <f t="shared" si="3"/>
        <v>85764693.748648524</v>
      </c>
      <c r="F53" s="35">
        <f t="shared" si="4"/>
        <v>109703834.52618186</v>
      </c>
      <c r="G53" s="35">
        <f t="shared" si="5"/>
        <v>11480069.90302458</v>
      </c>
      <c r="H53" s="35">
        <f t="shared" si="5"/>
        <v>0</v>
      </c>
      <c r="I53" s="35">
        <f t="shared" si="6"/>
        <v>1717821.0240521836</v>
      </c>
      <c r="J53" s="35">
        <f t="shared" si="7"/>
        <v>0</v>
      </c>
      <c r="K53" s="35">
        <f t="shared" si="8"/>
        <v>7514556.5505452361</v>
      </c>
      <c r="L53" s="35">
        <f t="shared" si="9"/>
        <v>0</v>
      </c>
      <c r="M53" s="35">
        <f t="shared" si="10"/>
        <v>20868900.590152409</v>
      </c>
      <c r="N53" s="88">
        <f t="shared" si="11"/>
        <v>648250962.79319847</v>
      </c>
      <c r="O53" s="313">
        <f t="shared" si="12"/>
        <v>3252.1495148407089</v>
      </c>
    </row>
    <row r="54" spans="1:15" x14ac:dyDescent="0.25">
      <c r="A54" s="34">
        <v>2</v>
      </c>
      <c r="B54" s="85" t="s">
        <v>126</v>
      </c>
      <c r="C54" s="35">
        <f t="shared" si="1"/>
        <v>212772400.07377389</v>
      </c>
      <c r="D54" s="35">
        <f t="shared" si="2"/>
        <v>882430758.97459769</v>
      </c>
      <c r="E54" s="35">
        <f t="shared" si="3"/>
        <v>312636930.02627546</v>
      </c>
      <c r="F54" s="35">
        <f t="shared" si="4"/>
        <v>318995701.04302794</v>
      </c>
      <c r="G54" s="35">
        <f t="shared" si="5"/>
        <v>36525127.018127955</v>
      </c>
      <c r="H54" s="35">
        <f t="shared" si="5"/>
        <v>11257356.276272463</v>
      </c>
      <c r="I54" s="35">
        <f t="shared" si="6"/>
        <v>10977994.207225859</v>
      </c>
      <c r="J54" s="35">
        <f t="shared" si="7"/>
        <v>15145837.49705955</v>
      </c>
      <c r="K54" s="35">
        <f t="shared" si="8"/>
        <v>18148447.635088187</v>
      </c>
      <c r="L54" s="35">
        <f t="shared" si="9"/>
        <v>0</v>
      </c>
      <c r="M54" s="35">
        <f t="shared" si="10"/>
        <v>50400598.759851202</v>
      </c>
      <c r="N54" s="88">
        <f t="shared" si="11"/>
        <v>1869291151.5113001</v>
      </c>
      <c r="O54" s="312">
        <f t="shared" si="12"/>
        <v>3883.0068601801404</v>
      </c>
    </row>
    <row r="55" spans="1:15" x14ac:dyDescent="0.25">
      <c r="A55" s="34">
        <v>4</v>
      </c>
      <c r="B55" s="85" t="s">
        <v>125</v>
      </c>
      <c r="C55" s="35">
        <f t="shared" si="1"/>
        <v>95210414.838071376</v>
      </c>
      <c r="D55" s="35">
        <f t="shared" si="2"/>
        <v>413105627.51574987</v>
      </c>
      <c r="E55" s="35">
        <f t="shared" si="3"/>
        <v>153332196.28354979</v>
      </c>
      <c r="F55" s="35">
        <f t="shared" si="4"/>
        <v>155516936.75086698</v>
      </c>
      <c r="G55" s="35">
        <f t="shared" si="5"/>
        <v>8242225.1602268247</v>
      </c>
      <c r="H55" s="35">
        <f t="shared" si="5"/>
        <v>0</v>
      </c>
      <c r="I55" s="35">
        <f t="shared" si="6"/>
        <v>8049873.1128366506</v>
      </c>
      <c r="J55" s="35">
        <f t="shared" si="7"/>
        <v>0</v>
      </c>
      <c r="K55" s="35">
        <f t="shared" si="8"/>
        <v>8120983.8654103875</v>
      </c>
      <c r="L55" s="35">
        <f t="shared" si="9"/>
        <v>0</v>
      </c>
      <c r="M55" s="35">
        <f t="shared" si="10"/>
        <v>0</v>
      </c>
      <c r="N55" s="88">
        <f t="shared" si="11"/>
        <v>841578257.52671194</v>
      </c>
      <c r="O55" s="312">
        <f t="shared" si="12"/>
        <v>3906.7583537281907</v>
      </c>
    </row>
    <row r="56" spans="1:15" x14ac:dyDescent="0.25">
      <c r="A56" s="34">
        <v>5</v>
      </c>
      <c r="B56" s="85" t="s">
        <v>124</v>
      </c>
      <c r="C56" s="35">
        <f t="shared" si="1"/>
        <v>75392296.448888198</v>
      </c>
      <c r="D56" s="35">
        <f t="shared" si="2"/>
        <v>323921042.48205793</v>
      </c>
      <c r="E56" s="35">
        <f t="shared" si="3"/>
        <v>115387092.53379388</v>
      </c>
      <c r="F56" s="35">
        <f t="shared" si="4"/>
        <v>113540107.10175636</v>
      </c>
      <c r="G56" s="35">
        <f t="shared" si="5"/>
        <v>7283221.0856317803</v>
      </c>
      <c r="H56" s="35">
        <f t="shared" si="5"/>
        <v>0</v>
      </c>
      <c r="I56" s="35">
        <f t="shared" si="6"/>
        <v>5351201.7167068552</v>
      </c>
      <c r="J56" s="35">
        <f t="shared" si="7"/>
        <v>0</v>
      </c>
      <c r="K56" s="35">
        <f t="shared" si="8"/>
        <v>6430595.057052901</v>
      </c>
      <c r="L56" s="35">
        <f t="shared" si="9"/>
        <v>0</v>
      </c>
      <c r="M56" s="35">
        <f t="shared" si="10"/>
        <v>0</v>
      </c>
      <c r="N56" s="88">
        <f t="shared" si="11"/>
        <v>647305556.42588782</v>
      </c>
      <c r="O56" s="312">
        <f t="shared" si="12"/>
        <v>3794.7997468937069</v>
      </c>
    </row>
    <row r="57" spans="1:15" x14ac:dyDescent="0.25">
      <c r="A57" s="34">
        <v>6</v>
      </c>
      <c r="B57" s="85" t="s">
        <v>123</v>
      </c>
      <c r="C57" s="35">
        <f t="shared" si="1"/>
        <v>231092192.86828879</v>
      </c>
      <c r="D57" s="35">
        <f t="shared" si="2"/>
        <v>957246926.17513776</v>
      </c>
      <c r="E57" s="35">
        <f t="shared" si="3"/>
        <v>318286609.94554603</v>
      </c>
      <c r="F57" s="35">
        <f t="shared" si="4"/>
        <v>327398614.13661885</v>
      </c>
      <c r="G57" s="35">
        <f t="shared" si="5"/>
        <v>25973187.819087714</v>
      </c>
      <c r="H57" s="35">
        <f t="shared" si="5"/>
        <v>0</v>
      </c>
      <c r="I57" s="35">
        <f t="shared" si="6"/>
        <v>13636175.08557193</v>
      </c>
      <c r="J57" s="35">
        <f t="shared" si="7"/>
        <v>0</v>
      </c>
      <c r="K57" s="35">
        <f t="shared" si="8"/>
        <v>19711036.580372635</v>
      </c>
      <c r="L57" s="35">
        <f t="shared" si="9"/>
        <v>0</v>
      </c>
      <c r="M57" s="35">
        <f t="shared" si="10"/>
        <v>54740111.430102684</v>
      </c>
      <c r="N57" s="88">
        <f t="shared" si="11"/>
        <v>1948084854.0407264</v>
      </c>
      <c r="O57" s="312">
        <f t="shared" si="12"/>
        <v>3725.8819972778651</v>
      </c>
    </row>
    <row r="58" spans="1:15" x14ac:dyDescent="0.25">
      <c r="A58" s="34">
        <v>7</v>
      </c>
      <c r="B58" s="85" t="s">
        <v>122</v>
      </c>
      <c r="C58" s="35">
        <f t="shared" si="1"/>
        <v>90947479.628462061</v>
      </c>
      <c r="D58" s="35">
        <f t="shared" si="2"/>
        <v>406173358.35851407</v>
      </c>
      <c r="E58" s="35">
        <f t="shared" si="3"/>
        <v>143368917.89997748</v>
      </c>
      <c r="F58" s="35">
        <f t="shared" si="4"/>
        <v>144802352.66327655</v>
      </c>
      <c r="G58" s="35">
        <f t="shared" si="5"/>
        <v>11104765.491538189</v>
      </c>
      <c r="H58" s="35">
        <f t="shared" si="5"/>
        <v>0</v>
      </c>
      <c r="I58" s="35">
        <f t="shared" si="6"/>
        <v>5880820.5712053506</v>
      </c>
      <c r="J58" s="35">
        <f t="shared" si="7"/>
        <v>0</v>
      </c>
      <c r="K58" s="35">
        <f t="shared" si="8"/>
        <v>7757376.2903840048</v>
      </c>
      <c r="L58" s="35">
        <f t="shared" si="9"/>
        <v>0</v>
      </c>
      <c r="M58" s="35">
        <f t="shared" si="10"/>
        <v>0</v>
      </c>
      <c r="N58" s="88">
        <f t="shared" si="11"/>
        <v>810035070.90335774</v>
      </c>
      <c r="O58" s="312">
        <f t="shared" si="12"/>
        <v>3936.5851888913294</v>
      </c>
    </row>
    <row r="59" spans="1:15" x14ac:dyDescent="0.25">
      <c r="A59" s="34">
        <v>8</v>
      </c>
      <c r="B59" s="85" t="s">
        <v>121</v>
      </c>
      <c r="C59" s="35">
        <f t="shared" si="1"/>
        <v>71960291.067590505</v>
      </c>
      <c r="D59" s="35">
        <f t="shared" si="2"/>
        <v>329772532.57749641</v>
      </c>
      <c r="E59" s="35">
        <f t="shared" si="3"/>
        <v>138612548.79077277</v>
      </c>
      <c r="F59" s="35">
        <f t="shared" si="4"/>
        <v>124476922.72667746</v>
      </c>
      <c r="G59" s="35">
        <f t="shared" si="5"/>
        <v>9797471.2047411222</v>
      </c>
      <c r="H59" s="35">
        <f t="shared" si="5"/>
        <v>509097.71190542303</v>
      </c>
      <c r="I59" s="35">
        <f t="shared" si="6"/>
        <v>4691856.7599851657</v>
      </c>
      <c r="J59" s="35">
        <f t="shared" si="7"/>
        <v>0</v>
      </c>
      <c r="K59" s="35">
        <f t="shared" si="8"/>
        <v>6137861.7423738064</v>
      </c>
      <c r="L59" s="35">
        <f t="shared" si="9"/>
        <v>0</v>
      </c>
      <c r="M59" s="35">
        <f t="shared" si="10"/>
        <v>0</v>
      </c>
      <c r="N59" s="88">
        <f t="shared" si="11"/>
        <v>685958582.58154273</v>
      </c>
      <c r="O59" s="312">
        <f t="shared" si="12"/>
        <v>4213.1942521530518</v>
      </c>
    </row>
    <row r="60" spans="1:15" x14ac:dyDescent="0.25">
      <c r="A60" s="34">
        <v>9</v>
      </c>
      <c r="B60" s="85" t="s">
        <v>120</v>
      </c>
      <c r="C60" s="35">
        <f t="shared" si="1"/>
        <v>56097045.07400962</v>
      </c>
      <c r="D60" s="35">
        <f t="shared" si="2"/>
        <v>236862184.79016876</v>
      </c>
      <c r="E60" s="35">
        <f t="shared" si="3"/>
        <v>93212263.680331513</v>
      </c>
      <c r="F60" s="35">
        <f t="shared" si="4"/>
        <v>83594064.090084404</v>
      </c>
      <c r="G60" s="35">
        <f t="shared" si="5"/>
        <v>7980766.3028674116</v>
      </c>
      <c r="H60" s="35">
        <f t="shared" si="5"/>
        <v>0</v>
      </c>
      <c r="I60" s="35">
        <f t="shared" si="6"/>
        <v>5482142.328614465</v>
      </c>
      <c r="J60" s="35">
        <f t="shared" si="7"/>
        <v>0</v>
      </c>
      <c r="K60" s="35">
        <f t="shared" si="8"/>
        <v>4784804.254009692</v>
      </c>
      <c r="L60" s="35">
        <f t="shared" si="9"/>
        <v>0</v>
      </c>
      <c r="M60" s="35">
        <f t="shared" si="10"/>
        <v>0</v>
      </c>
      <c r="N60" s="88">
        <f t="shared" si="11"/>
        <v>488013270.52008587</v>
      </c>
      <c r="O60" s="312">
        <f t="shared" si="12"/>
        <v>3845.0159589042464</v>
      </c>
    </row>
    <row r="61" spans="1:15" x14ac:dyDescent="0.25">
      <c r="A61" s="34">
        <v>10</v>
      </c>
      <c r="B61" s="85" t="s">
        <v>119</v>
      </c>
      <c r="C61" s="35">
        <f t="shared" si="1"/>
        <v>58652154.296067826</v>
      </c>
      <c r="D61" s="35">
        <f t="shared" si="2"/>
        <v>273328987.35122341</v>
      </c>
      <c r="E61" s="35">
        <f t="shared" si="3"/>
        <v>117523128.08807623</v>
      </c>
      <c r="F61" s="35">
        <f t="shared" si="4"/>
        <v>106241344.27726956</v>
      </c>
      <c r="G61" s="35">
        <f t="shared" si="5"/>
        <v>4492075.4238576721</v>
      </c>
      <c r="H61" s="35">
        <f t="shared" si="5"/>
        <v>0</v>
      </c>
      <c r="I61" s="35">
        <f t="shared" si="6"/>
        <v>13021540.553164549</v>
      </c>
      <c r="J61" s="35">
        <f t="shared" si="7"/>
        <v>4003629.4195465147</v>
      </c>
      <c r="K61" s="35">
        <f t="shared" si="8"/>
        <v>5002742.6045776047</v>
      </c>
      <c r="L61" s="35">
        <f t="shared" si="9"/>
        <v>0</v>
      </c>
      <c r="M61" s="35">
        <f t="shared" si="10"/>
        <v>0</v>
      </c>
      <c r="N61" s="88">
        <f t="shared" si="11"/>
        <v>582265602.01378345</v>
      </c>
      <c r="O61" s="312">
        <f t="shared" si="12"/>
        <v>4387.7680970428737</v>
      </c>
    </row>
    <row r="62" spans="1:15" x14ac:dyDescent="0.25">
      <c r="A62" s="34">
        <v>11</v>
      </c>
      <c r="B62" s="85" t="s">
        <v>118</v>
      </c>
      <c r="C62" s="35">
        <f t="shared" si="1"/>
        <v>109729145.65201187</v>
      </c>
      <c r="D62" s="35">
        <f t="shared" si="2"/>
        <v>510337075.19085717</v>
      </c>
      <c r="E62" s="35">
        <f t="shared" si="3"/>
        <v>191804475.69828498</v>
      </c>
      <c r="F62" s="35">
        <f t="shared" si="4"/>
        <v>196397772.42833987</v>
      </c>
      <c r="G62" s="35">
        <f t="shared" si="5"/>
        <v>7710624.3100237371</v>
      </c>
      <c r="H62" s="35">
        <f t="shared" si="5"/>
        <v>0</v>
      </c>
      <c r="I62" s="35">
        <f t="shared" si="6"/>
        <v>17851655.860528659</v>
      </c>
      <c r="J62" s="35">
        <f t="shared" si="7"/>
        <v>0</v>
      </c>
      <c r="K62" s="35">
        <f t="shared" si="8"/>
        <v>9359360.7686806452</v>
      </c>
      <c r="L62" s="35">
        <f t="shared" si="9"/>
        <v>0</v>
      </c>
      <c r="M62" s="35">
        <f t="shared" si="10"/>
        <v>25992161.766990356</v>
      </c>
      <c r="N62" s="88">
        <f t="shared" si="11"/>
        <v>1069182271.6757174</v>
      </c>
      <c r="O62" s="312">
        <f t="shared" si="12"/>
        <v>4306.6170087435494</v>
      </c>
    </row>
    <row r="63" spans="1:15" x14ac:dyDescent="0.25">
      <c r="A63" s="34">
        <v>12</v>
      </c>
      <c r="B63" s="85" t="s">
        <v>117</v>
      </c>
      <c r="C63" s="35">
        <f t="shared" si="1"/>
        <v>72280729.432231948</v>
      </c>
      <c r="D63" s="35">
        <f t="shared" si="2"/>
        <v>351214538.32178986</v>
      </c>
      <c r="E63" s="35">
        <f t="shared" si="3"/>
        <v>132440635.86381873</v>
      </c>
      <c r="F63" s="35">
        <f t="shared" si="4"/>
        <v>136169042.03712532</v>
      </c>
      <c r="G63" s="35">
        <f t="shared" si="5"/>
        <v>6326146.5966999056</v>
      </c>
      <c r="H63" s="35">
        <f t="shared" si="5"/>
        <v>0</v>
      </c>
      <c r="I63" s="35">
        <f t="shared" si="6"/>
        <v>19340624.148708675</v>
      </c>
      <c r="J63" s="35">
        <f t="shared" si="7"/>
        <v>0</v>
      </c>
      <c r="K63" s="35">
        <f t="shared" si="8"/>
        <v>6165193.5714970967</v>
      </c>
      <c r="L63" s="35">
        <f t="shared" si="9"/>
        <v>0</v>
      </c>
      <c r="M63" s="35">
        <f t="shared" si="10"/>
        <v>0</v>
      </c>
      <c r="N63" s="88">
        <f t="shared" si="11"/>
        <v>723936909.97187161</v>
      </c>
      <c r="O63" s="312">
        <f t="shared" si="12"/>
        <v>4426.7469133705008</v>
      </c>
    </row>
    <row r="64" spans="1:15" x14ac:dyDescent="0.25">
      <c r="A64" s="34">
        <v>13</v>
      </c>
      <c r="B64" s="85" t="s">
        <v>116</v>
      </c>
      <c r="C64" s="35">
        <f t="shared" si="1"/>
        <v>120492338.83235462</v>
      </c>
      <c r="D64" s="35">
        <f t="shared" si="2"/>
        <v>490619835.76302332</v>
      </c>
      <c r="E64" s="35">
        <f t="shared" si="3"/>
        <v>170762721.72580138</v>
      </c>
      <c r="F64" s="35">
        <f t="shared" si="4"/>
        <v>187550326.26626167</v>
      </c>
      <c r="G64" s="35">
        <f t="shared" si="5"/>
        <v>9486807.9129708968</v>
      </c>
      <c r="H64" s="35">
        <f t="shared" si="5"/>
        <v>0</v>
      </c>
      <c r="I64" s="35">
        <f t="shared" si="6"/>
        <v>16511547.348328816</v>
      </c>
      <c r="J64" s="35">
        <f t="shared" si="7"/>
        <v>0</v>
      </c>
      <c r="K64" s="35">
        <f t="shared" si="8"/>
        <v>10277408.634625949</v>
      </c>
      <c r="L64" s="35">
        <f t="shared" si="9"/>
        <v>0</v>
      </c>
      <c r="M64" s="35">
        <f t="shared" si="10"/>
        <v>0</v>
      </c>
      <c r="N64" s="88">
        <f t="shared" si="11"/>
        <v>1005700986.4833666</v>
      </c>
      <c r="O64" s="312">
        <f t="shared" si="12"/>
        <v>3689.0618944650064</v>
      </c>
    </row>
    <row r="65" spans="1:15" x14ac:dyDescent="0.25">
      <c r="A65" s="34">
        <v>14</v>
      </c>
      <c r="B65" s="85" t="s">
        <v>132</v>
      </c>
      <c r="C65" s="35">
        <f t="shared" si="1"/>
        <v>84927216.228763953</v>
      </c>
      <c r="D65" s="35">
        <f t="shared" si="2"/>
        <v>382217731.13726842</v>
      </c>
      <c r="E65" s="35">
        <f t="shared" si="3"/>
        <v>151937521.43370989</v>
      </c>
      <c r="F65" s="35">
        <f t="shared" si="4"/>
        <v>139028855.24763945</v>
      </c>
      <c r="G65" s="35">
        <f t="shared" si="5"/>
        <v>4440941.4037836911</v>
      </c>
      <c r="H65" s="35">
        <f t="shared" si="5"/>
        <v>0</v>
      </c>
      <c r="I65" s="35">
        <f t="shared" si="6"/>
        <v>14201724.900310123</v>
      </c>
      <c r="J65" s="35">
        <f t="shared" si="7"/>
        <v>0</v>
      </c>
      <c r="K65" s="35">
        <f t="shared" si="8"/>
        <v>7243877.1945380373</v>
      </c>
      <c r="L65" s="35">
        <f t="shared" si="9"/>
        <v>0</v>
      </c>
      <c r="M65" s="35">
        <f t="shared" si="10"/>
        <v>0</v>
      </c>
      <c r="N65" s="88">
        <f t="shared" si="11"/>
        <v>783997867.54601347</v>
      </c>
      <c r="O65" s="312">
        <f t="shared" si="12"/>
        <v>4080.1346216290058</v>
      </c>
    </row>
    <row r="66" spans="1:15" x14ac:dyDescent="0.25">
      <c r="A66" s="34">
        <v>15</v>
      </c>
      <c r="B66" s="85" t="s">
        <v>114</v>
      </c>
      <c r="C66" s="35">
        <f t="shared" si="1"/>
        <v>77707850.369379967</v>
      </c>
      <c r="D66" s="35">
        <f t="shared" si="2"/>
        <v>310228264.83362007</v>
      </c>
      <c r="E66" s="35">
        <f t="shared" si="3"/>
        <v>107265361.34642635</v>
      </c>
      <c r="F66" s="35">
        <f t="shared" si="4"/>
        <v>100222453.36193474</v>
      </c>
      <c r="G66" s="35">
        <f t="shared" si="5"/>
        <v>12651328.400568226</v>
      </c>
      <c r="H66" s="35">
        <f t="shared" si="5"/>
        <v>36663677.98309993</v>
      </c>
      <c r="I66" s="35">
        <f t="shared" si="6"/>
        <v>7617795.853924416</v>
      </c>
      <c r="J66" s="35">
        <f t="shared" si="7"/>
        <v>3662506.9533965248</v>
      </c>
      <c r="K66" s="35">
        <f t="shared" si="8"/>
        <v>6628100.5091589885</v>
      </c>
      <c r="L66" s="35">
        <f t="shared" si="9"/>
        <v>0</v>
      </c>
      <c r="M66" s="35">
        <f t="shared" si="10"/>
        <v>0</v>
      </c>
      <c r="N66" s="88">
        <f t="shared" si="11"/>
        <v>662647339.61150932</v>
      </c>
      <c r="O66" s="312">
        <f t="shared" si="12"/>
        <v>3768.9820017035386</v>
      </c>
    </row>
    <row r="67" spans="1:15" x14ac:dyDescent="0.25">
      <c r="A67" s="34">
        <v>16</v>
      </c>
      <c r="B67" s="85" t="s">
        <v>113</v>
      </c>
      <c r="C67" s="35">
        <f t="shared" si="1"/>
        <v>30049604.876196738</v>
      </c>
      <c r="D67" s="35">
        <f t="shared" si="2"/>
        <v>139208831.09733817</v>
      </c>
      <c r="E67" s="35">
        <f t="shared" si="3"/>
        <v>50853108.010770902</v>
      </c>
      <c r="F67" s="35">
        <f t="shared" si="4"/>
        <v>51886830.535924055</v>
      </c>
      <c r="G67" s="35">
        <f t="shared" si="5"/>
        <v>2063691.8667593561</v>
      </c>
      <c r="H67" s="35">
        <f t="shared" si="5"/>
        <v>2530672.4579680245</v>
      </c>
      <c r="I67" s="35">
        <f t="shared" si="6"/>
        <v>5166791.8013202334</v>
      </c>
      <c r="J67" s="35">
        <f t="shared" si="7"/>
        <v>0</v>
      </c>
      <c r="K67" s="35">
        <f t="shared" si="8"/>
        <v>2563084.687495457</v>
      </c>
      <c r="L67" s="35">
        <f t="shared" si="9"/>
        <v>0</v>
      </c>
      <c r="M67" s="35">
        <f t="shared" si="10"/>
        <v>0</v>
      </c>
      <c r="N67" s="88">
        <f t="shared" si="11"/>
        <v>284322615.33377296</v>
      </c>
      <c r="O67" s="312">
        <f t="shared" si="12"/>
        <v>4181.9529230713206</v>
      </c>
    </row>
    <row r="68" spans="1:15" x14ac:dyDescent="0.25">
      <c r="A68" s="34">
        <v>17</v>
      </c>
      <c r="B68" s="85" t="s">
        <v>112</v>
      </c>
      <c r="C68" s="35">
        <f t="shared" si="1"/>
        <v>182906218.53733742</v>
      </c>
      <c r="D68" s="35">
        <f t="shared" si="2"/>
        <v>742918371.31042457</v>
      </c>
      <c r="E68" s="35">
        <f t="shared" si="3"/>
        <v>248895565.04670563</v>
      </c>
      <c r="F68" s="35">
        <f t="shared" si="4"/>
        <v>316457229.76553732</v>
      </c>
      <c r="G68" s="35">
        <f t="shared" si="5"/>
        <v>12402411.850019412</v>
      </c>
      <c r="H68" s="35">
        <f t="shared" si="5"/>
        <v>0</v>
      </c>
      <c r="I68" s="35">
        <f t="shared" si="6"/>
        <v>37905382.458176717</v>
      </c>
      <c r="J68" s="35">
        <f t="shared" si="7"/>
        <v>633609.64999740687</v>
      </c>
      <c r="K68" s="35">
        <f t="shared" si="8"/>
        <v>15601008.063573645</v>
      </c>
      <c r="L68" s="35">
        <f t="shared" si="9"/>
        <v>0</v>
      </c>
      <c r="M68" s="35">
        <f t="shared" si="10"/>
        <v>43326027.849409379</v>
      </c>
      <c r="N68" s="88">
        <f t="shared" si="11"/>
        <v>1601045824.5311813</v>
      </c>
      <c r="O68" s="312">
        <f t="shared" si="12"/>
        <v>3868.849103571953</v>
      </c>
    </row>
    <row r="69" spans="1:15" x14ac:dyDescent="0.25">
      <c r="A69" s="34">
        <v>18</v>
      </c>
      <c r="B69" s="85" t="s">
        <v>111</v>
      </c>
      <c r="C69" s="35">
        <f t="shared" si="1"/>
        <v>31674337.880916677</v>
      </c>
      <c r="D69" s="35">
        <f t="shared" si="2"/>
        <v>147842446.02260751</v>
      </c>
      <c r="E69" s="35">
        <f t="shared" si="3"/>
        <v>60919923.753168881</v>
      </c>
      <c r="F69" s="35">
        <f t="shared" si="4"/>
        <v>60378615.693306573</v>
      </c>
      <c r="G69" s="35">
        <f t="shared" si="5"/>
        <v>2158241.564254642</v>
      </c>
      <c r="H69" s="35">
        <f t="shared" si="5"/>
        <v>0</v>
      </c>
      <c r="I69" s="35">
        <f t="shared" si="6"/>
        <v>20787938.871695325</v>
      </c>
      <c r="J69" s="35">
        <f t="shared" si="7"/>
        <v>0</v>
      </c>
      <c r="K69" s="35">
        <f t="shared" si="8"/>
        <v>2701666.485919198</v>
      </c>
      <c r="L69" s="35">
        <f t="shared" si="9"/>
        <v>0</v>
      </c>
      <c r="M69" s="35">
        <f t="shared" si="10"/>
        <v>0</v>
      </c>
      <c r="N69" s="88">
        <f t="shared" si="11"/>
        <v>326463170.27186882</v>
      </c>
      <c r="O69" s="312">
        <f t="shared" si="12"/>
        <v>4555.4695561490962</v>
      </c>
    </row>
    <row r="70" spans="1:15" x14ac:dyDescent="0.25">
      <c r="A70" s="34">
        <v>19</v>
      </c>
      <c r="B70" s="85" t="s">
        <v>110</v>
      </c>
      <c r="C70" s="35">
        <f t="shared" si="1"/>
        <v>78083094.743973896</v>
      </c>
      <c r="D70" s="35">
        <f t="shared" si="2"/>
        <v>349130212.76059681</v>
      </c>
      <c r="E70" s="35">
        <f t="shared" si="3"/>
        <v>129433472.07676813</v>
      </c>
      <c r="F70" s="35">
        <f t="shared" si="4"/>
        <v>151886118.85770646</v>
      </c>
      <c r="G70" s="35">
        <f t="shared" si="5"/>
        <v>4971577.4611551948</v>
      </c>
      <c r="H70" s="35">
        <f t="shared" si="5"/>
        <v>0</v>
      </c>
      <c r="I70" s="35">
        <f t="shared" si="6"/>
        <v>95384111.763996452</v>
      </c>
      <c r="J70" s="35">
        <f t="shared" si="7"/>
        <v>0</v>
      </c>
      <c r="K70" s="35">
        <f t="shared" si="8"/>
        <v>6660107.0235392265</v>
      </c>
      <c r="L70" s="35">
        <f t="shared" si="9"/>
        <v>2697279.5199992419</v>
      </c>
      <c r="M70" s="35">
        <f t="shared" si="10"/>
        <v>0</v>
      </c>
      <c r="N70" s="88">
        <f t="shared" si="11"/>
        <v>818245974.20773542</v>
      </c>
      <c r="O70" s="312">
        <f t="shared" si="12"/>
        <v>4631.6246806539802</v>
      </c>
    </row>
    <row r="71" spans="1:15" x14ac:dyDescent="0.25">
      <c r="A71" s="32"/>
      <c r="B71" s="31" t="s">
        <v>109</v>
      </c>
      <c r="C71" s="33">
        <f t="shared" ref="C71:K71" si="13">SUM(C49:C70)</f>
        <v>2432531160.9599991</v>
      </c>
      <c r="D71" s="33">
        <f t="shared" si="13"/>
        <v>9946942499.8830643</v>
      </c>
      <c r="E71" s="33">
        <f t="shared" si="13"/>
        <v>3336918041.9089713</v>
      </c>
      <c r="F71" s="33">
        <f t="shared" si="13"/>
        <v>3615633066.2079659</v>
      </c>
      <c r="G71" s="33">
        <f t="shared" si="13"/>
        <v>414966079.99999988</v>
      </c>
      <c r="H71" s="33">
        <f t="shared" si="13"/>
        <v>103741520</v>
      </c>
      <c r="I71" s="33">
        <f t="shared" si="13"/>
        <v>311224559.99999988</v>
      </c>
      <c r="J71" s="33">
        <f t="shared" si="13"/>
        <v>23445583.519999996</v>
      </c>
      <c r="K71" s="33">
        <f t="shared" si="13"/>
        <v>207483039.99999994</v>
      </c>
      <c r="L71" s="33">
        <f>L70</f>
        <v>2697279.5199992419</v>
      </c>
      <c r="M71" s="33">
        <f t="shared" si="10"/>
        <v>352721167.99999994</v>
      </c>
      <c r="N71" s="88">
        <f>SUM(N49:N70)</f>
        <v>20748304000.000004</v>
      </c>
      <c r="O71" s="311">
        <f t="shared" si="12"/>
        <v>3769.9074652813115</v>
      </c>
    </row>
    <row r="72" spans="1:15" x14ac:dyDescent="0.25">
      <c r="A72" s="34"/>
      <c r="B72" s="85" t="s">
        <v>522</v>
      </c>
      <c r="C72" s="316">
        <f t="shared" ref="C72:M72" si="14">C71/$N$71</f>
        <v>0.11723999999999993</v>
      </c>
      <c r="D72" s="316">
        <f t="shared" si="14"/>
        <v>0.47940990742583406</v>
      </c>
      <c r="E72" s="316">
        <f t="shared" si="14"/>
        <v>0.1608284726264359</v>
      </c>
      <c r="F72" s="316">
        <f t="shared" si="14"/>
        <v>0.17426161994772996</v>
      </c>
      <c r="G72" s="316">
        <f t="shared" si="14"/>
        <v>1.999999999999999E-2</v>
      </c>
      <c r="H72" s="316">
        <f t="shared" si="14"/>
        <v>4.9999999999999992E-3</v>
      </c>
      <c r="I72" s="316">
        <f t="shared" si="14"/>
        <v>1.4999999999999991E-2</v>
      </c>
      <c r="J72" s="316">
        <f t="shared" si="14"/>
        <v>1.1299999999999995E-3</v>
      </c>
      <c r="K72" s="316">
        <f t="shared" si="14"/>
        <v>9.999999999999995E-3</v>
      </c>
      <c r="L72" s="316">
        <f t="shared" si="14"/>
        <v>1.2999999999996345E-4</v>
      </c>
      <c r="M72" s="316">
        <f t="shared" si="14"/>
        <v>1.6999999999999994E-2</v>
      </c>
      <c r="N72" s="317">
        <f>SUM('SOTE laskennallinen rahoitus'!$C72:$M72)</f>
        <v>0.99999999999999989</v>
      </c>
      <c r="O72" s="318"/>
    </row>
    <row r="73" spans="1:15" x14ac:dyDescent="0.25">
      <c r="B73" s="1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</row>
    <row r="74" spans="1:15" x14ac:dyDescent="0.25">
      <c r="A74" s="20" t="s">
        <v>689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1:15" x14ac:dyDescent="0.25">
      <c r="A75" s="300" t="s">
        <v>469</v>
      </c>
      <c r="B75" s="300" t="s">
        <v>134</v>
      </c>
      <c r="C75" s="303" t="s">
        <v>431</v>
      </c>
      <c r="D75" s="304" t="s">
        <v>542</v>
      </c>
      <c r="E75" s="304" t="s">
        <v>543</v>
      </c>
      <c r="F75" s="304" t="s">
        <v>544</v>
      </c>
      <c r="G75" s="305" t="s">
        <v>433</v>
      </c>
      <c r="H75" s="306" t="s">
        <v>430</v>
      </c>
      <c r="I75" s="306" t="s">
        <v>429</v>
      </c>
      <c r="J75" s="306" t="s">
        <v>480</v>
      </c>
      <c r="K75" s="306" t="s">
        <v>479</v>
      </c>
      <c r="L75" s="307" t="s">
        <v>559</v>
      </c>
      <c r="M75" s="473" t="s">
        <v>662</v>
      </c>
      <c r="N75" s="314" t="s">
        <v>502</v>
      </c>
      <c r="O75" s="315" t="s">
        <v>503</v>
      </c>
    </row>
    <row r="76" spans="1:15" x14ac:dyDescent="0.25">
      <c r="A76" s="309">
        <v>31</v>
      </c>
      <c r="B76" s="31" t="s">
        <v>131</v>
      </c>
      <c r="C76" s="66">
        <f t="shared" ref="C76:N76" si="15">C49/$C22</f>
        <v>441.98395122958084</v>
      </c>
      <c r="D76" s="66">
        <f t="shared" si="15"/>
        <v>1604.733638600828</v>
      </c>
      <c r="E76" s="66">
        <f t="shared" si="15"/>
        <v>447.15463317224493</v>
      </c>
      <c r="F76" s="66">
        <f t="shared" si="15"/>
        <v>538.00365815493774</v>
      </c>
      <c r="G76" s="66">
        <f t="shared" si="15"/>
        <v>160.45709678794771</v>
      </c>
      <c r="H76" s="66">
        <f t="shared" si="15"/>
        <v>23.026268914142285</v>
      </c>
      <c r="I76" s="66">
        <f t="shared" si="15"/>
        <v>0.33574410457944637</v>
      </c>
      <c r="J76" s="66">
        <f t="shared" si="15"/>
        <v>0</v>
      </c>
      <c r="K76" s="66">
        <f t="shared" si="15"/>
        <v>37.699074652813103</v>
      </c>
      <c r="L76" s="66">
        <f t="shared" si="15"/>
        <v>0</v>
      </c>
      <c r="M76" s="66">
        <f t="shared" si="15"/>
        <v>104.69523197788797</v>
      </c>
      <c r="N76" s="33">
        <f t="shared" si="15"/>
        <v>3358.0892975949619</v>
      </c>
      <c r="O76" s="319">
        <f>SUM('SOTE laskennallinen rahoitus'!$C76:$L76)</f>
        <v>3253.3940656170744</v>
      </c>
    </row>
    <row r="77" spans="1:15" x14ac:dyDescent="0.25">
      <c r="A77" s="310">
        <v>32</v>
      </c>
      <c r="B77" s="85" t="s">
        <v>130</v>
      </c>
      <c r="C77" s="35">
        <f t="shared" ref="C77:N77" si="16">C50/$C23</f>
        <v>441.98395122958078</v>
      </c>
      <c r="D77" s="35">
        <f t="shared" si="16"/>
        <v>1560.9123103428833</v>
      </c>
      <c r="E77" s="35">
        <f t="shared" si="16"/>
        <v>333.72642191311598</v>
      </c>
      <c r="F77" s="35">
        <f t="shared" si="16"/>
        <v>534.90452034691509</v>
      </c>
      <c r="G77" s="35">
        <f t="shared" si="16"/>
        <v>196.26016548833363</v>
      </c>
      <c r="H77" s="35">
        <f t="shared" si="16"/>
        <v>9.0506958119882945</v>
      </c>
      <c r="I77" s="35">
        <f t="shared" si="16"/>
        <v>1.0092260520904157</v>
      </c>
      <c r="J77" s="35">
        <f t="shared" si="16"/>
        <v>0</v>
      </c>
      <c r="K77" s="35">
        <f t="shared" si="16"/>
        <v>37.699074652813103</v>
      </c>
      <c r="L77" s="35">
        <f t="shared" si="16"/>
        <v>0</v>
      </c>
      <c r="M77" s="35">
        <f t="shared" si="16"/>
        <v>104.69523197788797</v>
      </c>
      <c r="N77" s="86">
        <f t="shared" si="16"/>
        <v>3220.2415978156082</v>
      </c>
      <c r="O77" s="313">
        <f>SUM('SOTE laskennallinen rahoitus'!$C77:$L77)</f>
        <v>3115.5463658377207</v>
      </c>
    </row>
    <row r="78" spans="1:15" x14ac:dyDescent="0.25">
      <c r="A78" s="310">
        <v>33</v>
      </c>
      <c r="B78" s="85" t="s">
        <v>129</v>
      </c>
      <c r="C78" s="35">
        <f t="shared" ref="C78:N78" si="17">C51/$C24</f>
        <v>441.98395122958078</v>
      </c>
      <c r="D78" s="35">
        <f t="shared" si="17"/>
        <v>1530.031643035742</v>
      </c>
      <c r="E78" s="35">
        <f t="shared" si="17"/>
        <v>370.79335817541619</v>
      </c>
      <c r="F78" s="35">
        <f t="shared" si="17"/>
        <v>499.28478004700617</v>
      </c>
      <c r="G78" s="35">
        <f t="shared" si="17"/>
        <v>136.79494172518145</v>
      </c>
      <c r="H78" s="35">
        <f t="shared" si="17"/>
        <v>49.829486170205094</v>
      </c>
      <c r="I78" s="35">
        <f t="shared" si="17"/>
        <v>9.2208917016564822</v>
      </c>
      <c r="J78" s="35">
        <f t="shared" si="17"/>
        <v>0</v>
      </c>
      <c r="K78" s="35">
        <f t="shared" si="17"/>
        <v>37.699074652813103</v>
      </c>
      <c r="L78" s="35">
        <f t="shared" si="17"/>
        <v>0</v>
      </c>
      <c r="M78" s="35">
        <f t="shared" si="17"/>
        <v>104.69523197788797</v>
      </c>
      <c r="N78" s="86">
        <f t="shared" si="17"/>
        <v>3180.3333587154893</v>
      </c>
      <c r="O78" s="313">
        <f>SUM('SOTE laskennallinen rahoitus'!$C78:$L78)</f>
        <v>3075.6381267376014</v>
      </c>
    </row>
    <row r="79" spans="1:15" x14ac:dyDescent="0.25">
      <c r="A79" s="310">
        <v>34</v>
      </c>
      <c r="B79" s="85" t="s">
        <v>128</v>
      </c>
      <c r="C79" s="35">
        <f t="shared" ref="C79:N79" si="18">C52/$C25</f>
        <v>441.98395122958078</v>
      </c>
      <c r="D79" s="35">
        <f t="shared" si="18"/>
        <v>1729.1932608946222</v>
      </c>
      <c r="E79" s="35">
        <f t="shared" si="18"/>
        <v>544.37375984645917</v>
      </c>
      <c r="F79" s="35">
        <f t="shared" si="18"/>
        <v>556.07826125638428</v>
      </c>
      <c r="G79" s="35">
        <f t="shared" si="18"/>
        <v>59.112635069707096</v>
      </c>
      <c r="H79" s="35">
        <f t="shared" si="18"/>
        <v>117.65692227777537</v>
      </c>
      <c r="I79" s="35">
        <f t="shared" si="18"/>
        <v>28.30346546818825</v>
      </c>
      <c r="J79" s="35">
        <f t="shared" si="18"/>
        <v>0</v>
      </c>
      <c r="K79" s="35">
        <f t="shared" si="18"/>
        <v>37.699074652813103</v>
      </c>
      <c r="L79" s="35">
        <f t="shared" si="18"/>
        <v>0</v>
      </c>
      <c r="M79" s="35">
        <f t="shared" si="18"/>
        <v>104.69523197788796</v>
      </c>
      <c r="N79" s="86">
        <f t="shared" si="18"/>
        <v>3619.0965626734187</v>
      </c>
      <c r="O79" s="313">
        <f>SUM('SOTE laskennallinen rahoitus'!$C79:$L79)</f>
        <v>3514.4013306955303</v>
      </c>
    </row>
    <row r="80" spans="1:15" x14ac:dyDescent="0.25">
      <c r="A80" s="310">
        <v>35</v>
      </c>
      <c r="B80" s="85" t="s">
        <v>127</v>
      </c>
      <c r="C80" s="35">
        <f t="shared" ref="C80:N80" si="19">C53/$C26</f>
        <v>441.98395122958078</v>
      </c>
      <c r="D80" s="35">
        <f t="shared" si="19"/>
        <v>1620.9322502985074</v>
      </c>
      <c r="E80" s="35">
        <f t="shared" si="19"/>
        <v>430.26485601087904</v>
      </c>
      <c r="F80" s="35">
        <f t="shared" si="19"/>
        <v>550.36288830673686</v>
      </c>
      <c r="G80" s="35">
        <f t="shared" si="19"/>
        <v>57.593287026662217</v>
      </c>
      <c r="H80" s="35">
        <f t="shared" si="19"/>
        <v>0</v>
      </c>
      <c r="I80" s="35">
        <f t="shared" si="19"/>
        <v>8.6179753376420187</v>
      </c>
      <c r="J80" s="35">
        <f t="shared" si="19"/>
        <v>0</v>
      </c>
      <c r="K80" s="35">
        <f t="shared" si="19"/>
        <v>37.699074652813103</v>
      </c>
      <c r="L80" s="35">
        <f t="shared" si="19"/>
        <v>0</v>
      </c>
      <c r="M80" s="35">
        <f t="shared" si="19"/>
        <v>104.69523197788797</v>
      </c>
      <c r="N80" s="86">
        <f t="shared" si="19"/>
        <v>3252.1495148407089</v>
      </c>
      <c r="O80" s="313">
        <f>SUM('SOTE laskennallinen rahoitus'!$C80:$L80)</f>
        <v>3147.4542828628214</v>
      </c>
    </row>
    <row r="81" spans="1:15" x14ac:dyDescent="0.25">
      <c r="A81" s="34">
        <v>2</v>
      </c>
      <c r="B81" s="85" t="s">
        <v>126</v>
      </c>
      <c r="C81" s="35">
        <f t="shared" ref="C81:N81" si="20">C54/$C27</f>
        <v>441.98395122958078</v>
      </c>
      <c r="D81" s="35">
        <f t="shared" si="20"/>
        <v>1833.0395925546738</v>
      </c>
      <c r="E81" s="35">
        <f t="shared" si="20"/>
        <v>649.42871154993941</v>
      </c>
      <c r="F81" s="35">
        <f t="shared" si="20"/>
        <v>662.63754285500488</v>
      </c>
      <c r="G81" s="35">
        <f t="shared" si="20"/>
        <v>75.872246367654455</v>
      </c>
      <c r="H81" s="35">
        <f t="shared" si="20"/>
        <v>23.384474704711984</v>
      </c>
      <c r="I81" s="35">
        <f t="shared" si="20"/>
        <v>22.804166586468842</v>
      </c>
      <c r="J81" s="35">
        <f t="shared" si="20"/>
        <v>31.461867701405165</v>
      </c>
      <c r="K81" s="35">
        <f t="shared" si="20"/>
        <v>37.699074652813103</v>
      </c>
      <c r="L81" s="35">
        <f t="shared" si="20"/>
        <v>0</v>
      </c>
      <c r="M81" s="35">
        <f t="shared" si="20"/>
        <v>104.69523197788797</v>
      </c>
      <c r="N81" s="86">
        <f t="shared" si="20"/>
        <v>3883.0068601801404</v>
      </c>
      <c r="O81" s="313">
        <f>SUM('SOTE laskennallinen rahoitus'!$C81:$L81)</f>
        <v>3778.3116282022525</v>
      </c>
    </row>
    <row r="82" spans="1:15" x14ac:dyDescent="0.25">
      <c r="A82" s="34">
        <v>4</v>
      </c>
      <c r="B82" s="85" t="s">
        <v>125</v>
      </c>
      <c r="C82" s="35">
        <f t="shared" ref="C82:N82" si="21">C55/$C28</f>
        <v>441.98395122958078</v>
      </c>
      <c r="D82" s="35">
        <f t="shared" si="21"/>
        <v>1917.7109755809684</v>
      </c>
      <c r="E82" s="35">
        <f t="shared" si="21"/>
        <v>711.79576393373657</v>
      </c>
      <c r="F82" s="35">
        <f t="shared" si="21"/>
        <v>721.93772398924398</v>
      </c>
      <c r="G82" s="35">
        <f t="shared" si="21"/>
        <v>38.26189865296368</v>
      </c>
      <c r="H82" s="35">
        <f t="shared" si="21"/>
        <v>0</v>
      </c>
      <c r="I82" s="35">
        <f t="shared" si="21"/>
        <v>37.368965688884067</v>
      </c>
      <c r="J82" s="35">
        <f t="shared" si="21"/>
        <v>0</v>
      </c>
      <c r="K82" s="35">
        <f t="shared" si="21"/>
        <v>37.699074652813103</v>
      </c>
      <c r="L82" s="35">
        <f t="shared" si="21"/>
        <v>0</v>
      </c>
      <c r="M82" s="35">
        <f t="shared" si="21"/>
        <v>0</v>
      </c>
      <c r="N82" s="86">
        <f t="shared" si="21"/>
        <v>3906.7583537281907</v>
      </c>
      <c r="O82" s="313">
        <f>SUM('SOTE laskennallinen rahoitus'!$C82:$L82)</f>
        <v>3906.7583537281903</v>
      </c>
    </row>
    <row r="83" spans="1:15" x14ac:dyDescent="0.25">
      <c r="A83" s="34">
        <v>5</v>
      </c>
      <c r="B83" s="85" t="s">
        <v>124</v>
      </c>
      <c r="C83" s="35">
        <f t="shared" ref="C83:N83" si="22">C56/$C29</f>
        <v>441.98395122958078</v>
      </c>
      <c r="D83" s="35">
        <f t="shared" si="22"/>
        <v>1898.9725606738184</v>
      </c>
      <c r="E83" s="35">
        <f t="shared" si="22"/>
        <v>676.45164666862399</v>
      </c>
      <c r="F83" s="35">
        <f t="shared" si="22"/>
        <v>665.62377754185127</v>
      </c>
      <c r="G83" s="35">
        <f t="shared" si="22"/>
        <v>42.697556444490054</v>
      </c>
      <c r="H83" s="35">
        <f t="shared" si="22"/>
        <v>0</v>
      </c>
      <c r="I83" s="35">
        <f t="shared" si="22"/>
        <v>31.371179682529622</v>
      </c>
      <c r="J83" s="35">
        <f t="shared" si="22"/>
        <v>0</v>
      </c>
      <c r="K83" s="35">
        <f t="shared" si="22"/>
        <v>37.699074652813103</v>
      </c>
      <c r="L83" s="35">
        <f t="shared" si="22"/>
        <v>0</v>
      </c>
      <c r="M83" s="35">
        <f t="shared" si="22"/>
        <v>0</v>
      </c>
      <c r="N83" s="86">
        <f t="shared" si="22"/>
        <v>3794.7997468937069</v>
      </c>
      <c r="O83" s="313">
        <f>SUM('SOTE laskennallinen rahoitus'!$C83:$L83)</f>
        <v>3794.7997468937074</v>
      </c>
    </row>
    <row r="84" spans="1:15" x14ac:dyDescent="0.25">
      <c r="A84" s="34">
        <v>6</v>
      </c>
      <c r="B84" s="85" t="s">
        <v>123</v>
      </c>
      <c r="C84" s="35">
        <f t="shared" ref="C84:N84" si="23">C57/$C30</f>
        <v>441.98395122958078</v>
      </c>
      <c r="D84" s="35">
        <f t="shared" si="23"/>
        <v>1830.8181400762314</v>
      </c>
      <c r="E84" s="35">
        <f t="shared" si="23"/>
        <v>608.75087012299093</v>
      </c>
      <c r="F84" s="35">
        <f t="shared" si="23"/>
        <v>626.17837196112635</v>
      </c>
      <c r="G84" s="35">
        <f t="shared" si="23"/>
        <v>49.675984445096724</v>
      </c>
      <c r="H84" s="35">
        <f t="shared" si="23"/>
        <v>0</v>
      </c>
      <c r="I84" s="35">
        <f t="shared" si="23"/>
        <v>26.080372812137909</v>
      </c>
      <c r="J84" s="35">
        <f t="shared" si="23"/>
        <v>0</v>
      </c>
      <c r="K84" s="35">
        <f t="shared" si="23"/>
        <v>37.699074652813103</v>
      </c>
      <c r="L84" s="35">
        <f t="shared" si="23"/>
        <v>0</v>
      </c>
      <c r="M84" s="35">
        <f t="shared" si="23"/>
        <v>104.69523197788797</v>
      </c>
      <c r="N84" s="86">
        <f t="shared" si="23"/>
        <v>3725.8819972778651</v>
      </c>
      <c r="O84" s="313">
        <f>SUM('SOTE laskennallinen rahoitus'!$C84:$L84)</f>
        <v>3621.1867652999767</v>
      </c>
    </row>
    <row r="85" spans="1:15" x14ac:dyDescent="0.25">
      <c r="A85" s="34">
        <v>7</v>
      </c>
      <c r="B85" s="85" t="s">
        <v>122</v>
      </c>
      <c r="C85" s="35">
        <f t="shared" ref="C85:N85" si="24">C58/$C31</f>
        <v>441.98395122958078</v>
      </c>
      <c r="D85" s="35">
        <f t="shared" si="24"/>
        <v>1973.9096294352171</v>
      </c>
      <c r="E85" s="35">
        <f t="shared" si="24"/>
        <v>696.74015240231847</v>
      </c>
      <c r="F85" s="35">
        <f t="shared" si="24"/>
        <v>703.70631752422139</v>
      </c>
      <c r="G85" s="35">
        <f t="shared" si="24"/>
        <v>53.966620619709239</v>
      </c>
      <c r="H85" s="35">
        <f t="shared" si="24"/>
        <v>0</v>
      </c>
      <c r="I85" s="35">
        <f t="shared" si="24"/>
        <v>28.579443027469132</v>
      </c>
      <c r="J85" s="35">
        <f t="shared" si="24"/>
        <v>0</v>
      </c>
      <c r="K85" s="35">
        <f t="shared" si="24"/>
        <v>37.699074652813103</v>
      </c>
      <c r="L85" s="35">
        <f t="shared" si="24"/>
        <v>0</v>
      </c>
      <c r="M85" s="35">
        <f t="shared" si="24"/>
        <v>0</v>
      </c>
      <c r="N85" s="86">
        <f t="shared" si="24"/>
        <v>3936.5851888913294</v>
      </c>
      <c r="O85" s="313">
        <f>SUM('SOTE laskennallinen rahoitus'!$C85:$L85)</f>
        <v>3936.5851888913294</v>
      </c>
    </row>
    <row r="86" spans="1:15" x14ac:dyDescent="0.25">
      <c r="A86" s="34">
        <v>8</v>
      </c>
      <c r="B86" s="85" t="s">
        <v>121</v>
      </c>
      <c r="C86" s="35">
        <f t="shared" ref="C86:N86" si="25">C59/$C32</f>
        <v>441.98395122958078</v>
      </c>
      <c r="D86" s="35">
        <f t="shared" si="25"/>
        <v>2025.4805086694864</v>
      </c>
      <c r="E86" s="35">
        <f t="shared" si="25"/>
        <v>851.36567814886348</v>
      </c>
      <c r="F86" s="35">
        <f t="shared" si="25"/>
        <v>764.5439078610757</v>
      </c>
      <c r="G86" s="35">
        <f t="shared" si="25"/>
        <v>60.176591435159089</v>
      </c>
      <c r="H86" s="35">
        <f t="shared" si="25"/>
        <v>3.1269053380919285</v>
      </c>
      <c r="I86" s="35">
        <f t="shared" si="25"/>
        <v>28.817634817981265</v>
      </c>
      <c r="J86" s="35">
        <f t="shared" si="25"/>
        <v>0</v>
      </c>
      <c r="K86" s="35">
        <f t="shared" si="25"/>
        <v>37.699074652813103</v>
      </c>
      <c r="L86" s="35">
        <f t="shared" si="25"/>
        <v>0</v>
      </c>
      <c r="M86" s="35">
        <f t="shared" si="25"/>
        <v>0</v>
      </c>
      <c r="N86" s="86">
        <f t="shared" si="25"/>
        <v>4213.1942521530518</v>
      </c>
      <c r="O86" s="313">
        <f>SUM('SOTE laskennallinen rahoitus'!$C86:$L86)</f>
        <v>4213.1942521530518</v>
      </c>
    </row>
    <row r="87" spans="1:15" x14ac:dyDescent="0.25">
      <c r="A87" s="34">
        <v>9</v>
      </c>
      <c r="B87" s="85" t="s">
        <v>120</v>
      </c>
      <c r="C87" s="35">
        <f t="shared" ref="C87:N87" si="26">C60/$C33</f>
        <v>441.98395122958078</v>
      </c>
      <c r="D87" s="35">
        <f t="shared" si="26"/>
        <v>1866.2174485717003</v>
      </c>
      <c r="E87" s="35">
        <f t="shared" si="26"/>
        <v>734.41167088449913</v>
      </c>
      <c r="F87" s="35">
        <f t="shared" si="26"/>
        <v>658.63067648446201</v>
      </c>
      <c r="G87" s="35">
        <f t="shared" si="26"/>
        <v>62.8797937525501</v>
      </c>
      <c r="H87" s="35">
        <f t="shared" si="26"/>
        <v>0</v>
      </c>
      <c r="I87" s="35">
        <f t="shared" si="26"/>
        <v>43.193343328641163</v>
      </c>
      <c r="J87" s="35">
        <f t="shared" si="26"/>
        <v>0</v>
      </c>
      <c r="K87" s="35">
        <f t="shared" si="26"/>
        <v>37.699074652813103</v>
      </c>
      <c r="L87" s="35">
        <f t="shared" si="26"/>
        <v>0</v>
      </c>
      <c r="M87" s="35">
        <f t="shared" si="26"/>
        <v>0</v>
      </c>
      <c r="N87" s="86">
        <f t="shared" si="26"/>
        <v>3845.0159589042464</v>
      </c>
      <c r="O87" s="313">
        <f>SUM('SOTE laskennallinen rahoitus'!$C87:$L87)</f>
        <v>3845.0159589042469</v>
      </c>
    </row>
    <row r="88" spans="1:15" x14ac:dyDescent="0.25">
      <c r="A88" s="34">
        <v>10</v>
      </c>
      <c r="B88" s="85" t="s">
        <v>119</v>
      </c>
      <c r="C88" s="35">
        <f t="shared" ref="C88:N88" si="27">C61/$C34</f>
        <v>441.98395122958078</v>
      </c>
      <c r="D88" s="35">
        <f t="shared" si="27"/>
        <v>2059.7201801873625</v>
      </c>
      <c r="E88" s="35">
        <f t="shared" si="27"/>
        <v>885.61685647598551</v>
      </c>
      <c r="F88" s="35">
        <f t="shared" si="27"/>
        <v>800.60092747109729</v>
      </c>
      <c r="G88" s="35">
        <f t="shared" si="27"/>
        <v>33.85084945108342</v>
      </c>
      <c r="H88" s="35">
        <f t="shared" si="27"/>
        <v>0</v>
      </c>
      <c r="I88" s="35">
        <f t="shared" si="27"/>
        <v>98.126181618698652</v>
      </c>
      <c r="J88" s="35">
        <f t="shared" si="27"/>
        <v>30.170075956251711</v>
      </c>
      <c r="K88" s="35">
        <f t="shared" si="27"/>
        <v>37.699074652813103</v>
      </c>
      <c r="L88" s="35">
        <f t="shared" si="27"/>
        <v>0</v>
      </c>
      <c r="M88" s="35">
        <f t="shared" si="27"/>
        <v>0</v>
      </c>
      <c r="N88" s="86">
        <f t="shared" si="27"/>
        <v>4387.7680970428737</v>
      </c>
      <c r="O88" s="313">
        <f>SUM('SOTE laskennallinen rahoitus'!$C88:$L88)</f>
        <v>4387.7680970428728</v>
      </c>
    </row>
    <row r="89" spans="1:15" x14ac:dyDescent="0.25">
      <c r="A89" s="34">
        <v>11</v>
      </c>
      <c r="B89" s="85" t="s">
        <v>118</v>
      </c>
      <c r="C89" s="35">
        <f t="shared" ref="C89:N89" si="28">C62/$C35</f>
        <v>441.98395122958078</v>
      </c>
      <c r="D89" s="35">
        <f t="shared" si="28"/>
        <v>2055.6142637538806</v>
      </c>
      <c r="E89" s="35">
        <f t="shared" si="28"/>
        <v>772.57960525359988</v>
      </c>
      <c r="F89" s="35">
        <f t="shared" si="28"/>
        <v>791.08119319412674</v>
      </c>
      <c r="G89" s="35">
        <f t="shared" si="28"/>
        <v>31.058040037958381</v>
      </c>
      <c r="H89" s="35">
        <f t="shared" si="28"/>
        <v>0</v>
      </c>
      <c r="I89" s="35">
        <f t="shared" si="28"/>
        <v>71.905648643701923</v>
      </c>
      <c r="J89" s="35">
        <f t="shared" si="28"/>
        <v>0</v>
      </c>
      <c r="K89" s="35">
        <f t="shared" si="28"/>
        <v>37.699074652813103</v>
      </c>
      <c r="L89" s="35">
        <f t="shared" si="28"/>
        <v>0</v>
      </c>
      <c r="M89" s="35">
        <f t="shared" si="28"/>
        <v>104.69523197788797</v>
      </c>
      <c r="N89" s="86">
        <f t="shared" si="28"/>
        <v>4306.6170087435494</v>
      </c>
      <c r="O89" s="313">
        <f>SUM('SOTE laskennallinen rahoitus'!$C89:$L89)</f>
        <v>4201.921776765661</v>
      </c>
    </row>
    <row r="90" spans="1:15" x14ac:dyDescent="0.25">
      <c r="A90" s="34">
        <v>12</v>
      </c>
      <c r="B90" s="85" t="s">
        <v>117</v>
      </c>
      <c r="C90" s="35">
        <f t="shared" ref="C90:N90" si="29">C63/$C36</f>
        <v>441.98395122958078</v>
      </c>
      <c r="D90" s="35">
        <f t="shared" si="29"/>
        <v>2147.6151471641883</v>
      </c>
      <c r="E90" s="35">
        <f t="shared" si="29"/>
        <v>809.8512010359658</v>
      </c>
      <c r="F90" s="35">
        <f t="shared" si="29"/>
        <v>832.64974921348266</v>
      </c>
      <c r="G90" s="35">
        <f t="shared" si="29"/>
        <v>38.683274101273142</v>
      </c>
      <c r="H90" s="35">
        <f t="shared" si="29"/>
        <v>0</v>
      </c>
      <c r="I90" s="35">
        <f t="shared" si="29"/>
        <v>118.26451597319674</v>
      </c>
      <c r="J90" s="35">
        <f t="shared" si="29"/>
        <v>0</v>
      </c>
      <c r="K90" s="35">
        <f t="shared" si="29"/>
        <v>37.699074652813103</v>
      </c>
      <c r="L90" s="35">
        <f t="shared" si="29"/>
        <v>0</v>
      </c>
      <c r="M90" s="35">
        <f t="shared" si="29"/>
        <v>0</v>
      </c>
      <c r="N90" s="86">
        <f t="shared" si="29"/>
        <v>4426.7469133705008</v>
      </c>
      <c r="O90" s="313">
        <f>SUM('SOTE laskennallinen rahoitus'!$C90:$L90)</f>
        <v>4426.7469133704999</v>
      </c>
    </row>
    <row r="91" spans="1:15" x14ac:dyDescent="0.25">
      <c r="A91" s="34">
        <v>13</v>
      </c>
      <c r="B91" s="85" t="s">
        <v>116</v>
      </c>
      <c r="C91" s="35">
        <f t="shared" ref="C91:N91" si="30">C64/$C37</f>
        <v>441.98395122958078</v>
      </c>
      <c r="D91" s="35">
        <f t="shared" si="30"/>
        <v>1799.6670631802981</v>
      </c>
      <c r="E91" s="35">
        <f t="shared" si="30"/>
        <v>626.38324728759164</v>
      </c>
      <c r="F91" s="35">
        <f t="shared" si="30"/>
        <v>687.96269589299879</v>
      </c>
      <c r="G91" s="35">
        <f t="shared" si="30"/>
        <v>34.799032756471156</v>
      </c>
      <c r="H91" s="35">
        <f t="shared" si="30"/>
        <v>0</v>
      </c>
      <c r="I91" s="35">
        <f t="shared" si="30"/>
        <v>60.566829465252773</v>
      </c>
      <c r="J91" s="35">
        <f t="shared" si="30"/>
        <v>0</v>
      </c>
      <c r="K91" s="35">
        <f t="shared" si="30"/>
        <v>37.699074652813103</v>
      </c>
      <c r="L91" s="35">
        <f t="shared" si="30"/>
        <v>0</v>
      </c>
      <c r="M91" s="35">
        <f t="shared" si="30"/>
        <v>0</v>
      </c>
      <c r="N91" s="86">
        <f t="shared" si="30"/>
        <v>3689.0618944650064</v>
      </c>
      <c r="O91" s="313">
        <f>SUM('SOTE laskennallinen rahoitus'!$C91:$L91)</f>
        <v>3689.0618944650064</v>
      </c>
    </row>
    <row r="92" spans="1:15" x14ac:dyDescent="0.25">
      <c r="A92" s="34">
        <v>14</v>
      </c>
      <c r="B92" s="85" t="s">
        <v>132</v>
      </c>
      <c r="C92" s="35">
        <f t="shared" ref="C92:N92" si="31">C65/$C38</f>
        <v>441.98395122958084</v>
      </c>
      <c r="D92" s="35">
        <f t="shared" si="31"/>
        <v>1989.1633158327786</v>
      </c>
      <c r="E92" s="35">
        <f t="shared" si="31"/>
        <v>790.72350472916935</v>
      </c>
      <c r="F92" s="35">
        <f t="shared" si="31"/>
        <v>723.54335283705154</v>
      </c>
      <c r="G92" s="35">
        <f t="shared" si="31"/>
        <v>23.111847014226861</v>
      </c>
      <c r="H92" s="35">
        <f t="shared" si="31"/>
        <v>0</v>
      </c>
      <c r="I92" s="35">
        <f t="shared" si="31"/>
        <v>73.909575333386016</v>
      </c>
      <c r="J92" s="35">
        <f t="shared" si="31"/>
        <v>0</v>
      </c>
      <c r="K92" s="35">
        <f t="shared" si="31"/>
        <v>37.699074652813103</v>
      </c>
      <c r="L92" s="35">
        <f t="shared" si="31"/>
        <v>0</v>
      </c>
      <c r="M92" s="35">
        <f t="shared" si="31"/>
        <v>0</v>
      </c>
      <c r="N92" s="86">
        <f t="shared" si="31"/>
        <v>4080.1346216290058</v>
      </c>
      <c r="O92" s="313">
        <f>SUM('SOTE laskennallinen rahoitus'!$C92:$L92)</f>
        <v>4080.1346216290058</v>
      </c>
    </row>
    <row r="93" spans="1:15" x14ac:dyDescent="0.25">
      <c r="A93" s="34">
        <v>15</v>
      </c>
      <c r="B93" s="85" t="s">
        <v>114</v>
      </c>
      <c r="C93" s="35">
        <f t="shared" ref="C93:N93" si="32">C66/$C39</f>
        <v>441.98395122958073</v>
      </c>
      <c r="D93" s="35">
        <f t="shared" si="32"/>
        <v>1764.5053057379309</v>
      </c>
      <c r="E93" s="35">
        <f t="shared" si="32"/>
        <v>610.10011231302246</v>
      </c>
      <c r="F93" s="35">
        <f t="shared" si="32"/>
        <v>570.04171043553902</v>
      </c>
      <c r="G93" s="35">
        <f t="shared" si="32"/>
        <v>71.957776314830426</v>
      </c>
      <c r="H93" s="35">
        <f t="shared" si="32"/>
        <v>208.53436537687088</v>
      </c>
      <c r="I93" s="35">
        <f t="shared" si="32"/>
        <v>43.328228681828818</v>
      </c>
      <c r="J93" s="35">
        <f t="shared" si="32"/>
        <v>20.831476961121428</v>
      </c>
      <c r="K93" s="35">
        <f t="shared" si="32"/>
        <v>37.699074652813103</v>
      </c>
      <c r="L93" s="35">
        <f t="shared" si="32"/>
        <v>0</v>
      </c>
      <c r="M93" s="35">
        <f t="shared" si="32"/>
        <v>0</v>
      </c>
      <c r="N93" s="86">
        <f t="shared" si="32"/>
        <v>3768.9820017035386</v>
      </c>
      <c r="O93" s="313">
        <f>SUM('SOTE laskennallinen rahoitus'!$C93:$L93)</f>
        <v>3768.9820017035381</v>
      </c>
    </row>
    <row r="94" spans="1:15" x14ac:dyDescent="0.25">
      <c r="A94" s="34">
        <v>16</v>
      </c>
      <c r="B94" s="85" t="s">
        <v>113</v>
      </c>
      <c r="C94" s="35">
        <f t="shared" ref="C94:N94" si="33">C67/$C40</f>
        <v>441.98395122958078</v>
      </c>
      <c r="D94" s="35">
        <f t="shared" si="33"/>
        <v>2047.5500249652612</v>
      </c>
      <c r="E94" s="35">
        <f t="shared" si="33"/>
        <v>747.97181871463943</v>
      </c>
      <c r="F94" s="35">
        <f t="shared" si="33"/>
        <v>763.17630369953599</v>
      </c>
      <c r="G94" s="35">
        <f t="shared" si="33"/>
        <v>30.353766352287995</v>
      </c>
      <c r="H94" s="35">
        <f t="shared" si="33"/>
        <v>37.222340088957239</v>
      </c>
      <c r="I94" s="35">
        <f t="shared" si="33"/>
        <v>75.995643368244885</v>
      </c>
      <c r="J94" s="35">
        <f t="shared" si="33"/>
        <v>0</v>
      </c>
      <c r="K94" s="35">
        <f t="shared" si="33"/>
        <v>37.699074652813103</v>
      </c>
      <c r="L94" s="35">
        <f t="shared" si="33"/>
        <v>0</v>
      </c>
      <c r="M94" s="35">
        <f t="shared" si="33"/>
        <v>0</v>
      </c>
      <c r="N94" s="86">
        <f t="shared" si="33"/>
        <v>4181.9529230713206</v>
      </c>
      <c r="O94" s="313">
        <f>SUM('SOTE laskennallinen rahoitus'!$C94:$L94)</f>
        <v>4181.9529230713206</v>
      </c>
    </row>
    <row r="95" spans="1:15" x14ac:dyDescent="0.25">
      <c r="A95" s="34">
        <v>17</v>
      </c>
      <c r="B95" s="85" t="s">
        <v>112</v>
      </c>
      <c r="C95" s="35">
        <f t="shared" ref="C95:N95" si="34">C68/$C41</f>
        <v>441.98395122958078</v>
      </c>
      <c r="D95" s="35">
        <f t="shared" si="34"/>
        <v>1795.2259896827793</v>
      </c>
      <c r="E95" s="35">
        <f t="shared" si="34"/>
        <v>601.44398677405127</v>
      </c>
      <c r="F95" s="35">
        <f t="shared" si="34"/>
        <v>764.70345254219683</v>
      </c>
      <c r="G95" s="35">
        <f t="shared" si="34"/>
        <v>29.969822994996527</v>
      </c>
      <c r="H95" s="35">
        <f t="shared" si="34"/>
        <v>0</v>
      </c>
      <c r="I95" s="35">
        <f t="shared" si="34"/>
        <v>91.596506918726817</v>
      </c>
      <c r="J95" s="35">
        <f t="shared" si="34"/>
        <v>1.5310867989208294</v>
      </c>
      <c r="K95" s="35">
        <f t="shared" si="34"/>
        <v>37.699074652813103</v>
      </c>
      <c r="L95" s="35">
        <f t="shared" si="34"/>
        <v>0</v>
      </c>
      <c r="M95" s="35">
        <f t="shared" si="34"/>
        <v>104.69523197788797</v>
      </c>
      <c r="N95" s="86">
        <f t="shared" si="34"/>
        <v>3868.849103571953</v>
      </c>
      <c r="O95" s="313">
        <f>SUM('SOTE laskennallinen rahoitus'!$C95:$L95)</f>
        <v>3764.1538715940655</v>
      </c>
    </row>
    <row r="96" spans="1:15" x14ac:dyDescent="0.25">
      <c r="A96" s="34">
        <v>18</v>
      </c>
      <c r="B96" s="85" t="s">
        <v>111</v>
      </c>
      <c r="C96" s="35">
        <f t="shared" ref="C96:N96" si="35">C69/$C42</f>
        <v>441.98395122958078</v>
      </c>
      <c r="D96" s="35">
        <f t="shared" si="35"/>
        <v>2062.9946140685352</v>
      </c>
      <c r="E96" s="35">
        <f t="shared" si="35"/>
        <v>850.07707849364931</v>
      </c>
      <c r="F96" s="35">
        <f t="shared" si="35"/>
        <v>842.52366171727192</v>
      </c>
      <c r="G96" s="35">
        <f t="shared" si="35"/>
        <v>30.116119170778102</v>
      </c>
      <c r="H96" s="35">
        <f t="shared" si="35"/>
        <v>0</v>
      </c>
      <c r="I96" s="35">
        <f t="shared" si="35"/>
        <v>290.07505681646745</v>
      </c>
      <c r="J96" s="35">
        <f t="shared" si="35"/>
        <v>0</v>
      </c>
      <c r="K96" s="35">
        <f t="shared" si="35"/>
        <v>37.699074652813103</v>
      </c>
      <c r="L96" s="35">
        <f t="shared" si="35"/>
        <v>0</v>
      </c>
      <c r="M96" s="35">
        <f t="shared" si="35"/>
        <v>0</v>
      </c>
      <c r="N96" s="86">
        <f t="shared" si="35"/>
        <v>4555.4695561490962</v>
      </c>
      <c r="O96" s="313">
        <f>SUM('SOTE laskennallinen rahoitus'!$C96:$L96)</f>
        <v>4555.4695561490953</v>
      </c>
    </row>
    <row r="97" spans="1:15" x14ac:dyDescent="0.25">
      <c r="A97" s="34">
        <v>19</v>
      </c>
      <c r="B97" s="85" t="s">
        <v>110</v>
      </c>
      <c r="C97" s="35">
        <f t="shared" ref="C97:N97" si="36">C70/$C43</f>
        <v>441.98395122958084</v>
      </c>
      <c r="D97" s="35">
        <f t="shared" si="36"/>
        <v>1976.2273951297473</v>
      </c>
      <c r="E97" s="35">
        <f t="shared" si="36"/>
        <v>732.64920655912681</v>
      </c>
      <c r="F97" s="35">
        <f t="shared" si="36"/>
        <v>859.74085901398951</v>
      </c>
      <c r="G97" s="35">
        <f t="shared" si="36"/>
        <v>28.141269980783939</v>
      </c>
      <c r="H97" s="35">
        <f t="shared" si="36"/>
        <v>0</v>
      </c>
      <c r="I97" s="35">
        <f t="shared" si="36"/>
        <v>539.91516012790566</v>
      </c>
      <c r="J97" s="35">
        <f t="shared" si="36"/>
        <v>0</v>
      </c>
      <c r="K97" s="35">
        <f t="shared" si="36"/>
        <v>37.699074652813103</v>
      </c>
      <c r="L97" s="35">
        <f t="shared" si="36"/>
        <v>15.267763960033069</v>
      </c>
      <c r="M97" s="35">
        <f t="shared" si="36"/>
        <v>0</v>
      </c>
      <c r="N97" s="86">
        <f t="shared" si="36"/>
        <v>4631.6246806539802</v>
      </c>
      <c r="O97" s="313">
        <f>SUM('SOTE laskennallinen rahoitus'!$C97:$L97)</f>
        <v>4631.6246806539802</v>
      </c>
    </row>
    <row r="98" spans="1:15" x14ac:dyDescent="0.25">
      <c r="A98" s="32"/>
      <c r="B98" s="31" t="s">
        <v>109</v>
      </c>
      <c r="C98" s="33">
        <f t="shared" ref="C98:N98" si="37">C71/$C44</f>
        <v>441.98395122958073</v>
      </c>
      <c r="D98" s="33">
        <f t="shared" si="37"/>
        <v>1807.3309889344741</v>
      </c>
      <c r="E98" s="33">
        <f t="shared" si="37"/>
        <v>606.30845958419184</v>
      </c>
      <c r="F98" s="33">
        <f t="shared" si="37"/>
        <v>656.95018195296188</v>
      </c>
      <c r="G98" s="33">
        <f t="shared" si="37"/>
        <v>75.398149305626191</v>
      </c>
      <c r="H98" s="33">
        <f t="shared" si="37"/>
        <v>18.849537326406555</v>
      </c>
      <c r="I98" s="33">
        <f t="shared" si="37"/>
        <v>56.548611979219643</v>
      </c>
      <c r="J98" s="33">
        <f t="shared" si="37"/>
        <v>4.2599954357678804</v>
      </c>
      <c r="K98" s="33">
        <f t="shared" si="37"/>
        <v>37.699074652813096</v>
      </c>
      <c r="L98" s="33">
        <f t="shared" si="37"/>
        <v>0.49008797048643266</v>
      </c>
      <c r="M98" s="33">
        <f t="shared" si="37"/>
        <v>64.088426909782271</v>
      </c>
      <c r="N98" s="33">
        <f t="shared" si="37"/>
        <v>3769.9074652813115</v>
      </c>
      <c r="O98" s="319">
        <f>SUM('SOTE laskennallinen rahoitus'!$C98:$L98)</f>
        <v>3705.8190383715282</v>
      </c>
    </row>
    <row r="99" spans="1:15" x14ac:dyDescent="0.25">
      <c r="A99" s="34"/>
      <c r="B99" s="85" t="s">
        <v>522</v>
      </c>
      <c r="C99" s="308">
        <f t="shared" ref="C99:N99" si="38">C98/$N$98</f>
        <v>0.11723999999999994</v>
      </c>
      <c r="D99" s="308">
        <f t="shared" si="38"/>
        <v>0.479409907425834</v>
      </c>
      <c r="E99" s="308">
        <f t="shared" si="38"/>
        <v>0.16082847262643593</v>
      </c>
      <c r="F99" s="308">
        <f t="shared" si="38"/>
        <v>0.17426161994772996</v>
      </c>
      <c r="G99" s="308">
        <f t="shared" si="38"/>
        <v>1.999999999999999E-2</v>
      </c>
      <c r="H99" s="308">
        <f t="shared" si="38"/>
        <v>4.9999999999999992E-3</v>
      </c>
      <c r="I99" s="308">
        <f t="shared" si="38"/>
        <v>1.4999999999999993E-2</v>
      </c>
      <c r="J99" s="308">
        <f t="shared" si="38"/>
        <v>1.1299999999999995E-3</v>
      </c>
      <c r="K99" s="308">
        <f t="shared" si="38"/>
        <v>9.999999999999995E-3</v>
      </c>
      <c r="L99" s="308">
        <f t="shared" si="38"/>
        <v>1.2999999999996342E-4</v>
      </c>
      <c r="M99" s="308">
        <f t="shared" si="38"/>
        <v>1.6999999999999994E-2</v>
      </c>
      <c r="N99" s="308">
        <f t="shared" si="38"/>
        <v>1</v>
      </c>
      <c r="O99" s="318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C129"/>
  <sheetViews>
    <sheetView zoomScale="70" zoomScaleNormal="70" workbookViewId="0">
      <selection activeCell="A17" sqref="A17"/>
    </sheetView>
  </sheetViews>
  <sheetFormatPr defaultColWidth="8.375" defaultRowHeight="15.75" x14ac:dyDescent="0.25"/>
  <cols>
    <col min="1" max="1" width="24.875" style="90" customWidth="1"/>
    <col min="2" max="2" width="21.625" style="90" customWidth="1"/>
    <col min="3" max="3" width="21.125" style="90" customWidth="1"/>
    <col min="4" max="5" width="17.875" style="90" customWidth="1"/>
    <col min="6" max="6" width="13.625" style="90" customWidth="1"/>
    <col min="7" max="7" width="14.625" style="90" customWidth="1"/>
    <col min="8" max="8" width="14" style="90" customWidth="1"/>
    <col min="9" max="9" width="12.125" style="90" customWidth="1"/>
    <col min="10" max="10" width="9.375" style="90" customWidth="1"/>
    <col min="11" max="11" width="13.125" style="90" bestFit="1" customWidth="1"/>
    <col min="12" max="12" width="9.875" style="90" bestFit="1" customWidth="1"/>
    <col min="13" max="13" width="10.125" style="90" customWidth="1"/>
    <col min="14" max="14" width="13" style="90" bestFit="1" customWidth="1"/>
    <col min="15" max="15" width="10.625" style="90" customWidth="1"/>
    <col min="16" max="16" width="7.375" style="90" customWidth="1"/>
    <col min="17" max="17" width="12.125" style="90" bestFit="1" customWidth="1"/>
    <col min="18" max="18" width="12.125" style="90" customWidth="1"/>
    <col min="19" max="21" width="11" style="90" customWidth="1"/>
    <col min="22" max="22" width="12.875" style="90" bestFit="1" customWidth="1"/>
    <col min="23" max="24" width="17.125" style="90" customWidth="1"/>
    <col min="25" max="25" width="16.875" style="90" customWidth="1"/>
    <col min="26" max="26" width="10.625" style="90" bestFit="1" customWidth="1"/>
    <col min="27" max="27" width="9.625" style="90" bestFit="1" customWidth="1"/>
    <col min="28" max="16384" width="8.375" style="90"/>
  </cols>
  <sheetData>
    <row r="1" spans="1:7" ht="23.25" x14ac:dyDescent="0.35">
      <c r="A1" s="440" t="s">
        <v>516</v>
      </c>
    </row>
    <row r="2" spans="1:7" x14ac:dyDescent="0.25">
      <c r="A2" s="90" t="str">
        <f>INFO!A2</f>
        <v>VM/KAO 13.4.2021</v>
      </c>
    </row>
    <row r="3" spans="1:7" x14ac:dyDescent="0.25">
      <c r="A3" s="7" t="s">
        <v>690</v>
      </c>
    </row>
    <row r="4" spans="1:7" x14ac:dyDescent="0.25">
      <c r="A4" s="7" t="s">
        <v>591</v>
      </c>
    </row>
    <row r="6" spans="1:7" x14ac:dyDescent="0.25">
      <c r="A6" s="20" t="s">
        <v>482</v>
      </c>
      <c r="B6" s="24"/>
      <c r="C6" s="24"/>
      <c r="D6" s="24"/>
    </row>
    <row r="7" spans="1:7" ht="47.25" x14ac:dyDescent="0.25">
      <c r="A7" s="536" t="s">
        <v>483</v>
      </c>
      <c r="B7" s="537" t="s">
        <v>639</v>
      </c>
      <c r="C7" s="536" t="s">
        <v>434</v>
      </c>
      <c r="D7" s="7"/>
    </row>
    <row r="8" spans="1:7" x14ac:dyDescent="0.25">
      <c r="A8" s="86">
        <f>'Siirtyvät pela-kustannukset'!L12</f>
        <v>485277000.00000006</v>
      </c>
      <c r="B8" s="86">
        <f>C40</f>
        <v>5503664</v>
      </c>
      <c r="C8" s="86">
        <f>A8/B8</f>
        <v>88.173442274092324</v>
      </c>
      <c r="D8" s="7"/>
    </row>
    <row r="9" spans="1:7" x14ac:dyDescent="0.25">
      <c r="A9" s="7"/>
      <c r="B9" s="7"/>
      <c r="C9" s="7"/>
      <c r="D9" s="7"/>
    </row>
    <row r="10" spans="1:7" x14ac:dyDescent="0.25">
      <c r="A10" s="91" t="s">
        <v>466</v>
      </c>
      <c r="B10" s="92"/>
      <c r="C10" s="92"/>
      <c r="D10" s="92"/>
      <c r="E10" s="93"/>
      <c r="F10" s="94"/>
      <c r="G10" s="94"/>
    </row>
    <row r="11" spans="1:7" x14ac:dyDescent="0.25">
      <c r="A11" s="320" t="s">
        <v>562</v>
      </c>
      <c r="B11" s="320" t="s">
        <v>431</v>
      </c>
      <c r="C11" s="320" t="s">
        <v>429</v>
      </c>
      <c r="D11" s="320" t="s">
        <v>590</v>
      </c>
      <c r="E11" s="321" t="s">
        <v>0</v>
      </c>
      <c r="F11" s="94"/>
      <c r="G11" s="94"/>
    </row>
    <row r="12" spans="1:7" ht="31.5" x14ac:dyDescent="0.25">
      <c r="A12" s="95" t="s">
        <v>465</v>
      </c>
      <c r="B12" s="96">
        <v>0.65</v>
      </c>
      <c r="C12" s="97">
        <v>0.05</v>
      </c>
      <c r="D12" s="97">
        <v>0.3</v>
      </c>
      <c r="E12" s="98">
        <f>SUM(B12:D12)</f>
        <v>1</v>
      </c>
      <c r="F12" s="94"/>
      <c r="G12" s="94"/>
    </row>
    <row r="13" spans="1:7" x14ac:dyDescent="0.25">
      <c r="A13" s="99" t="s">
        <v>428</v>
      </c>
      <c r="B13" s="39">
        <f>B12*A8</f>
        <v>315430050.00000006</v>
      </c>
      <c r="C13" s="39">
        <f>C12*A8</f>
        <v>24263850.000000004</v>
      </c>
      <c r="D13" s="39">
        <f>D12*A8</f>
        <v>145583100</v>
      </c>
      <c r="E13" s="100">
        <f>SUM(B13:D13)</f>
        <v>485277000.00000006</v>
      </c>
      <c r="F13" s="94"/>
      <c r="G13" s="94"/>
    </row>
    <row r="14" spans="1:7" x14ac:dyDescent="0.25">
      <c r="A14" s="14" t="s">
        <v>467</v>
      </c>
      <c r="B14" s="432">
        <f>B13/B8</f>
        <v>57.312737478160017</v>
      </c>
      <c r="C14" s="432">
        <f>C13/B8</f>
        <v>4.4086721137046165</v>
      </c>
      <c r="D14" s="432">
        <f>D13/B8</f>
        <v>26.452032682227696</v>
      </c>
      <c r="E14" s="94"/>
      <c r="F14" s="94"/>
      <c r="G14" s="94"/>
    </row>
    <row r="15" spans="1:7" x14ac:dyDescent="0.25">
      <c r="A15" s="94"/>
      <c r="B15" s="94"/>
      <c r="C15" s="94"/>
      <c r="D15" s="94"/>
      <c r="E15" s="94"/>
      <c r="F15" s="94"/>
      <c r="G15" s="94"/>
    </row>
    <row r="16" spans="1:7" x14ac:dyDescent="0.25">
      <c r="A16" s="101" t="s">
        <v>438</v>
      </c>
      <c r="B16" s="101"/>
      <c r="C16" s="101"/>
      <c r="D16" s="93"/>
      <c r="E16" s="93"/>
      <c r="F16" s="94"/>
      <c r="G16" s="94"/>
    </row>
    <row r="17" spans="1:7" x14ac:dyDescent="0.25">
      <c r="A17" s="322" t="s">
        <v>469</v>
      </c>
      <c r="B17" s="322" t="s">
        <v>134</v>
      </c>
      <c r="C17" s="322" t="s">
        <v>643</v>
      </c>
      <c r="D17" s="322" t="s">
        <v>436</v>
      </c>
      <c r="E17" s="322" t="s">
        <v>439</v>
      </c>
      <c r="F17" s="94"/>
      <c r="G17" s="94"/>
    </row>
    <row r="18" spans="1:7" x14ac:dyDescent="0.25">
      <c r="A18" s="94">
        <v>31</v>
      </c>
      <c r="B18" s="102" t="s">
        <v>131</v>
      </c>
      <c r="C18" s="100">
        <f>Määräytymistekijät!C4</f>
        <v>656920</v>
      </c>
      <c r="D18" s="103">
        <f>Määräytymistekijät!F30</f>
        <v>1.5875344536897651E-2</v>
      </c>
      <c r="E18" s="104">
        <f>Määräytymistekijät!M30</f>
        <v>0.40056802576850215</v>
      </c>
      <c r="F18" s="94"/>
      <c r="G18" s="94"/>
    </row>
    <row r="19" spans="1:7" x14ac:dyDescent="0.25">
      <c r="A19" s="94">
        <v>32</v>
      </c>
      <c r="B19" s="102" t="s">
        <v>130</v>
      </c>
      <c r="C19" s="100">
        <f>Määräytymistekijät!C5</f>
        <v>274336</v>
      </c>
      <c r="D19" s="103">
        <f>Määräytymistekijät!F31</f>
        <v>1.4406183255381783E-2</v>
      </c>
      <c r="E19" s="104">
        <f>Määräytymistekijät!M31</f>
        <v>0.83997119661863551</v>
      </c>
      <c r="F19" s="94"/>
      <c r="G19" s="94"/>
    </row>
    <row r="20" spans="1:7" x14ac:dyDescent="0.25">
      <c r="A20" s="94">
        <v>33</v>
      </c>
      <c r="B20" s="102" t="s">
        <v>129</v>
      </c>
      <c r="C20" s="100">
        <f>Määräytymistekijät!C6</f>
        <v>473838</v>
      </c>
      <c r="D20" s="103">
        <f>Määräytymistekijät!F32</f>
        <v>0.2417098264737827</v>
      </c>
      <c r="E20" s="104">
        <f>Määräytymistekijät!M32</f>
        <v>0.83457860662629646</v>
      </c>
      <c r="F20" s="94"/>
      <c r="G20" s="94"/>
    </row>
    <row r="21" spans="1:7" x14ac:dyDescent="0.25">
      <c r="A21" s="94">
        <v>34</v>
      </c>
      <c r="B21" s="102" t="s">
        <v>128</v>
      </c>
      <c r="C21" s="100">
        <f>Määräytymistekijät!C7</f>
        <v>98254</v>
      </c>
      <c r="D21" s="103">
        <f>Määräytymistekijät!F33</f>
        <v>0.81586039243993724</v>
      </c>
      <c r="E21" s="104">
        <f>Määräytymistekijät!M33</f>
        <v>0.89272412145339097</v>
      </c>
      <c r="F21" s="94"/>
      <c r="G21" s="94"/>
    </row>
    <row r="22" spans="1:7" x14ac:dyDescent="0.25">
      <c r="A22" s="94">
        <v>35</v>
      </c>
      <c r="B22" s="102" t="s">
        <v>127</v>
      </c>
      <c r="C22" s="100">
        <f>Määräytymistekijät!C8</f>
        <v>199330</v>
      </c>
      <c r="D22" s="103">
        <f>Määräytymistekijät!F34</f>
        <v>0.12545459679250293</v>
      </c>
      <c r="E22" s="104">
        <f>Määräytymistekijät!M34</f>
        <v>1.0068774153544033</v>
      </c>
      <c r="F22" s="94"/>
      <c r="G22" s="94"/>
    </row>
    <row r="23" spans="1:7" x14ac:dyDescent="0.25">
      <c r="A23" s="94">
        <v>2</v>
      </c>
      <c r="B23" s="102" t="s">
        <v>126</v>
      </c>
      <c r="C23" s="100">
        <f>Määräytymistekijät!C9</f>
        <v>481403</v>
      </c>
      <c r="D23" s="103">
        <f>Määräytymistekijät!F35</f>
        <v>0.62184328245082188</v>
      </c>
      <c r="E23" s="104">
        <f>Määräytymistekijät!M35</f>
        <v>0.98205050983963682</v>
      </c>
      <c r="F23" s="94"/>
      <c r="G23" s="94"/>
    </row>
    <row r="24" spans="1:7" x14ac:dyDescent="0.25">
      <c r="A24" s="94">
        <v>4</v>
      </c>
      <c r="B24" s="102" t="s">
        <v>125</v>
      </c>
      <c r="C24" s="100">
        <f>Määräytymistekijät!C10</f>
        <v>215416</v>
      </c>
      <c r="D24" s="103">
        <f>Määräytymistekijät!F36</f>
        <v>0.77764521208801773</v>
      </c>
      <c r="E24" s="104">
        <f>Määräytymistekijät!M36</f>
        <v>1.4147881108089089</v>
      </c>
      <c r="F24" s="94"/>
      <c r="G24" s="94"/>
    </row>
    <row r="25" spans="1:7" x14ac:dyDescent="0.25">
      <c r="A25" s="94">
        <v>5</v>
      </c>
      <c r="B25" s="102" t="s">
        <v>124</v>
      </c>
      <c r="C25" s="100">
        <f>Määräytymistekijät!C11</f>
        <v>170577</v>
      </c>
      <c r="D25" s="103">
        <f>Määräytymistekijät!F37</f>
        <v>0.48772242484103584</v>
      </c>
      <c r="E25" s="104">
        <f>Määräytymistekijät!M37</f>
        <v>1.2114620834062539</v>
      </c>
      <c r="F25" s="94"/>
      <c r="G25" s="94"/>
    </row>
    <row r="26" spans="1:7" x14ac:dyDescent="0.25">
      <c r="A26" s="94">
        <v>6</v>
      </c>
      <c r="B26" s="102" t="s">
        <v>123</v>
      </c>
      <c r="C26" s="100">
        <f>Määräytymistekijät!C12</f>
        <v>522852</v>
      </c>
      <c r="D26" s="103">
        <f>Määräytymistekijät!F38</f>
        <v>0.4334948076745273</v>
      </c>
      <c r="E26" s="104">
        <f>Määräytymistekijät!M38</f>
        <v>1.0122475218130302</v>
      </c>
      <c r="F26" s="94"/>
      <c r="G26" s="94"/>
    </row>
    <row r="27" spans="1:7" x14ac:dyDescent="0.25">
      <c r="A27" s="94">
        <v>7</v>
      </c>
      <c r="B27" s="102" t="s">
        <v>122</v>
      </c>
      <c r="C27" s="100">
        <f>Määräytymistekijät!C13</f>
        <v>205771</v>
      </c>
      <c r="D27" s="103">
        <f>Määräytymistekijät!F39</f>
        <v>0.49172574397931662</v>
      </c>
      <c r="E27" s="104">
        <f>Määräytymistekijät!M39</f>
        <v>1.1632075321277684</v>
      </c>
      <c r="F27" s="94"/>
      <c r="G27" s="94"/>
    </row>
    <row r="28" spans="1:7" x14ac:dyDescent="0.25">
      <c r="A28" s="94">
        <v>8</v>
      </c>
      <c r="B28" s="102" t="s">
        <v>121</v>
      </c>
      <c r="C28" s="100">
        <f>Määräytymistekijät!C14</f>
        <v>162812</v>
      </c>
      <c r="D28" s="103">
        <f>Määräytymistekijät!F40</f>
        <v>0.60596118879796146</v>
      </c>
      <c r="E28" s="104">
        <f>Määräytymistekijät!M40</f>
        <v>1.4427336906647943</v>
      </c>
      <c r="F28" s="94"/>
      <c r="G28" s="94"/>
    </row>
    <row r="29" spans="1:7" x14ac:dyDescent="0.25">
      <c r="A29" s="94">
        <v>9</v>
      </c>
      <c r="B29" s="102" t="s">
        <v>120</v>
      </c>
      <c r="C29" s="100">
        <f>Määräytymistekijät!C15</f>
        <v>126921</v>
      </c>
      <c r="D29" s="103">
        <f>Määräytymistekijät!F41</f>
        <v>0.78921626401604883</v>
      </c>
      <c r="E29" s="104">
        <f>Määräytymistekijät!M41</f>
        <v>1.4290316358771069</v>
      </c>
      <c r="F29" s="94"/>
      <c r="G29" s="94"/>
    </row>
    <row r="30" spans="1:7" x14ac:dyDescent="0.25">
      <c r="A30" s="94">
        <v>10</v>
      </c>
      <c r="B30" s="102" t="s">
        <v>119</v>
      </c>
      <c r="C30" s="100">
        <f>Määräytymistekijät!C16</f>
        <v>132702</v>
      </c>
      <c r="D30" s="103">
        <f>Määräytymistekijät!F42</f>
        <v>1.8781592141616392</v>
      </c>
      <c r="E30" s="104">
        <f>Määräytymistekijät!M42</f>
        <v>1.2547466711931239</v>
      </c>
      <c r="F30" s="94"/>
      <c r="G30" s="94"/>
    </row>
    <row r="31" spans="1:7" x14ac:dyDescent="0.25">
      <c r="A31" s="94">
        <v>11</v>
      </c>
      <c r="B31" s="102" t="s">
        <v>118</v>
      </c>
      <c r="C31" s="100">
        <f>Määräytymistekijät!C17</f>
        <v>248265</v>
      </c>
      <c r="D31" s="103">
        <f>Määräytymistekijät!F43</f>
        <v>1.2375159680799657</v>
      </c>
      <c r="E31" s="104">
        <f>Määräytymistekijät!M43</f>
        <v>1.1018381952163465</v>
      </c>
      <c r="F31" s="94"/>
      <c r="G31" s="94"/>
    </row>
    <row r="32" spans="1:7" x14ac:dyDescent="0.25">
      <c r="A32" s="94">
        <v>12</v>
      </c>
      <c r="B32" s="102" t="s">
        <v>117</v>
      </c>
      <c r="C32" s="100">
        <f>Määräytymistekijät!C18</f>
        <v>163537</v>
      </c>
      <c r="D32" s="103">
        <f>Määräytymistekijät!F44</f>
        <v>2.0413555951569413</v>
      </c>
      <c r="E32" s="104">
        <f>Määräytymistekijät!M44</f>
        <v>1.1727060928395419</v>
      </c>
      <c r="F32" s="94"/>
      <c r="G32" s="94"/>
    </row>
    <row r="33" spans="1:7" x14ac:dyDescent="0.25">
      <c r="A33" s="94">
        <v>13</v>
      </c>
      <c r="B33" s="102" t="s">
        <v>116</v>
      </c>
      <c r="C33" s="100">
        <f>Määräytymistekijät!C19</f>
        <v>272617</v>
      </c>
      <c r="D33" s="103">
        <f>Määräytymistekijät!F45</f>
        <v>1.0165126513637435</v>
      </c>
      <c r="E33" s="104">
        <f>Määräytymistekijät!M45</f>
        <v>0.97069449314420331</v>
      </c>
      <c r="F33" s="94"/>
      <c r="G33" s="94"/>
    </row>
    <row r="34" spans="1:7" x14ac:dyDescent="0.25">
      <c r="A34" s="94">
        <v>14</v>
      </c>
      <c r="B34" s="102" t="s">
        <v>132</v>
      </c>
      <c r="C34" s="100">
        <f>Määräytymistekijät!C20</f>
        <v>192150</v>
      </c>
      <c r="D34" s="103">
        <f>Määräytymistekijät!F46</f>
        <v>1.0889954452824337</v>
      </c>
      <c r="E34" s="104">
        <f>Määräytymistekijät!M46</f>
        <v>1.2688753397991648</v>
      </c>
      <c r="F34" s="94"/>
      <c r="G34" s="94"/>
    </row>
    <row r="35" spans="1:7" x14ac:dyDescent="0.25">
      <c r="A35" s="94">
        <v>15</v>
      </c>
      <c r="B35" s="102" t="s">
        <v>114</v>
      </c>
      <c r="C35" s="100">
        <f>Määräytymistekijät!C21</f>
        <v>175816</v>
      </c>
      <c r="D35" s="103">
        <f>Määräytymistekijät!F47</f>
        <v>1.4785037295384105</v>
      </c>
      <c r="E35" s="104">
        <f>Määräytymistekijät!M47</f>
        <v>0.98087822131811242</v>
      </c>
      <c r="F35" s="94"/>
      <c r="G35" s="94"/>
    </row>
    <row r="36" spans="1:7" x14ac:dyDescent="0.25">
      <c r="A36" s="94">
        <v>16</v>
      </c>
      <c r="B36" s="102" t="s">
        <v>113</v>
      </c>
      <c r="C36" s="100">
        <f>Määräytymistekijät!C22</f>
        <v>67988</v>
      </c>
      <c r="D36" s="103">
        <f>Määräytymistekijät!F48</f>
        <v>1.3855983183584515</v>
      </c>
      <c r="E36" s="104">
        <f>Määräytymistekijät!M48</f>
        <v>1.137068361795311</v>
      </c>
      <c r="F36" s="94"/>
      <c r="G36" s="94"/>
    </row>
    <row r="37" spans="1:7" x14ac:dyDescent="0.25">
      <c r="A37" s="94">
        <v>17</v>
      </c>
      <c r="B37" s="102" t="s">
        <v>112</v>
      </c>
      <c r="C37" s="100">
        <f>Määräytymistekijät!C23</f>
        <v>413830</v>
      </c>
      <c r="D37" s="103">
        <f>Määräytymistekijät!F49</f>
        <v>1.6150251453953455</v>
      </c>
      <c r="E37" s="104">
        <f>Määräytymistekijät!M49</f>
        <v>1.0166698918653103</v>
      </c>
      <c r="F37" s="94"/>
      <c r="G37" s="94"/>
    </row>
    <row r="38" spans="1:7" x14ac:dyDescent="0.25">
      <c r="A38" s="94">
        <v>18</v>
      </c>
      <c r="B38" s="102" t="s">
        <v>111</v>
      </c>
      <c r="C38" s="100">
        <f>Määräytymistekijät!C24</f>
        <v>71664</v>
      </c>
      <c r="D38" s="103">
        <f>Määräytymistekijät!F50</f>
        <v>4.6144659477259227</v>
      </c>
      <c r="E38" s="104">
        <f>Määräytymistekijät!M50</f>
        <v>1.5558786311629675</v>
      </c>
      <c r="F38" s="94"/>
      <c r="G38" s="94"/>
    </row>
    <row r="39" spans="1:7" x14ac:dyDescent="0.25">
      <c r="A39" s="94">
        <v>19</v>
      </c>
      <c r="B39" s="102" t="s">
        <v>110</v>
      </c>
      <c r="C39" s="100">
        <f>Määräytymistekijät!C25</f>
        <v>176665</v>
      </c>
      <c r="D39" s="103">
        <f>Määräytymistekijät!F51</f>
        <v>8.2811704696793313</v>
      </c>
      <c r="E39" s="104">
        <f>Määräytymistekijät!M51</f>
        <v>1.3296032470750658</v>
      </c>
      <c r="F39" s="94"/>
      <c r="G39" s="94"/>
    </row>
    <row r="40" spans="1:7" x14ac:dyDescent="0.25">
      <c r="A40" s="102"/>
      <c r="B40" s="102" t="s">
        <v>109</v>
      </c>
      <c r="C40" s="100">
        <f>Määräytymistekijät!C26</f>
        <v>5503664</v>
      </c>
      <c r="D40" s="103">
        <f>Määräytymistekijät!F52</f>
        <v>1</v>
      </c>
      <c r="E40" s="104">
        <f>Määräytymistekijät!M52</f>
        <v>1</v>
      </c>
      <c r="F40" s="94"/>
      <c r="G40" s="94"/>
    </row>
    <row r="41" spans="1:7" x14ac:dyDescent="0.25">
      <c r="A41" s="94"/>
      <c r="B41" s="94"/>
      <c r="C41" s="94"/>
      <c r="D41" s="94"/>
      <c r="E41" s="94"/>
      <c r="F41" s="94"/>
      <c r="G41" s="94"/>
    </row>
    <row r="42" spans="1:7" s="105" customFormat="1" x14ac:dyDescent="0.25">
      <c r="A42" s="101" t="s">
        <v>505</v>
      </c>
      <c r="B42" s="101"/>
      <c r="C42" s="101"/>
      <c r="D42" s="101"/>
      <c r="E42" s="101"/>
      <c r="F42" s="101"/>
      <c r="G42" s="101"/>
    </row>
    <row r="43" spans="1:7" s="105" customFormat="1" x14ac:dyDescent="0.25">
      <c r="A43" s="323" t="s">
        <v>469</v>
      </c>
      <c r="B43" s="323" t="s">
        <v>134</v>
      </c>
      <c r="C43" s="323" t="s">
        <v>431</v>
      </c>
      <c r="D43" s="323" t="s">
        <v>429</v>
      </c>
      <c r="E43" s="323" t="s">
        <v>590</v>
      </c>
      <c r="F43" s="323" t="s">
        <v>504</v>
      </c>
      <c r="G43" s="323" t="s">
        <v>502</v>
      </c>
    </row>
    <row r="44" spans="1:7" x14ac:dyDescent="0.25">
      <c r="A44" s="94">
        <v>31</v>
      </c>
      <c r="B44" s="102" t="s">
        <v>131</v>
      </c>
      <c r="C44" s="100">
        <f>C18*$B$14</f>
        <v>37649883.504152879</v>
      </c>
      <c r="D44" s="100">
        <f>D18*$C$14*C18</f>
        <v>45977.297877114332</v>
      </c>
      <c r="E44" s="100">
        <f>E18*$D$14*C18</f>
        <v>6960618.2333873585</v>
      </c>
      <c r="F44" s="106">
        <f>SUM(C44:E44)</f>
        <v>44656479.035417356</v>
      </c>
      <c r="G44" s="106">
        <f>F44/C18</f>
        <v>67.978565175999137</v>
      </c>
    </row>
    <row r="45" spans="1:7" x14ac:dyDescent="0.25">
      <c r="A45" s="94">
        <v>32</v>
      </c>
      <c r="B45" s="102" t="s">
        <v>130</v>
      </c>
      <c r="C45" s="100">
        <f t="shared" ref="C45:C65" si="0">C19*$B$14</f>
        <v>15722947.148808507</v>
      </c>
      <c r="D45" s="100">
        <f t="shared" ref="D45:D65" si="1">D19*$C$14*C19</f>
        <v>17423.665995416755</v>
      </c>
      <c r="E45" s="100">
        <f t="shared" ref="E45:E65" si="2">E19*$D$14*C19</f>
        <v>6095456.6450567264</v>
      </c>
      <c r="F45" s="106">
        <f t="shared" ref="F45:F65" si="3">SUM(C45:E45)</f>
        <v>21835827.459860653</v>
      </c>
      <c r="G45" s="106">
        <f t="shared" ref="G45:G65" si="4">F45/C19</f>
        <v>79.595195161628993</v>
      </c>
    </row>
    <row r="46" spans="1:7" x14ac:dyDescent="0.25">
      <c r="A46" s="94">
        <v>33</v>
      </c>
      <c r="B46" s="102" t="s">
        <v>129</v>
      </c>
      <c r="C46" s="100">
        <f t="shared" si="0"/>
        <v>27156952.901176386</v>
      </c>
      <c r="D46" s="100">
        <f t="shared" si="1"/>
        <v>504930.95179231034</v>
      </c>
      <c r="E46" s="100">
        <f t="shared" si="2"/>
        <v>10460590.113452189</v>
      </c>
      <c r="F46" s="106">
        <f t="shared" si="3"/>
        <v>38122473.966420889</v>
      </c>
      <c r="G46" s="106">
        <f t="shared" si="4"/>
        <v>80.454657428110224</v>
      </c>
    </row>
    <row r="47" spans="1:7" x14ac:dyDescent="0.25">
      <c r="A47" s="94">
        <v>34</v>
      </c>
      <c r="B47" s="102" t="s">
        <v>128</v>
      </c>
      <c r="C47" s="100">
        <f t="shared" si="0"/>
        <v>5631205.7081791339</v>
      </c>
      <c r="D47" s="100">
        <f t="shared" si="1"/>
        <v>353405.97684500332</v>
      </c>
      <c r="E47" s="100">
        <f t="shared" si="2"/>
        <v>2320206.0777957863</v>
      </c>
      <c r="F47" s="106">
        <f t="shared" si="3"/>
        <v>8304817.7628199235</v>
      </c>
      <c r="G47" s="106">
        <f t="shared" si="4"/>
        <v>84.523966075884175</v>
      </c>
    </row>
    <row r="48" spans="1:7" x14ac:dyDescent="0.25">
      <c r="A48" s="94">
        <v>35</v>
      </c>
      <c r="B48" s="102" t="s">
        <v>127</v>
      </c>
      <c r="C48" s="100">
        <f t="shared" si="0"/>
        <v>11424147.961521637</v>
      </c>
      <c r="D48" s="100">
        <f t="shared" si="1"/>
        <v>110247.0674008147</v>
      </c>
      <c r="E48" s="100">
        <f t="shared" si="2"/>
        <v>5308946.1102106981</v>
      </c>
      <c r="F48" s="106">
        <f t="shared" si="3"/>
        <v>16843341.139133148</v>
      </c>
      <c r="G48" s="106">
        <f t="shared" si="4"/>
        <v>84.499779958526801</v>
      </c>
    </row>
    <row r="49" spans="1:28" x14ac:dyDescent="0.25">
      <c r="A49" s="94">
        <v>2</v>
      </c>
      <c r="B49" s="102" t="s">
        <v>126</v>
      </c>
      <c r="C49" s="100">
        <f t="shared" si="0"/>
        <v>27590523.760198668</v>
      </c>
      <c r="D49" s="100">
        <f t="shared" si="1"/>
        <v>1319767.8353522562</v>
      </c>
      <c r="E49" s="100">
        <f t="shared" si="2"/>
        <v>12505517.504051866</v>
      </c>
      <c r="F49" s="106">
        <f t="shared" si="3"/>
        <v>41415809.099602789</v>
      </c>
      <c r="G49" s="106">
        <f t="shared" si="4"/>
        <v>86.031472798471938</v>
      </c>
    </row>
    <row r="50" spans="1:28" x14ac:dyDescent="0.25">
      <c r="A50" s="94">
        <v>4</v>
      </c>
      <c r="B50" s="102" t="s">
        <v>125</v>
      </c>
      <c r="C50" s="100">
        <f t="shared" si="0"/>
        <v>12346080.656595318</v>
      </c>
      <c r="D50" s="100">
        <f t="shared" si="1"/>
        <v>738528.50081952603</v>
      </c>
      <c r="E50" s="100">
        <f t="shared" si="2"/>
        <v>8061732.9821718009</v>
      </c>
      <c r="F50" s="106">
        <f t="shared" si="3"/>
        <v>21146342.139586646</v>
      </c>
      <c r="G50" s="106">
        <f t="shared" si="4"/>
        <v>98.165141584592817</v>
      </c>
    </row>
    <row r="51" spans="1:28" x14ac:dyDescent="0.25">
      <c r="A51" s="94">
        <v>5</v>
      </c>
      <c r="B51" s="102" t="s">
        <v>124</v>
      </c>
      <c r="C51" s="100">
        <f t="shared" si="0"/>
        <v>9776234.8208121005</v>
      </c>
      <c r="D51" s="100">
        <f t="shared" si="1"/>
        <v>366776.07327860361</v>
      </c>
      <c r="E51" s="100">
        <f t="shared" si="2"/>
        <v>5466248.2171799047</v>
      </c>
      <c r="F51" s="106">
        <f t="shared" si="3"/>
        <v>15609259.11127061</v>
      </c>
      <c r="G51" s="106">
        <f t="shared" si="4"/>
        <v>91.508580355326984</v>
      </c>
    </row>
    <row r="52" spans="1:28" x14ac:dyDescent="0.25">
      <c r="A52" s="94">
        <v>6</v>
      </c>
      <c r="B52" s="102" t="s">
        <v>123</v>
      </c>
      <c r="C52" s="100">
        <f t="shared" si="0"/>
        <v>29966079.415930919</v>
      </c>
      <c r="D52" s="100">
        <f t="shared" si="1"/>
        <v>999241.52562835277</v>
      </c>
      <c r="E52" s="100">
        <f t="shared" si="2"/>
        <v>13999887.520259319</v>
      </c>
      <c r="F52" s="106">
        <f t="shared" si="3"/>
        <v>44965208.461818591</v>
      </c>
      <c r="G52" s="106">
        <f t="shared" si="4"/>
        <v>85.999878477692718</v>
      </c>
    </row>
    <row r="53" spans="1:28" x14ac:dyDescent="0.25">
      <c r="A53" s="94">
        <v>7</v>
      </c>
      <c r="B53" s="102" t="s">
        <v>122</v>
      </c>
      <c r="C53" s="100">
        <f t="shared" si="0"/>
        <v>11793299.303618465</v>
      </c>
      <c r="D53" s="100">
        <f t="shared" si="1"/>
        <v>446082.22108019586</v>
      </c>
      <c r="E53" s="100">
        <f t="shared" si="2"/>
        <v>6331409.8055105358</v>
      </c>
      <c r="F53" s="106">
        <f t="shared" si="3"/>
        <v>18570791.330209196</v>
      </c>
      <c r="G53" s="106">
        <f t="shared" si="4"/>
        <v>90.249798709289436</v>
      </c>
    </row>
    <row r="54" spans="1:28" x14ac:dyDescent="0.25">
      <c r="A54" s="94">
        <v>8</v>
      </c>
      <c r="B54" s="102" t="s">
        <v>121</v>
      </c>
      <c r="C54" s="100">
        <f t="shared" si="0"/>
        <v>9331201.4142941888</v>
      </c>
      <c r="D54" s="100">
        <f t="shared" si="1"/>
        <v>434949.68476299429</v>
      </c>
      <c r="E54" s="100">
        <f t="shared" si="2"/>
        <v>6213433.2252836311</v>
      </c>
      <c r="F54" s="106">
        <f t="shared" si="3"/>
        <v>15979584.324340813</v>
      </c>
      <c r="G54" s="106">
        <f t="shared" si="4"/>
        <v>98.147460410416997</v>
      </c>
    </row>
    <row r="55" spans="1:28" x14ac:dyDescent="0.25">
      <c r="A55" s="94">
        <v>9</v>
      </c>
      <c r="B55" s="102" t="s">
        <v>120</v>
      </c>
      <c r="C55" s="100">
        <f t="shared" si="0"/>
        <v>7274189.9534655474</v>
      </c>
      <c r="D55" s="100">
        <f t="shared" si="1"/>
        <v>441608.3860628581</v>
      </c>
      <c r="E55" s="100">
        <f t="shared" si="2"/>
        <v>4797714.2625607783</v>
      </c>
      <c r="F55" s="106">
        <f t="shared" si="3"/>
        <v>12513512.602089183</v>
      </c>
      <c r="G55" s="106">
        <f t="shared" si="4"/>
        <v>98.592924749168247</v>
      </c>
    </row>
    <row r="56" spans="1:28" x14ac:dyDescent="0.25">
      <c r="A56" s="94">
        <v>10</v>
      </c>
      <c r="B56" s="102" t="s">
        <v>119</v>
      </c>
      <c r="C56" s="100">
        <f t="shared" si="0"/>
        <v>7605514.8888267903</v>
      </c>
      <c r="D56" s="100">
        <f t="shared" si="1"/>
        <v>1098797.5282225825</v>
      </c>
      <c r="E56" s="100">
        <f t="shared" si="2"/>
        <v>4404458.9951377641</v>
      </c>
      <c r="F56" s="106">
        <f t="shared" si="3"/>
        <v>13108771.412187137</v>
      </c>
      <c r="G56" s="106">
        <f t="shared" si="4"/>
        <v>98.783525585048736</v>
      </c>
    </row>
    <row r="57" spans="1:28" x14ac:dyDescent="0.25">
      <c r="A57" s="94">
        <v>11</v>
      </c>
      <c r="B57" s="102" t="s">
        <v>118</v>
      </c>
      <c r="C57" s="100">
        <f t="shared" si="0"/>
        <v>14228746.770015396</v>
      </c>
      <c r="D57" s="100">
        <f t="shared" si="1"/>
        <v>1354484.7179738684</v>
      </c>
      <c r="E57" s="100">
        <f t="shared" si="2"/>
        <v>7235896.9205834689</v>
      </c>
      <c r="F57" s="106">
        <f t="shared" si="3"/>
        <v>22819128.408572733</v>
      </c>
      <c r="G57" s="106">
        <f t="shared" si="4"/>
        <v>91.914399567287916</v>
      </c>
    </row>
    <row r="58" spans="1:28" x14ac:dyDescent="0.25">
      <c r="A58" s="94">
        <v>12</v>
      </c>
      <c r="B58" s="102" t="s">
        <v>117</v>
      </c>
      <c r="C58" s="100">
        <f t="shared" si="0"/>
        <v>9372753.1489658542</v>
      </c>
      <c r="D58" s="100">
        <f t="shared" si="1"/>
        <v>1471778.6217435608</v>
      </c>
      <c r="E58" s="100">
        <f t="shared" si="2"/>
        <v>5072992.9497568877</v>
      </c>
      <c r="F58" s="106">
        <f t="shared" si="3"/>
        <v>15917524.720466301</v>
      </c>
      <c r="G58" s="106">
        <f t="shared" si="4"/>
        <v>97.332864859122409</v>
      </c>
    </row>
    <row r="59" spans="1:28" x14ac:dyDescent="0.25">
      <c r="A59" s="94">
        <v>13</v>
      </c>
      <c r="B59" s="102" t="s">
        <v>116</v>
      </c>
      <c r="C59" s="100">
        <f t="shared" si="0"/>
        <v>15624426.55308355</v>
      </c>
      <c r="D59" s="100">
        <f t="shared" si="1"/>
        <v>1221725.1739625409</v>
      </c>
      <c r="E59" s="100">
        <f t="shared" si="2"/>
        <v>6999943.7601296613</v>
      </c>
      <c r="F59" s="106">
        <f t="shared" si="3"/>
        <v>23846095.487175751</v>
      </c>
      <c r="G59" s="106">
        <f t="shared" si="4"/>
        <v>87.471050914564216</v>
      </c>
      <c r="X59" s="94"/>
      <c r="Y59" s="94"/>
      <c r="Z59" s="94"/>
      <c r="AA59" s="94"/>
      <c r="AB59" s="94"/>
    </row>
    <row r="60" spans="1:28" x14ac:dyDescent="0.25">
      <c r="A60" s="94">
        <v>14</v>
      </c>
      <c r="B60" s="102" t="s">
        <v>132</v>
      </c>
      <c r="C60" s="100">
        <f t="shared" si="0"/>
        <v>11012642.506428447</v>
      </c>
      <c r="D60" s="100">
        <f t="shared" si="1"/>
        <v>922516.73307879257</v>
      </c>
      <c r="E60" s="100">
        <f t="shared" si="2"/>
        <v>6449386.3857374396</v>
      </c>
      <c r="F60" s="106">
        <f t="shared" si="3"/>
        <v>18384545.625244677</v>
      </c>
      <c r="G60" s="106">
        <f t="shared" si="4"/>
        <v>95.678093287768291</v>
      </c>
      <c r="H60" s="107"/>
      <c r="X60" s="94"/>
      <c r="Y60" s="94"/>
      <c r="Z60" s="94"/>
      <c r="AA60" s="94"/>
      <c r="AB60" s="94"/>
    </row>
    <row r="61" spans="1:28" x14ac:dyDescent="0.25">
      <c r="A61" s="94">
        <v>15</v>
      </c>
      <c r="B61" s="102" t="s">
        <v>114</v>
      </c>
      <c r="C61" s="100">
        <f t="shared" si="0"/>
        <v>10076496.252460182</v>
      </c>
      <c r="D61" s="100">
        <f t="shared" si="1"/>
        <v>1146010.5607647842</v>
      </c>
      <c r="E61" s="100">
        <f t="shared" si="2"/>
        <v>4561761.1021069689</v>
      </c>
      <c r="F61" s="106">
        <f t="shared" si="3"/>
        <v>15784267.915331934</v>
      </c>
      <c r="G61" s="106">
        <f t="shared" si="4"/>
        <v>89.777198408176346</v>
      </c>
      <c r="H61" s="38"/>
      <c r="S61" s="94"/>
      <c r="T61" s="94"/>
      <c r="U61" s="94"/>
      <c r="V61" s="94"/>
      <c r="W61" s="94"/>
      <c r="X61" s="94"/>
      <c r="Y61" s="94"/>
      <c r="Z61" s="94"/>
      <c r="AA61" s="94"/>
      <c r="AB61" s="94"/>
    </row>
    <row r="62" spans="1:28" x14ac:dyDescent="0.25">
      <c r="A62" s="94">
        <v>16</v>
      </c>
      <c r="B62" s="102" t="s">
        <v>113</v>
      </c>
      <c r="C62" s="100">
        <f t="shared" si="0"/>
        <v>3896578.3956651432</v>
      </c>
      <c r="D62" s="100">
        <f t="shared" si="1"/>
        <v>415314.80556811503</v>
      </c>
      <c r="E62" s="100">
        <f t="shared" si="2"/>
        <v>2044927.3905996762</v>
      </c>
      <c r="F62" s="106">
        <f t="shared" si="3"/>
        <v>6356820.5918329349</v>
      </c>
      <c r="G62" s="106">
        <f t="shared" si="4"/>
        <v>93.499155613239608</v>
      </c>
      <c r="H62" s="107"/>
      <c r="S62" s="94"/>
      <c r="T62" s="94"/>
      <c r="U62" s="94"/>
      <c r="V62" s="94"/>
      <c r="W62" s="94"/>
      <c r="X62" s="94"/>
      <c r="Y62" s="94"/>
      <c r="Z62" s="94"/>
      <c r="AA62" s="94"/>
      <c r="AB62" s="94"/>
    </row>
    <row r="63" spans="1:28" x14ac:dyDescent="0.25">
      <c r="A63" s="94">
        <v>17</v>
      </c>
      <c r="B63" s="102" t="s">
        <v>112</v>
      </c>
      <c r="C63" s="100">
        <f t="shared" si="0"/>
        <v>23717730.150586959</v>
      </c>
      <c r="D63" s="100">
        <f t="shared" si="1"/>
        <v>2946517.7372999438</v>
      </c>
      <c r="E63" s="100">
        <f t="shared" si="2"/>
        <v>11129124.068071315</v>
      </c>
      <c r="F63" s="106">
        <f t="shared" si="3"/>
        <v>37793371.955958217</v>
      </c>
      <c r="G63" s="106">
        <f t="shared" si="4"/>
        <v>91.325839006254299</v>
      </c>
      <c r="H63" s="108"/>
      <c r="S63" s="94"/>
      <c r="T63" s="94"/>
      <c r="U63" s="94"/>
      <c r="V63" s="94"/>
      <c r="W63" s="94"/>
      <c r="X63" s="94"/>
      <c r="Y63" s="94"/>
      <c r="Z63" s="94"/>
      <c r="AA63" s="94"/>
      <c r="AB63" s="94"/>
    </row>
    <row r="64" spans="1:28" x14ac:dyDescent="0.25">
      <c r="A64" s="94">
        <v>18</v>
      </c>
      <c r="B64" s="102" t="s">
        <v>111</v>
      </c>
      <c r="C64" s="100">
        <f t="shared" si="0"/>
        <v>4107260.0186348595</v>
      </c>
      <c r="D64" s="100">
        <f t="shared" si="1"/>
        <v>1457908.5764958996</v>
      </c>
      <c r="E64" s="100">
        <f t="shared" si="2"/>
        <v>2949414.5056726104</v>
      </c>
      <c r="F64" s="106">
        <f t="shared" si="3"/>
        <v>8514583.1008033697</v>
      </c>
      <c r="G64" s="106">
        <f t="shared" si="4"/>
        <v>118.81255722264135</v>
      </c>
      <c r="S64" s="94"/>
      <c r="T64" s="94"/>
      <c r="U64" s="94"/>
      <c r="V64" s="94"/>
      <c r="W64" s="94"/>
      <c r="X64" s="94"/>
      <c r="Y64" s="94"/>
      <c r="Z64" s="94"/>
      <c r="AA64" s="94"/>
      <c r="AB64" s="94"/>
    </row>
    <row r="65" spans="1:28" x14ac:dyDescent="0.25">
      <c r="A65" s="94">
        <v>19</v>
      </c>
      <c r="B65" s="102" t="s">
        <v>110</v>
      </c>
      <c r="C65" s="100">
        <f t="shared" si="0"/>
        <v>10125154.76657914</v>
      </c>
      <c r="D65" s="100">
        <f t="shared" si="1"/>
        <v>6449856.3579944689</v>
      </c>
      <c r="E65" s="100">
        <f t="shared" si="2"/>
        <v>6213433.2252836321</v>
      </c>
      <c r="F65" s="106">
        <f t="shared" si="3"/>
        <v>22788444.349857241</v>
      </c>
      <c r="G65" s="106">
        <f t="shared" si="4"/>
        <v>128.99241134269516</v>
      </c>
      <c r="S65" s="94"/>
      <c r="T65" s="94"/>
      <c r="U65" s="94"/>
      <c r="V65" s="94"/>
      <c r="W65" s="94"/>
      <c r="X65" s="94"/>
      <c r="Y65" s="94"/>
      <c r="Z65" s="94"/>
      <c r="AA65" s="94"/>
      <c r="AB65" s="94"/>
    </row>
    <row r="66" spans="1:28" x14ac:dyDescent="0.25">
      <c r="A66" s="94"/>
      <c r="B66" s="102" t="s">
        <v>109</v>
      </c>
      <c r="C66" s="106">
        <f>SUM(C44:C65)</f>
        <v>315430050.00000006</v>
      </c>
      <c r="D66" s="106">
        <f>SUM(D44:D65)</f>
        <v>24263850</v>
      </c>
      <c r="E66" s="106">
        <f>SUM(E44:E65)</f>
        <v>145583100.00000003</v>
      </c>
      <c r="F66" s="106">
        <f>SUM(C66:E66)</f>
        <v>485277000.00000012</v>
      </c>
      <c r="G66" s="109">
        <f>F66/C40</f>
        <v>88.173442274092338</v>
      </c>
      <c r="H66" s="110"/>
      <c r="I66" s="110"/>
      <c r="J66" s="110"/>
      <c r="K66" s="110"/>
      <c r="L66" s="110"/>
      <c r="M66" s="111"/>
      <c r="N66" s="110"/>
      <c r="S66" s="94"/>
      <c r="T66" s="94"/>
      <c r="U66" s="94"/>
      <c r="V66" s="94"/>
      <c r="W66" s="94"/>
      <c r="X66" s="94"/>
      <c r="Y66" s="94"/>
      <c r="Z66" s="94"/>
      <c r="AA66" s="94"/>
      <c r="AB66" s="94"/>
    </row>
    <row r="67" spans="1:28" x14ac:dyDescent="0.25">
      <c r="A67" s="94"/>
      <c r="B67" s="87" t="s">
        <v>523</v>
      </c>
      <c r="C67" s="460">
        <f>C66/$F$66</f>
        <v>0.64999999999999991</v>
      </c>
      <c r="D67" s="460">
        <f t="shared" ref="D67:F67" si="5">D66/$F$66</f>
        <v>4.9999999999999989E-2</v>
      </c>
      <c r="E67" s="460">
        <f t="shared" si="5"/>
        <v>0.3</v>
      </c>
      <c r="F67" s="460">
        <f t="shared" si="5"/>
        <v>1</v>
      </c>
      <c r="G67" s="109"/>
      <c r="H67" s="110"/>
      <c r="I67" s="110"/>
      <c r="J67" s="110"/>
      <c r="K67" s="110"/>
      <c r="L67" s="110"/>
      <c r="M67" s="111"/>
      <c r="N67" s="110"/>
      <c r="S67" s="94"/>
      <c r="T67" s="94"/>
      <c r="U67" s="94"/>
      <c r="V67" s="94"/>
      <c r="W67" s="94"/>
      <c r="X67" s="94"/>
      <c r="Y67" s="94"/>
      <c r="Z67" s="94"/>
      <c r="AA67" s="94"/>
      <c r="AB67" s="94"/>
    </row>
    <row r="68" spans="1:28" x14ac:dyDescent="0.25">
      <c r="A68" s="40"/>
      <c r="B68" s="25"/>
      <c r="C68" s="462">
        <f>C66/Taulukko25[Kunnilta siirtyvät pelastustoimen kustannukset yhteensä:]</f>
        <v>0.65</v>
      </c>
      <c r="D68" s="462">
        <f>D66/Taulukko25[Kunnilta siirtyvät pelastustoimen kustannukset yhteensä:]</f>
        <v>4.9999999999999996E-2</v>
      </c>
      <c r="E68" s="462">
        <f>E66/Taulukko25[Kunnilta siirtyvät pelastustoimen kustannukset yhteensä:]</f>
        <v>0.30000000000000004</v>
      </c>
      <c r="F68" s="461"/>
      <c r="G68" s="461"/>
      <c r="H68" s="110"/>
      <c r="I68" s="110"/>
      <c r="J68" s="110"/>
      <c r="K68" s="110"/>
      <c r="L68" s="110"/>
      <c r="M68" s="111"/>
      <c r="N68" s="110"/>
      <c r="S68" s="94"/>
      <c r="T68" s="94"/>
      <c r="U68" s="94"/>
      <c r="V68" s="94"/>
      <c r="W68" s="94"/>
      <c r="X68" s="94"/>
      <c r="Y68" s="94"/>
      <c r="Z68" s="94"/>
      <c r="AA68" s="94"/>
      <c r="AB68" s="94"/>
    </row>
    <row r="69" spans="1:28" x14ac:dyDescent="0.25">
      <c r="A69" s="101" t="s">
        <v>506</v>
      </c>
      <c r="B69" s="101"/>
      <c r="C69" s="101"/>
      <c r="D69" s="101"/>
      <c r="E69" s="101"/>
      <c r="F69" s="101"/>
      <c r="G69" s="101"/>
      <c r="H69" s="110"/>
      <c r="I69" s="110"/>
      <c r="J69" s="110"/>
      <c r="K69" s="110"/>
      <c r="L69" s="110"/>
      <c r="M69" s="111"/>
      <c r="N69" s="110"/>
      <c r="S69" s="94"/>
      <c r="T69" s="94"/>
      <c r="U69" s="94"/>
      <c r="V69" s="94"/>
      <c r="W69" s="94"/>
      <c r="X69" s="94"/>
      <c r="Y69" s="94"/>
      <c r="Z69" s="94"/>
      <c r="AA69" s="94"/>
      <c r="AB69" s="94"/>
    </row>
    <row r="70" spans="1:28" x14ac:dyDescent="0.25">
      <c r="A70" s="323" t="s">
        <v>469</v>
      </c>
      <c r="B70" s="323" t="s">
        <v>134</v>
      </c>
      <c r="C70" s="323" t="s">
        <v>431</v>
      </c>
      <c r="D70" s="323" t="s">
        <v>429</v>
      </c>
      <c r="E70" s="323" t="s">
        <v>590</v>
      </c>
      <c r="F70" s="323" t="s">
        <v>502</v>
      </c>
      <c r="G70" s="110"/>
      <c r="H70" s="110"/>
      <c r="I70" s="110"/>
      <c r="J70" s="110"/>
      <c r="K70" s="110"/>
      <c r="L70" s="111"/>
      <c r="M70" s="110"/>
      <c r="R70" s="94"/>
      <c r="S70" s="94"/>
      <c r="T70" s="94"/>
      <c r="U70" s="94"/>
      <c r="V70" s="94"/>
      <c r="W70" s="94"/>
      <c r="X70" s="94"/>
      <c r="Y70" s="94"/>
      <c r="Z70" s="94"/>
      <c r="AA70" s="94"/>
    </row>
    <row r="71" spans="1:28" x14ac:dyDescent="0.25">
      <c r="A71" s="102">
        <v>31</v>
      </c>
      <c r="B71" s="102" t="s">
        <v>131</v>
      </c>
      <c r="C71" s="100">
        <f>C44/$C18</f>
        <v>57.312737478160017</v>
      </c>
      <c r="D71" s="100">
        <f t="shared" ref="D71:F71" si="6">D44/$C18</f>
        <v>6.9989188755273601E-2</v>
      </c>
      <c r="E71" s="100">
        <f t="shared" si="6"/>
        <v>10.595838509083844</v>
      </c>
      <c r="F71" s="106">
        <f t="shared" si="6"/>
        <v>67.978565175999137</v>
      </c>
      <c r="G71" s="110"/>
      <c r="H71" s="110"/>
      <c r="I71" s="110"/>
      <c r="J71" s="110"/>
      <c r="K71" s="110"/>
      <c r="L71" s="111"/>
      <c r="M71" s="110"/>
      <c r="R71" s="94"/>
      <c r="S71" s="94"/>
      <c r="T71" s="94"/>
      <c r="U71" s="94"/>
      <c r="V71" s="94"/>
      <c r="W71" s="94"/>
      <c r="X71" s="94"/>
      <c r="Y71" s="94"/>
      <c r="Z71" s="94"/>
      <c r="AA71" s="94"/>
    </row>
    <row r="72" spans="1:28" x14ac:dyDescent="0.25">
      <c r="A72" s="102">
        <v>32</v>
      </c>
      <c r="B72" s="102" t="s">
        <v>130</v>
      </c>
      <c r="C72" s="100">
        <f t="shared" ref="C72:F92" si="7">C45/$C19</f>
        <v>57.312737478160017</v>
      </c>
      <c r="D72" s="100">
        <f t="shared" si="7"/>
        <v>6.3512138382920053E-2</v>
      </c>
      <c r="E72" s="100">
        <f t="shared" si="7"/>
        <v>22.218945545086051</v>
      </c>
      <c r="F72" s="106">
        <f t="shared" si="7"/>
        <v>79.595195161628993</v>
      </c>
      <c r="G72" s="110"/>
      <c r="H72" s="110"/>
      <c r="I72" s="110"/>
      <c r="J72" s="110"/>
      <c r="K72" s="110"/>
      <c r="L72" s="111"/>
      <c r="M72" s="110"/>
      <c r="R72" s="94"/>
      <c r="S72" s="94"/>
      <c r="T72" s="94"/>
      <c r="U72" s="94"/>
      <c r="V72" s="94"/>
      <c r="W72" s="94"/>
      <c r="X72" s="94"/>
      <c r="Y72" s="94"/>
      <c r="Z72" s="94"/>
      <c r="AA72" s="94"/>
    </row>
    <row r="73" spans="1:28" x14ac:dyDescent="0.25">
      <c r="A73" s="102">
        <v>33</v>
      </c>
      <c r="B73" s="102" t="s">
        <v>129</v>
      </c>
      <c r="C73" s="100">
        <f t="shared" si="7"/>
        <v>57.312737478160017</v>
      </c>
      <c r="D73" s="100">
        <f t="shared" si="7"/>
        <v>1.0656193715833477</v>
      </c>
      <c r="E73" s="100">
        <f t="shared" si="7"/>
        <v>22.076300578366844</v>
      </c>
      <c r="F73" s="106">
        <f t="shared" si="7"/>
        <v>80.454657428110224</v>
      </c>
      <c r="G73" s="110"/>
      <c r="H73" s="110"/>
      <c r="I73" s="110"/>
      <c r="J73" s="110"/>
      <c r="K73" s="110"/>
      <c r="L73" s="111"/>
      <c r="M73" s="110"/>
      <c r="R73" s="94"/>
      <c r="S73" s="94"/>
      <c r="T73" s="94"/>
      <c r="U73" s="94"/>
      <c r="V73" s="94"/>
      <c r="W73" s="94"/>
      <c r="X73" s="94"/>
      <c r="Y73" s="94"/>
      <c r="Z73" s="94"/>
      <c r="AA73" s="94"/>
    </row>
    <row r="74" spans="1:28" x14ac:dyDescent="0.25">
      <c r="A74" s="102">
        <v>34</v>
      </c>
      <c r="B74" s="102" t="s">
        <v>128</v>
      </c>
      <c r="C74" s="100">
        <f t="shared" si="7"/>
        <v>57.312737478160017</v>
      </c>
      <c r="D74" s="100">
        <f t="shared" si="7"/>
        <v>3.596860960826056</v>
      </c>
      <c r="E74" s="100">
        <f t="shared" si="7"/>
        <v>23.614367636898105</v>
      </c>
      <c r="F74" s="106">
        <f t="shared" si="7"/>
        <v>84.523966075884175</v>
      </c>
      <c r="G74" s="110"/>
      <c r="H74" s="110"/>
      <c r="I74" s="110"/>
      <c r="J74" s="110"/>
      <c r="K74" s="110"/>
      <c r="L74" s="111"/>
      <c r="M74" s="110"/>
      <c r="R74" s="94"/>
      <c r="S74" s="94"/>
      <c r="T74" s="94"/>
      <c r="U74" s="94"/>
      <c r="V74" s="94"/>
      <c r="W74" s="94"/>
      <c r="X74" s="94"/>
      <c r="Y74" s="94"/>
      <c r="Z74" s="94"/>
      <c r="AA74" s="94"/>
    </row>
    <row r="75" spans="1:28" x14ac:dyDescent="0.25">
      <c r="A75" s="102">
        <v>35</v>
      </c>
      <c r="B75" s="102" t="s">
        <v>127</v>
      </c>
      <c r="C75" s="100">
        <f t="shared" si="7"/>
        <v>57.312737478160017</v>
      </c>
      <c r="D75" s="100">
        <f t="shared" si="7"/>
        <v>0.55308818241516433</v>
      </c>
      <c r="E75" s="100">
        <f t="shared" si="7"/>
        <v>26.633954297951629</v>
      </c>
      <c r="F75" s="106">
        <f t="shared" si="7"/>
        <v>84.499779958526801</v>
      </c>
      <c r="G75" s="110"/>
      <c r="H75" s="110"/>
      <c r="I75" s="110"/>
      <c r="J75" s="110"/>
      <c r="K75" s="110"/>
      <c r="L75" s="111"/>
      <c r="M75" s="110"/>
      <c r="R75" s="94"/>
      <c r="S75" s="94"/>
      <c r="T75" s="94"/>
      <c r="U75" s="94"/>
      <c r="V75" s="94"/>
      <c r="W75" s="94"/>
      <c r="X75" s="94"/>
      <c r="Y75" s="94"/>
      <c r="Z75" s="94"/>
      <c r="AA75" s="94"/>
    </row>
    <row r="76" spans="1:28" x14ac:dyDescent="0.25">
      <c r="A76" s="102">
        <v>2</v>
      </c>
      <c r="B76" s="102" t="s">
        <v>126</v>
      </c>
      <c r="C76" s="100">
        <f t="shared" si="7"/>
        <v>57.312737478160017</v>
      </c>
      <c r="D76" s="100">
        <f t="shared" si="7"/>
        <v>2.7415031384354815</v>
      </c>
      <c r="E76" s="100">
        <f t="shared" si="7"/>
        <v>25.977232181876445</v>
      </c>
      <c r="F76" s="106">
        <f t="shared" si="7"/>
        <v>86.031472798471938</v>
      </c>
      <c r="G76" s="110"/>
      <c r="H76" s="110"/>
      <c r="I76" s="110"/>
      <c r="J76" s="110"/>
      <c r="K76" s="110"/>
      <c r="L76" s="111"/>
      <c r="M76" s="110"/>
      <c r="R76" s="94"/>
      <c r="S76" s="94"/>
      <c r="T76" s="94"/>
      <c r="U76" s="94"/>
      <c r="V76" s="94"/>
      <c r="W76" s="94"/>
      <c r="X76" s="94"/>
      <c r="Y76" s="94"/>
      <c r="Z76" s="94"/>
      <c r="AA76" s="94"/>
    </row>
    <row r="77" spans="1:28" x14ac:dyDescent="0.25">
      <c r="A77" s="102">
        <v>4</v>
      </c>
      <c r="B77" s="102" t="s">
        <v>125</v>
      </c>
      <c r="C77" s="100">
        <f t="shared" si="7"/>
        <v>57.312737478160017</v>
      </c>
      <c r="D77" s="100">
        <f t="shared" si="7"/>
        <v>3.4283827608883559</v>
      </c>
      <c r="E77" s="100">
        <f t="shared" si="7"/>
        <v>37.424021345544439</v>
      </c>
      <c r="F77" s="106">
        <f t="shared" si="7"/>
        <v>98.165141584592817</v>
      </c>
      <c r="G77" s="110"/>
      <c r="H77" s="110"/>
      <c r="I77" s="110"/>
      <c r="J77" s="110"/>
      <c r="K77" s="110"/>
      <c r="L77" s="111"/>
      <c r="M77" s="110"/>
      <c r="R77" s="94"/>
      <c r="S77" s="94"/>
      <c r="T77" s="94"/>
      <c r="U77" s="94"/>
      <c r="V77" s="94"/>
      <c r="W77" s="94"/>
      <c r="X77" s="94"/>
      <c r="Y77" s="94"/>
      <c r="Z77" s="94"/>
      <c r="AA77" s="94"/>
    </row>
    <row r="78" spans="1:28" x14ac:dyDescent="0.25">
      <c r="A78" s="102">
        <v>5</v>
      </c>
      <c r="B78" s="102" t="s">
        <v>124</v>
      </c>
      <c r="C78" s="100">
        <f t="shared" si="7"/>
        <v>57.31273747816001</v>
      </c>
      <c r="D78" s="100">
        <f t="shared" si="7"/>
        <v>2.1502082536250704</v>
      </c>
      <c r="E78" s="100">
        <f t="shared" si="7"/>
        <v>32.045634623541886</v>
      </c>
      <c r="F78" s="106">
        <f t="shared" si="7"/>
        <v>91.508580355326984</v>
      </c>
      <c r="G78" s="110"/>
      <c r="H78" s="110"/>
      <c r="I78" s="110"/>
      <c r="J78" s="110"/>
      <c r="K78" s="110"/>
      <c r="L78" s="111"/>
      <c r="M78" s="110"/>
      <c r="R78" s="94"/>
      <c r="S78" s="94"/>
      <c r="T78" s="94"/>
      <c r="U78" s="94"/>
      <c r="V78" s="94"/>
      <c r="W78" s="94"/>
      <c r="X78" s="94"/>
      <c r="Y78" s="94"/>
      <c r="Z78" s="94"/>
      <c r="AA78" s="94"/>
    </row>
    <row r="79" spans="1:28" x14ac:dyDescent="0.25">
      <c r="A79" s="102">
        <v>6</v>
      </c>
      <c r="B79" s="102" t="s">
        <v>123</v>
      </c>
      <c r="C79" s="100">
        <f t="shared" si="7"/>
        <v>57.312737478160017</v>
      </c>
      <c r="D79" s="100">
        <f t="shared" si="7"/>
        <v>1.9111364700304345</v>
      </c>
      <c r="E79" s="100">
        <f t="shared" si="7"/>
        <v>26.776004529502266</v>
      </c>
      <c r="F79" s="106">
        <f t="shared" si="7"/>
        <v>85.999878477692718</v>
      </c>
      <c r="G79" s="110"/>
      <c r="H79" s="110"/>
      <c r="I79" s="110"/>
      <c r="J79" s="110"/>
      <c r="K79" s="110"/>
      <c r="L79" s="111"/>
      <c r="M79" s="110"/>
      <c r="R79" s="94"/>
      <c r="S79" s="94"/>
      <c r="T79" s="94"/>
      <c r="U79" s="94"/>
      <c r="V79" s="94"/>
      <c r="W79" s="94"/>
      <c r="X79" s="94"/>
      <c r="Y79" s="94"/>
      <c r="Z79" s="94"/>
      <c r="AA79" s="94"/>
    </row>
    <row r="80" spans="1:28" x14ac:dyDescent="0.25">
      <c r="A80" s="102">
        <v>7</v>
      </c>
      <c r="B80" s="102" t="s">
        <v>122</v>
      </c>
      <c r="C80" s="100">
        <f t="shared" si="7"/>
        <v>57.312737478160017</v>
      </c>
      <c r="D80" s="100">
        <f t="shared" si="7"/>
        <v>2.1678575750722691</v>
      </c>
      <c r="E80" s="100">
        <f t="shared" si="7"/>
        <v>30.769203656057151</v>
      </c>
      <c r="F80" s="106">
        <f t="shared" si="7"/>
        <v>90.249798709289436</v>
      </c>
      <c r="G80" s="110"/>
      <c r="H80" s="110"/>
      <c r="I80" s="110"/>
      <c r="J80" s="110"/>
      <c r="K80" s="110"/>
      <c r="L80" s="111"/>
      <c r="M80" s="110"/>
      <c r="R80" s="94"/>
      <c r="S80" s="94"/>
      <c r="T80" s="94"/>
      <c r="U80" s="94"/>
      <c r="V80" s="94"/>
      <c r="W80" s="94"/>
      <c r="X80" s="94"/>
      <c r="Y80" s="94"/>
      <c r="Z80" s="94"/>
      <c r="AA80" s="94"/>
    </row>
    <row r="81" spans="1:29" x14ac:dyDescent="0.25">
      <c r="A81" s="102">
        <v>8</v>
      </c>
      <c r="B81" s="102" t="s">
        <v>121</v>
      </c>
      <c r="C81" s="100">
        <f t="shared" si="7"/>
        <v>57.312737478160017</v>
      </c>
      <c r="D81" s="100">
        <f t="shared" si="7"/>
        <v>2.671484195040871</v>
      </c>
      <c r="E81" s="100">
        <f t="shared" si="7"/>
        <v>38.163238737216119</v>
      </c>
      <c r="F81" s="106">
        <f t="shared" si="7"/>
        <v>98.147460410416997</v>
      </c>
      <c r="G81" s="110"/>
      <c r="H81" s="110"/>
      <c r="I81" s="110"/>
      <c r="J81" s="110"/>
      <c r="K81" s="110"/>
      <c r="L81" s="111"/>
      <c r="M81" s="110"/>
      <c r="R81" s="94"/>
      <c r="S81" s="94"/>
      <c r="T81" s="94"/>
      <c r="U81" s="94"/>
      <c r="V81" s="94"/>
      <c r="W81" s="94"/>
      <c r="X81" s="94"/>
      <c r="Y81" s="94"/>
      <c r="Z81" s="94"/>
      <c r="AA81" s="94"/>
    </row>
    <row r="82" spans="1:29" x14ac:dyDescent="0.25">
      <c r="A82" s="102">
        <v>9</v>
      </c>
      <c r="B82" s="102" t="s">
        <v>120</v>
      </c>
      <c r="C82" s="100">
        <f t="shared" si="7"/>
        <v>57.312737478160017</v>
      </c>
      <c r="D82" s="100">
        <f t="shared" si="7"/>
        <v>3.4793957348496947</v>
      </c>
      <c r="E82" s="100">
        <f t="shared" si="7"/>
        <v>37.800791536158542</v>
      </c>
      <c r="F82" s="106">
        <f t="shared" si="7"/>
        <v>98.592924749168247</v>
      </c>
      <c r="G82" s="110"/>
      <c r="H82" s="110"/>
      <c r="I82" s="110"/>
      <c r="J82" s="110"/>
      <c r="K82" s="110"/>
      <c r="L82" s="111"/>
      <c r="M82" s="110"/>
      <c r="R82" s="94"/>
      <c r="S82" s="94"/>
      <c r="T82" s="94"/>
      <c r="U82" s="94"/>
      <c r="V82" s="94"/>
      <c r="W82" s="94"/>
      <c r="X82" s="94"/>
      <c r="Y82" s="94"/>
      <c r="Z82" s="94"/>
      <c r="AA82" s="94"/>
    </row>
    <row r="83" spans="1:29" x14ac:dyDescent="0.25">
      <c r="A83" s="102">
        <v>10</v>
      </c>
      <c r="B83" s="102" t="s">
        <v>119</v>
      </c>
      <c r="C83" s="100">
        <f t="shared" si="7"/>
        <v>57.312737478160017</v>
      </c>
      <c r="D83" s="100">
        <f t="shared" si="7"/>
        <v>8.280188152571796</v>
      </c>
      <c r="E83" s="100">
        <f t="shared" si="7"/>
        <v>33.190599954316923</v>
      </c>
      <c r="F83" s="106">
        <f t="shared" si="7"/>
        <v>98.783525585048736</v>
      </c>
      <c r="G83" s="110"/>
      <c r="H83" s="110"/>
      <c r="I83" s="110"/>
      <c r="J83" s="110"/>
      <c r="K83" s="110"/>
      <c r="L83" s="111"/>
      <c r="M83" s="110"/>
      <c r="R83" s="94"/>
      <c r="S83" s="94"/>
      <c r="T83" s="94"/>
      <c r="U83" s="94"/>
      <c r="V83" s="94"/>
      <c r="W83" s="94"/>
      <c r="X83" s="94"/>
      <c r="Y83" s="94"/>
      <c r="Z83" s="94"/>
      <c r="AA83" s="94"/>
    </row>
    <row r="84" spans="1:29" x14ac:dyDescent="0.25">
      <c r="A84" s="102">
        <v>11</v>
      </c>
      <c r="B84" s="102" t="s">
        <v>118</v>
      </c>
      <c r="C84" s="100">
        <f t="shared" si="7"/>
        <v>57.312737478160017</v>
      </c>
      <c r="D84" s="100">
        <f t="shared" si="7"/>
        <v>5.4558021387383171</v>
      </c>
      <c r="E84" s="100">
        <f t="shared" si="7"/>
        <v>29.145859950389578</v>
      </c>
      <c r="F84" s="106">
        <f t="shared" si="7"/>
        <v>91.914399567287916</v>
      </c>
      <c r="G84" s="110"/>
      <c r="H84" s="110"/>
      <c r="I84" s="110"/>
      <c r="J84" s="110"/>
      <c r="K84" s="110"/>
      <c r="L84" s="111"/>
      <c r="M84" s="110"/>
      <c r="R84" s="94"/>
      <c r="S84" s="94"/>
      <c r="T84" s="94"/>
      <c r="U84" s="94"/>
      <c r="V84" s="94"/>
      <c r="W84" s="94"/>
      <c r="X84" s="94"/>
      <c r="Y84" s="94"/>
      <c r="Z84" s="94"/>
      <c r="AA84" s="94"/>
    </row>
    <row r="85" spans="1:29" x14ac:dyDescent="0.25">
      <c r="A85" s="102">
        <v>12</v>
      </c>
      <c r="B85" s="102" t="s">
        <v>117</v>
      </c>
      <c r="C85" s="100">
        <f t="shared" si="7"/>
        <v>57.312737478160017</v>
      </c>
      <c r="D85" s="100">
        <f t="shared" si="7"/>
        <v>8.9996674865232986</v>
      </c>
      <c r="E85" s="100">
        <f t="shared" si="7"/>
        <v>31.020459894439103</v>
      </c>
      <c r="F85" s="106">
        <f t="shared" si="7"/>
        <v>97.332864859122409</v>
      </c>
      <c r="G85" s="110"/>
      <c r="H85" s="110"/>
      <c r="I85" s="110"/>
      <c r="J85" s="110"/>
      <c r="K85" s="110"/>
      <c r="L85" s="111"/>
      <c r="M85" s="110"/>
      <c r="R85" s="94"/>
      <c r="S85" s="94"/>
      <c r="T85" s="94"/>
      <c r="U85" s="94"/>
      <c r="V85" s="94"/>
      <c r="W85" s="94"/>
      <c r="X85" s="94"/>
      <c r="Y85" s="94"/>
      <c r="Z85" s="94"/>
      <c r="AA85" s="94"/>
    </row>
    <row r="86" spans="1:29" x14ac:dyDescent="0.25">
      <c r="A86" s="102">
        <v>13</v>
      </c>
      <c r="B86" s="102" t="s">
        <v>116</v>
      </c>
      <c r="C86" s="100">
        <f t="shared" si="7"/>
        <v>57.312737478160017</v>
      </c>
      <c r="D86" s="100">
        <f t="shared" si="7"/>
        <v>4.4814709792952785</v>
      </c>
      <c r="E86" s="100">
        <f t="shared" si="7"/>
        <v>25.676842457108915</v>
      </c>
      <c r="F86" s="106">
        <f t="shared" si="7"/>
        <v>87.471050914564216</v>
      </c>
      <c r="G86" s="110"/>
      <c r="H86" s="110"/>
      <c r="I86" s="110"/>
      <c r="J86" s="110"/>
      <c r="K86" s="110"/>
      <c r="L86" s="111"/>
      <c r="M86" s="110"/>
      <c r="R86" s="94"/>
      <c r="S86" s="94"/>
      <c r="T86" s="94"/>
      <c r="U86" s="94"/>
      <c r="V86" s="94"/>
      <c r="W86" s="94"/>
      <c r="X86" s="94"/>
      <c r="Y86" s="94"/>
      <c r="Z86" s="94"/>
      <c r="AA86" s="94"/>
    </row>
    <row r="87" spans="1:29" x14ac:dyDescent="0.25">
      <c r="A87" s="102">
        <v>14</v>
      </c>
      <c r="B87" s="102" t="s">
        <v>132</v>
      </c>
      <c r="C87" s="100">
        <f t="shared" si="7"/>
        <v>57.312737478160017</v>
      </c>
      <c r="D87" s="100">
        <f t="shared" si="7"/>
        <v>4.801023851568007</v>
      </c>
      <c r="E87" s="100">
        <f t="shared" si="7"/>
        <v>33.564331958040277</v>
      </c>
      <c r="F87" s="106">
        <f t="shared" si="7"/>
        <v>95.678093287768291</v>
      </c>
      <c r="G87" s="113"/>
      <c r="H87" s="113"/>
      <c r="I87" s="110"/>
      <c r="J87" s="113"/>
      <c r="K87" s="113"/>
      <c r="L87" s="113"/>
      <c r="M87" s="113"/>
      <c r="N87" s="40"/>
      <c r="O87" s="114"/>
      <c r="P87" s="40"/>
      <c r="Q87" s="40"/>
      <c r="R87" s="94"/>
      <c r="S87" s="94"/>
      <c r="T87" s="94"/>
      <c r="U87" s="94"/>
      <c r="V87" s="94"/>
      <c r="W87" s="94"/>
      <c r="X87" s="94"/>
      <c r="Y87" s="94"/>
      <c r="Z87" s="94"/>
      <c r="AA87" s="94"/>
    </row>
    <row r="88" spans="1:29" x14ac:dyDescent="0.25">
      <c r="A88" s="102">
        <v>15</v>
      </c>
      <c r="B88" s="102" t="s">
        <v>114</v>
      </c>
      <c r="C88" s="100">
        <f t="shared" si="7"/>
        <v>57.312737478160017</v>
      </c>
      <c r="D88" s="100">
        <f t="shared" si="7"/>
        <v>6.5182381624242627</v>
      </c>
      <c r="E88" s="100">
        <f t="shared" si="7"/>
        <v>25.946222767592079</v>
      </c>
      <c r="F88" s="106">
        <f t="shared" si="7"/>
        <v>89.777198408176346</v>
      </c>
      <c r="G88" s="40"/>
      <c r="H88" s="40"/>
      <c r="I88" s="110"/>
      <c r="J88" s="40"/>
      <c r="K88" s="40"/>
      <c r="L88" s="40"/>
      <c r="M88" s="40"/>
      <c r="N88" s="40"/>
      <c r="O88" s="114"/>
      <c r="P88" s="40"/>
      <c r="Q88" s="40"/>
      <c r="R88" s="94"/>
      <c r="S88" s="94"/>
      <c r="T88" s="94"/>
      <c r="U88" s="94"/>
      <c r="V88" s="94"/>
    </row>
    <row r="89" spans="1:29" x14ac:dyDescent="0.25">
      <c r="A89" s="102">
        <v>16</v>
      </c>
      <c r="B89" s="102" t="s">
        <v>113</v>
      </c>
      <c r="C89" s="100">
        <f t="shared" si="7"/>
        <v>57.312737478160017</v>
      </c>
      <c r="D89" s="100">
        <f t="shared" si="7"/>
        <v>6.1086486669429165</v>
      </c>
      <c r="E89" s="100">
        <f t="shared" si="7"/>
        <v>30.077769468136673</v>
      </c>
      <c r="F89" s="106">
        <f t="shared" si="7"/>
        <v>93.499155613239608</v>
      </c>
      <c r="G89" s="113"/>
      <c r="H89" s="113"/>
      <c r="I89" s="110"/>
      <c r="J89" s="113"/>
      <c r="K89" s="113"/>
      <c r="L89" s="113"/>
      <c r="M89" s="113"/>
      <c r="N89" s="40"/>
      <c r="O89" s="40"/>
      <c r="P89" s="40"/>
      <c r="Q89" s="40"/>
      <c r="R89" s="40"/>
      <c r="S89" s="40"/>
      <c r="T89" s="40"/>
      <c r="U89" s="40"/>
      <c r="V89" s="40"/>
    </row>
    <row r="90" spans="1:29" x14ac:dyDescent="0.25">
      <c r="A90" s="102">
        <v>17</v>
      </c>
      <c r="B90" s="102" t="s">
        <v>112</v>
      </c>
      <c r="C90" s="100">
        <f t="shared" si="7"/>
        <v>57.312737478160017</v>
      </c>
      <c r="D90" s="100">
        <f t="shared" si="7"/>
        <v>7.1201163214362024</v>
      </c>
      <c r="E90" s="100">
        <f t="shared" si="7"/>
        <v>26.892985206658086</v>
      </c>
      <c r="F90" s="106">
        <f t="shared" si="7"/>
        <v>91.325839006254299</v>
      </c>
      <c r="G90" s="113"/>
      <c r="H90" s="113"/>
      <c r="I90" s="110"/>
      <c r="J90" s="113"/>
      <c r="K90" s="113"/>
      <c r="L90" s="113"/>
      <c r="M90" s="113"/>
      <c r="N90" s="40"/>
      <c r="O90" s="40"/>
      <c r="P90" s="40"/>
      <c r="Q90" s="40"/>
      <c r="R90" s="40"/>
      <c r="S90" s="40"/>
      <c r="T90" s="40"/>
      <c r="U90" s="40"/>
      <c r="V90" s="40"/>
    </row>
    <row r="91" spans="1:29" x14ac:dyDescent="0.25">
      <c r="A91" s="102">
        <v>18</v>
      </c>
      <c r="B91" s="102" t="s">
        <v>111</v>
      </c>
      <c r="C91" s="100">
        <f t="shared" si="7"/>
        <v>57.312737478160017</v>
      </c>
      <c r="D91" s="100">
        <f t="shared" si="7"/>
        <v>20.343667343378819</v>
      </c>
      <c r="E91" s="100">
        <f t="shared" si="7"/>
        <v>41.15615240110251</v>
      </c>
      <c r="F91" s="106">
        <f t="shared" si="7"/>
        <v>118.81255722264135</v>
      </c>
      <c r="G91" s="113"/>
      <c r="H91" s="113"/>
      <c r="I91" s="11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</row>
    <row r="92" spans="1:29" x14ac:dyDescent="0.25">
      <c r="A92" s="102">
        <v>19</v>
      </c>
      <c r="B92" s="102" t="s">
        <v>110</v>
      </c>
      <c r="C92" s="100">
        <f t="shared" si="7"/>
        <v>57.312737478160017</v>
      </c>
      <c r="D92" s="100">
        <f t="shared" si="7"/>
        <v>36.508965318509432</v>
      </c>
      <c r="E92" s="100">
        <f t="shared" si="7"/>
        <v>35.170708546025708</v>
      </c>
      <c r="F92" s="106">
        <f t="shared" si="7"/>
        <v>128.99241134269516</v>
      </c>
      <c r="G92" s="40"/>
      <c r="H92" s="40"/>
      <c r="I92" s="11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</row>
    <row r="93" spans="1:29" x14ac:dyDescent="0.25">
      <c r="A93" s="94"/>
      <c r="B93" s="102" t="s">
        <v>109</v>
      </c>
      <c r="C93" s="106">
        <f>C66/$C40</f>
        <v>57.312737478160017</v>
      </c>
      <c r="D93" s="106">
        <f t="shared" ref="D93:F93" si="8">D66/$C40</f>
        <v>4.4086721137046156</v>
      </c>
      <c r="E93" s="106">
        <f t="shared" si="8"/>
        <v>26.452032682227699</v>
      </c>
      <c r="F93" s="106">
        <f t="shared" si="8"/>
        <v>88.173442274092338</v>
      </c>
    </row>
    <row r="94" spans="1:29" x14ac:dyDescent="0.25">
      <c r="A94" s="94"/>
      <c r="B94" s="87" t="s">
        <v>523</v>
      </c>
      <c r="C94" s="112">
        <f>C93/$F$93</f>
        <v>0.65</v>
      </c>
      <c r="D94" s="112">
        <f>D93/$F$93</f>
        <v>4.9999999999999989E-2</v>
      </c>
      <c r="E94" s="112">
        <f>E93/$F$93</f>
        <v>0.3</v>
      </c>
      <c r="F94" s="112">
        <f>F93/$F$93</f>
        <v>1</v>
      </c>
    </row>
    <row r="95" spans="1:29" x14ac:dyDescent="0.25">
      <c r="A95" s="94"/>
      <c r="B95" s="102"/>
      <c r="C95" s="106"/>
      <c r="D95" s="106"/>
      <c r="E95" s="106"/>
      <c r="F95" s="106"/>
      <c r="G95" s="106"/>
    </row>
    <row r="96" spans="1:29" x14ac:dyDescent="0.25">
      <c r="V96" s="94"/>
      <c r="W96" s="94"/>
      <c r="X96" s="94"/>
      <c r="Y96" s="94"/>
      <c r="Z96" s="94"/>
      <c r="AA96" s="94"/>
      <c r="AB96" s="94"/>
      <c r="AC96" s="94"/>
    </row>
    <row r="97" spans="14:29" x14ac:dyDescent="0.25">
      <c r="O97" s="94"/>
      <c r="P97" s="94"/>
      <c r="Q97" s="94"/>
      <c r="R97" s="94"/>
      <c r="S97" s="94"/>
      <c r="V97" s="94"/>
      <c r="W97" s="94"/>
      <c r="X97" s="94"/>
      <c r="Y97" s="94"/>
      <c r="Z97" s="94"/>
      <c r="AA97" s="94"/>
      <c r="AB97" s="94"/>
      <c r="AC97" s="94"/>
    </row>
    <row r="98" spans="14:29" x14ac:dyDescent="0.25">
      <c r="O98" s="94"/>
      <c r="P98" s="94"/>
      <c r="Q98" s="115"/>
      <c r="R98" s="115"/>
      <c r="S98" s="115"/>
      <c r="T98" s="116"/>
      <c r="U98" s="116"/>
      <c r="V98" s="115"/>
      <c r="W98" s="94"/>
      <c r="X98" s="94"/>
      <c r="Y98" s="94"/>
      <c r="Z98" s="94"/>
      <c r="AA98" s="94"/>
      <c r="AB98" s="94"/>
      <c r="AC98" s="94"/>
    </row>
    <row r="99" spans="14:29" x14ac:dyDescent="0.25">
      <c r="O99" s="117"/>
      <c r="P99" s="117"/>
      <c r="Q99" s="94"/>
      <c r="R99" s="94"/>
      <c r="S99" s="94"/>
      <c r="V99" s="94"/>
      <c r="W99" s="118"/>
      <c r="X99" s="118"/>
      <c r="Y99" s="118"/>
      <c r="Z99" s="119"/>
      <c r="AA99" s="120"/>
      <c r="AB99" s="120"/>
      <c r="AC99" s="94"/>
    </row>
    <row r="100" spans="14:29" x14ac:dyDescent="0.25">
      <c r="O100" s="121"/>
      <c r="P100" s="121"/>
      <c r="Q100" s="94"/>
      <c r="R100" s="94"/>
      <c r="S100" s="94"/>
      <c r="V100" s="94"/>
      <c r="W100" s="118"/>
      <c r="X100" s="118"/>
      <c r="Y100" s="118"/>
      <c r="Z100" s="118"/>
      <c r="AA100" s="120"/>
      <c r="AB100" s="94"/>
      <c r="AC100" s="94"/>
    </row>
    <row r="101" spans="14:29" x14ac:dyDescent="0.25">
      <c r="N101" s="38"/>
      <c r="O101" s="94"/>
      <c r="P101" s="94"/>
      <c r="Q101" s="94"/>
      <c r="R101" s="94"/>
      <c r="S101" s="94"/>
      <c r="T101" s="38"/>
      <c r="V101" s="94"/>
      <c r="W101" s="122"/>
      <c r="X101" s="103"/>
      <c r="Y101" s="104"/>
      <c r="Z101" s="104"/>
      <c r="AA101" s="123"/>
      <c r="AB101" s="124"/>
      <c r="AC101" s="94"/>
    </row>
    <row r="102" spans="14:29" x14ac:dyDescent="0.25">
      <c r="N102" s="38"/>
      <c r="O102" s="125"/>
      <c r="P102" s="94"/>
      <c r="Q102" s="94"/>
      <c r="R102" s="94"/>
      <c r="S102" s="94"/>
      <c r="T102" s="38"/>
      <c r="V102" s="94"/>
      <c r="W102" s="122"/>
      <c r="X102" s="103"/>
      <c r="Y102" s="104"/>
      <c r="Z102" s="104"/>
      <c r="AA102" s="123"/>
      <c r="AB102" s="124"/>
      <c r="AC102" s="94"/>
    </row>
    <row r="103" spans="14:29" x14ac:dyDescent="0.25">
      <c r="N103" s="38"/>
      <c r="O103" s="94"/>
      <c r="P103" s="94"/>
      <c r="Q103" s="94"/>
      <c r="R103" s="94"/>
      <c r="S103" s="94"/>
      <c r="T103" s="38"/>
      <c r="V103" s="94"/>
      <c r="W103" s="122"/>
      <c r="X103" s="103"/>
      <c r="Y103" s="104"/>
      <c r="Z103" s="104"/>
      <c r="AA103" s="123"/>
      <c r="AB103" s="124"/>
      <c r="AC103" s="94"/>
    </row>
    <row r="104" spans="14:29" x14ac:dyDescent="0.25">
      <c r="N104" s="38"/>
      <c r="O104" s="94"/>
      <c r="P104" s="94"/>
      <c r="Q104" s="94"/>
      <c r="R104" s="94"/>
      <c r="S104" s="94"/>
      <c r="T104" s="38"/>
      <c r="V104" s="94"/>
      <c r="W104" s="122"/>
      <c r="X104" s="103"/>
      <c r="Y104" s="104"/>
      <c r="Z104" s="104"/>
      <c r="AA104" s="123"/>
      <c r="AB104" s="124"/>
      <c r="AC104" s="94"/>
    </row>
    <row r="105" spans="14:29" x14ac:dyDescent="0.25">
      <c r="N105" s="38"/>
      <c r="O105" s="125"/>
      <c r="P105" s="94"/>
      <c r="Q105" s="94"/>
      <c r="R105" s="94"/>
      <c r="S105" s="94"/>
      <c r="T105" s="38"/>
      <c r="V105" s="94"/>
      <c r="W105" s="122"/>
      <c r="X105" s="103"/>
      <c r="Y105" s="104"/>
      <c r="Z105" s="104"/>
      <c r="AA105" s="123"/>
      <c r="AB105" s="124"/>
      <c r="AC105" s="94"/>
    </row>
    <row r="106" spans="14:29" x14ac:dyDescent="0.25">
      <c r="N106" s="38"/>
      <c r="O106" s="94"/>
      <c r="P106" s="94"/>
      <c r="Q106" s="94"/>
      <c r="R106" s="94"/>
      <c r="S106" s="94"/>
      <c r="T106" s="38"/>
      <c r="V106" s="94"/>
      <c r="W106" s="122"/>
      <c r="X106" s="103"/>
      <c r="Y106" s="104"/>
      <c r="Z106" s="104"/>
      <c r="AA106" s="123"/>
      <c r="AB106" s="124"/>
      <c r="AC106" s="94"/>
    </row>
    <row r="107" spans="14:29" x14ac:dyDescent="0.25">
      <c r="N107" s="38"/>
      <c r="O107" s="94"/>
      <c r="P107" s="94"/>
      <c r="Q107" s="94"/>
      <c r="R107" s="94"/>
      <c r="S107" s="94"/>
      <c r="T107" s="38"/>
      <c r="V107" s="94"/>
      <c r="W107" s="122"/>
      <c r="X107" s="103"/>
      <c r="Y107" s="104"/>
      <c r="Z107" s="104"/>
      <c r="AA107" s="123"/>
      <c r="AB107" s="124"/>
      <c r="AC107" s="94"/>
    </row>
    <row r="108" spans="14:29" x14ac:dyDescent="0.25">
      <c r="N108" s="38"/>
      <c r="O108" s="94"/>
      <c r="P108" s="94"/>
      <c r="Q108" s="94"/>
      <c r="R108" s="94"/>
      <c r="S108" s="94"/>
      <c r="T108" s="38"/>
      <c r="V108" s="94"/>
      <c r="W108" s="122"/>
      <c r="X108" s="103"/>
      <c r="Y108" s="104"/>
      <c r="Z108" s="104"/>
      <c r="AA108" s="123"/>
      <c r="AB108" s="124"/>
      <c r="AC108" s="94"/>
    </row>
    <row r="109" spans="14:29" x14ac:dyDescent="0.25">
      <c r="N109" s="38"/>
      <c r="O109" s="94"/>
      <c r="P109" s="94"/>
      <c r="Q109" s="94"/>
      <c r="R109" s="94"/>
      <c r="S109" s="94"/>
      <c r="T109" s="38"/>
      <c r="V109" s="94"/>
      <c r="W109" s="122"/>
      <c r="X109" s="103"/>
      <c r="Y109" s="104"/>
      <c r="Z109" s="104"/>
      <c r="AA109" s="123"/>
      <c r="AB109" s="124"/>
      <c r="AC109" s="94"/>
    </row>
    <row r="110" spans="14:29" x14ac:dyDescent="0.25">
      <c r="N110" s="38"/>
      <c r="O110" s="94"/>
      <c r="P110" s="94"/>
      <c r="Q110" s="94"/>
      <c r="R110" s="94"/>
      <c r="S110" s="94"/>
      <c r="T110" s="38"/>
      <c r="V110" s="94"/>
      <c r="W110" s="122"/>
      <c r="X110" s="103"/>
      <c r="Y110" s="104"/>
      <c r="Z110" s="104"/>
      <c r="AA110" s="123"/>
      <c r="AB110" s="124"/>
      <c r="AC110" s="94"/>
    </row>
    <row r="111" spans="14:29" x14ac:dyDescent="0.25">
      <c r="N111" s="38"/>
      <c r="O111" s="94"/>
      <c r="P111" s="94"/>
      <c r="Q111" s="94"/>
      <c r="R111" s="94"/>
      <c r="S111" s="94"/>
      <c r="T111" s="38"/>
      <c r="V111" s="94"/>
      <c r="W111" s="122"/>
      <c r="X111" s="103"/>
      <c r="Y111" s="104"/>
      <c r="Z111" s="104"/>
      <c r="AA111" s="123"/>
      <c r="AB111" s="124"/>
      <c r="AC111" s="94"/>
    </row>
    <row r="112" spans="14:29" x14ac:dyDescent="0.25">
      <c r="N112" s="38"/>
      <c r="O112" s="94"/>
      <c r="P112" s="94"/>
      <c r="Q112" s="94"/>
      <c r="R112" s="94"/>
      <c r="S112" s="94"/>
      <c r="T112" s="38"/>
      <c r="V112" s="94"/>
      <c r="W112" s="122"/>
      <c r="X112" s="103"/>
      <c r="Y112" s="104"/>
      <c r="Z112" s="104"/>
      <c r="AA112" s="123"/>
      <c r="AB112" s="124"/>
      <c r="AC112" s="94"/>
    </row>
    <row r="113" spans="13:29" x14ac:dyDescent="0.25">
      <c r="N113" s="38"/>
      <c r="O113" s="94"/>
      <c r="P113" s="94"/>
      <c r="Q113" s="94"/>
      <c r="R113" s="94"/>
      <c r="S113" s="94"/>
      <c r="T113" s="38"/>
      <c r="V113" s="94"/>
      <c r="W113" s="122"/>
      <c r="X113" s="103"/>
      <c r="Y113" s="104"/>
      <c r="Z113" s="104"/>
      <c r="AA113" s="123"/>
      <c r="AB113" s="124"/>
      <c r="AC113" s="94"/>
    </row>
    <row r="114" spans="13:29" x14ac:dyDescent="0.25">
      <c r="N114" s="38"/>
      <c r="O114" s="94"/>
      <c r="P114" s="94"/>
      <c r="Q114" s="94"/>
      <c r="R114" s="94"/>
      <c r="S114" s="94"/>
      <c r="T114" s="38"/>
      <c r="V114" s="94"/>
      <c r="W114" s="122"/>
      <c r="X114" s="103"/>
      <c r="Y114" s="104"/>
      <c r="Z114" s="104"/>
      <c r="AA114" s="123"/>
      <c r="AB114" s="124"/>
      <c r="AC114" s="94"/>
    </row>
    <row r="115" spans="13:29" x14ac:dyDescent="0.25">
      <c r="N115" s="38"/>
      <c r="O115" s="94"/>
      <c r="P115" s="94"/>
      <c r="Q115" s="94"/>
      <c r="R115" s="94"/>
      <c r="S115" s="94"/>
      <c r="T115" s="38"/>
      <c r="V115" s="94"/>
      <c r="W115" s="122"/>
      <c r="X115" s="103"/>
      <c r="Y115" s="104"/>
      <c r="Z115" s="104"/>
      <c r="AA115" s="123"/>
      <c r="AB115" s="124"/>
      <c r="AC115" s="94"/>
    </row>
    <row r="116" spans="13:29" x14ac:dyDescent="0.25">
      <c r="N116" s="38"/>
      <c r="O116" s="94"/>
      <c r="P116" s="94"/>
      <c r="Q116" s="94"/>
      <c r="R116" s="94"/>
      <c r="S116" s="94"/>
      <c r="T116" s="38"/>
      <c r="V116" s="94"/>
      <c r="W116" s="122"/>
      <c r="X116" s="103"/>
      <c r="Y116" s="104"/>
      <c r="Z116" s="104"/>
      <c r="AA116" s="123"/>
      <c r="AB116" s="124"/>
      <c r="AC116" s="94"/>
    </row>
    <row r="117" spans="13:29" x14ac:dyDescent="0.25">
      <c r="N117" s="38"/>
      <c r="O117" s="94"/>
      <c r="P117" s="94"/>
      <c r="Q117" s="94"/>
      <c r="R117" s="94"/>
      <c r="S117" s="94"/>
      <c r="T117" s="38"/>
      <c r="V117" s="94"/>
      <c r="W117" s="122"/>
      <c r="X117" s="103"/>
      <c r="Y117" s="104"/>
      <c r="Z117" s="104"/>
      <c r="AA117" s="123"/>
      <c r="AB117" s="124"/>
      <c r="AC117" s="94"/>
    </row>
    <row r="118" spans="13:29" x14ac:dyDescent="0.25">
      <c r="N118" s="38"/>
      <c r="O118" s="94"/>
      <c r="P118" s="94"/>
      <c r="Q118" s="94"/>
      <c r="R118" s="94"/>
      <c r="S118" s="94"/>
      <c r="T118" s="38"/>
      <c r="V118" s="94"/>
      <c r="W118" s="122"/>
      <c r="X118" s="103"/>
      <c r="Y118" s="104"/>
      <c r="Z118" s="104"/>
      <c r="AA118" s="123"/>
      <c r="AB118" s="124"/>
      <c r="AC118" s="94"/>
    </row>
    <row r="119" spans="13:29" x14ac:dyDescent="0.25">
      <c r="N119" s="38"/>
      <c r="O119" s="94"/>
      <c r="P119" s="94"/>
      <c r="Q119" s="94"/>
      <c r="R119" s="94"/>
      <c r="S119" s="94"/>
      <c r="T119" s="38"/>
      <c r="V119" s="94"/>
      <c r="W119" s="122"/>
      <c r="X119" s="103"/>
      <c r="Y119" s="104"/>
      <c r="Z119" s="104"/>
      <c r="AA119" s="123"/>
      <c r="AB119" s="124"/>
      <c r="AC119" s="94"/>
    </row>
    <row r="120" spans="13:29" x14ac:dyDescent="0.25">
      <c r="N120" s="38"/>
      <c r="O120" s="94"/>
      <c r="P120" s="94"/>
      <c r="Q120" s="94"/>
      <c r="R120" s="94"/>
      <c r="S120" s="94"/>
      <c r="T120" s="38"/>
      <c r="V120" s="94"/>
      <c r="W120" s="122"/>
      <c r="X120" s="103"/>
      <c r="Y120" s="104"/>
      <c r="Z120" s="104"/>
      <c r="AA120" s="123"/>
      <c r="AB120" s="124"/>
      <c r="AC120" s="94"/>
    </row>
    <row r="121" spans="13:29" x14ac:dyDescent="0.25">
      <c r="N121" s="38"/>
      <c r="O121" s="94"/>
      <c r="P121" s="94"/>
      <c r="Q121" s="94"/>
      <c r="R121" s="94"/>
      <c r="S121" s="94"/>
      <c r="T121" s="38"/>
      <c r="V121" s="94"/>
      <c r="W121" s="122"/>
      <c r="X121" s="103"/>
      <c r="Y121" s="104"/>
      <c r="Z121" s="104"/>
      <c r="AA121" s="123"/>
      <c r="AB121" s="124"/>
      <c r="AC121" s="94"/>
    </row>
    <row r="122" spans="13:29" x14ac:dyDescent="0.25">
      <c r="N122" s="38"/>
      <c r="O122" s="94"/>
      <c r="P122" s="94"/>
      <c r="Q122" s="94"/>
      <c r="R122" s="94"/>
      <c r="S122" s="94"/>
      <c r="T122" s="38"/>
      <c r="V122" s="94"/>
      <c r="W122" s="122"/>
      <c r="X122" s="103"/>
      <c r="Y122" s="104"/>
      <c r="Z122" s="104"/>
      <c r="AA122" s="123"/>
      <c r="AB122" s="124"/>
      <c r="AC122" s="94"/>
    </row>
    <row r="123" spans="13:29" x14ac:dyDescent="0.25">
      <c r="N123" s="38"/>
      <c r="O123" s="94"/>
      <c r="P123" s="94"/>
      <c r="Q123" s="94"/>
      <c r="R123" s="94"/>
      <c r="S123" s="94"/>
      <c r="T123" s="38"/>
      <c r="V123" s="94"/>
      <c r="W123" s="122"/>
      <c r="X123" s="103"/>
      <c r="Y123" s="104"/>
      <c r="Z123" s="104"/>
      <c r="AA123" s="123"/>
      <c r="AB123" s="124"/>
      <c r="AC123" s="94"/>
    </row>
    <row r="124" spans="13:29" x14ac:dyDescent="0.25">
      <c r="N124" s="38"/>
      <c r="O124" s="102"/>
      <c r="P124" s="94"/>
      <c r="Q124" s="94"/>
      <c r="R124" s="94"/>
      <c r="S124" s="94"/>
      <c r="V124" s="94"/>
      <c r="W124" s="122"/>
      <c r="X124" s="103"/>
      <c r="Y124" s="102"/>
      <c r="Z124" s="102"/>
      <c r="AA124" s="124"/>
      <c r="AB124" s="126"/>
      <c r="AC124" s="94"/>
    </row>
    <row r="125" spans="13:29" x14ac:dyDescent="0.25">
      <c r="M125" s="105"/>
      <c r="O125" s="94"/>
      <c r="P125" s="94"/>
      <c r="Q125" s="94"/>
      <c r="R125" s="94"/>
      <c r="S125" s="94"/>
      <c r="V125" s="94"/>
      <c r="W125" s="94"/>
      <c r="X125" s="94"/>
      <c r="Y125" s="94"/>
      <c r="Z125" s="94"/>
      <c r="AA125" s="94"/>
      <c r="AB125" s="94"/>
      <c r="AC125" s="94"/>
    </row>
    <row r="126" spans="13:29" x14ac:dyDescent="0.25">
      <c r="O126" s="94"/>
      <c r="P126" s="94"/>
      <c r="Q126" s="94"/>
      <c r="R126" s="94"/>
      <c r="S126" s="94"/>
      <c r="V126" s="94"/>
      <c r="W126" s="94"/>
      <c r="X126" s="94"/>
      <c r="Y126" s="94"/>
      <c r="Z126" s="94"/>
      <c r="AA126" s="94"/>
      <c r="AB126" s="94"/>
      <c r="AC126" s="94"/>
    </row>
    <row r="127" spans="13:29" x14ac:dyDescent="0.25">
      <c r="O127" s="94"/>
      <c r="P127" s="94"/>
      <c r="Q127" s="94"/>
      <c r="R127" s="94"/>
      <c r="S127" s="94"/>
      <c r="V127" s="94"/>
      <c r="W127" s="94"/>
      <c r="X127" s="94"/>
      <c r="Y127" s="94"/>
      <c r="Z127" s="94"/>
      <c r="AA127" s="94"/>
      <c r="AB127" s="94"/>
      <c r="AC127" s="94"/>
    </row>
    <row r="128" spans="13:29" x14ac:dyDescent="0.25">
      <c r="O128" s="94"/>
      <c r="P128" s="94"/>
      <c r="Q128" s="94"/>
      <c r="R128" s="94"/>
      <c r="S128" s="94"/>
    </row>
    <row r="129" spans="14:14" x14ac:dyDescent="0.25">
      <c r="N129" s="38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X127"/>
  <sheetViews>
    <sheetView zoomScale="70" zoomScaleNormal="70" workbookViewId="0">
      <selection activeCell="A11" sqref="A11"/>
    </sheetView>
  </sheetViews>
  <sheetFormatPr defaultColWidth="8.375" defaultRowHeight="15.75" x14ac:dyDescent="0.25"/>
  <cols>
    <col min="1" max="1" width="20" style="7" customWidth="1"/>
    <col min="2" max="2" width="18.875" style="13" bestFit="1" customWidth="1"/>
    <col min="3" max="3" width="34.125" style="13" customWidth="1"/>
    <col min="4" max="4" width="30.5" style="13" customWidth="1"/>
    <col min="5" max="5" width="35.625" style="13" customWidth="1"/>
    <col min="6" max="6" width="39.5" style="13" customWidth="1"/>
    <col min="7" max="7" width="47.125" style="13" customWidth="1"/>
    <col min="8" max="8" width="40.5" style="13" customWidth="1"/>
    <col min="9" max="9" width="45.5" style="13" customWidth="1"/>
    <col min="10" max="10" width="45.875" style="13" customWidth="1"/>
    <col min="11" max="11" width="4.375" style="13" customWidth="1"/>
    <col min="12" max="13" width="9.625" style="13" customWidth="1"/>
    <col min="14" max="15" width="5.125" style="12" customWidth="1"/>
    <col min="16" max="19" width="9.125" style="12" bestFit="1" customWidth="1"/>
    <col min="20" max="22" width="8.875" style="12" bestFit="1" customWidth="1"/>
    <col min="23" max="23" width="9.125" style="12" bestFit="1" customWidth="1"/>
    <col min="24" max="24" width="14.375" style="12" bestFit="1" customWidth="1"/>
    <col min="25" max="28" width="13.125" style="12" bestFit="1" customWidth="1"/>
    <col min="29" max="29" width="14.125" style="12" bestFit="1" customWidth="1"/>
    <col min="30" max="30" width="13.125" style="12" bestFit="1" customWidth="1"/>
    <col min="31" max="31" width="10.625" style="12" customWidth="1"/>
    <col min="32" max="32" width="6" style="12" customWidth="1"/>
    <col min="33" max="36" width="8.125" style="12" bestFit="1" customWidth="1"/>
    <col min="37" max="38" width="8.875" style="12" bestFit="1" customWidth="1"/>
    <col min="39" max="50" width="8.375" style="12"/>
    <col min="51" max="16384" width="8.375" style="13"/>
  </cols>
  <sheetData>
    <row r="1" spans="1:50" s="7" customFormat="1" ht="23.25" x14ac:dyDescent="0.25">
      <c r="A1" s="441" t="s">
        <v>539</v>
      </c>
      <c r="B1" s="127"/>
      <c r="C1" s="127"/>
      <c r="D1" s="127"/>
      <c r="E1" s="164"/>
      <c r="F1" s="164"/>
      <c r="G1" s="164"/>
      <c r="H1" s="164"/>
      <c r="I1" s="164"/>
      <c r="J1" s="164"/>
      <c r="K1" s="164"/>
      <c r="L1" s="164"/>
      <c r="M1" s="164"/>
      <c r="N1" s="47"/>
      <c r="O1" s="47"/>
      <c r="P1" s="47"/>
      <c r="Q1" s="47"/>
      <c r="R1" s="47"/>
      <c r="S1" s="47"/>
      <c r="T1" s="47"/>
      <c r="U1" s="47"/>
      <c r="V1" s="47"/>
      <c r="W1" s="47"/>
      <c r="X1" s="135"/>
      <c r="Y1" s="135"/>
      <c r="Z1" s="135"/>
      <c r="AA1" s="135"/>
      <c r="AB1" s="135"/>
      <c r="AC1" s="135"/>
      <c r="AD1" s="135"/>
      <c r="AE1" s="134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0" s="7" customFormat="1" x14ac:dyDescent="0.25">
      <c r="A2" s="163" t="str">
        <f>INFO!A2</f>
        <v>VM/KAO 13.4.2021</v>
      </c>
      <c r="B2" s="127"/>
      <c r="C2" s="127"/>
      <c r="D2" s="127"/>
      <c r="E2" s="164"/>
      <c r="F2" s="164"/>
      <c r="G2" s="164"/>
      <c r="H2" s="164"/>
      <c r="I2" s="164"/>
      <c r="J2" s="164"/>
      <c r="K2" s="164"/>
      <c r="L2" s="164"/>
      <c r="M2" s="164"/>
      <c r="N2" s="47"/>
      <c r="O2" s="47"/>
      <c r="P2" s="47"/>
      <c r="Q2" s="47"/>
      <c r="R2" s="47"/>
      <c r="S2" s="47"/>
      <c r="T2" s="47"/>
      <c r="U2" s="47"/>
      <c r="V2" s="47"/>
      <c r="W2" s="47"/>
      <c r="X2" s="135"/>
      <c r="Y2" s="135"/>
      <c r="Z2" s="135"/>
      <c r="AA2" s="135"/>
      <c r="AB2" s="135"/>
      <c r="AC2" s="135"/>
      <c r="AD2" s="135"/>
      <c r="AE2" s="134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0" s="7" customFormat="1" x14ac:dyDescent="0.25">
      <c r="A3" s="165" t="s">
        <v>698</v>
      </c>
      <c r="B3" s="127"/>
      <c r="C3" s="127"/>
      <c r="D3" s="127"/>
      <c r="E3" s="164"/>
      <c r="F3" s="164"/>
      <c r="G3" s="164"/>
      <c r="H3" s="164"/>
      <c r="I3" s="164"/>
      <c r="J3" s="164"/>
      <c r="K3" s="164"/>
      <c r="L3" s="164"/>
      <c r="M3" s="164"/>
      <c r="N3" s="47"/>
      <c r="O3" s="47"/>
      <c r="P3" s="47"/>
      <c r="Q3" s="47"/>
      <c r="R3" s="47"/>
      <c r="S3" s="47"/>
      <c r="T3" s="47"/>
      <c r="U3" s="47"/>
      <c r="V3" s="47"/>
      <c r="W3" s="47"/>
      <c r="X3" s="135"/>
      <c r="Y3" s="135"/>
      <c r="Z3" s="135"/>
      <c r="AA3" s="135"/>
      <c r="AB3" s="135"/>
      <c r="AC3" s="135"/>
      <c r="AD3" s="135"/>
      <c r="AE3" s="134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s="7" customFormat="1" x14ac:dyDescent="0.25">
      <c r="A4" s="165" t="s">
        <v>699</v>
      </c>
      <c r="B4" s="127"/>
      <c r="C4" s="127"/>
      <c r="D4" s="127"/>
      <c r="E4" s="164"/>
      <c r="F4" s="164"/>
      <c r="G4" s="164"/>
      <c r="H4" s="164"/>
      <c r="I4" s="164"/>
      <c r="J4" s="164"/>
      <c r="K4" s="164"/>
      <c r="L4" s="164"/>
      <c r="M4" s="164"/>
      <c r="N4" s="47"/>
      <c r="O4" s="47"/>
      <c r="P4" s="47"/>
      <c r="Q4" s="47"/>
      <c r="R4" s="47"/>
      <c r="S4" s="47"/>
      <c r="T4" s="47"/>
      <c r="U4" s="47"/>
      <c r="V4" s="47"/>
      <c r="W4" s="47"/>
      <c r="X4" s="135"/>
      <c r="Y4" s="135"/>
      <c r="Z4" s="135"/>
      <c r="AA4" s="135"/>
      <c r="AB4" s="135"/>
      <c r="AC4" s="135"/>
      <c r="AD4" s="135"/>
      <c r="AE4" s="134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50" s="7" customFormat="1" x14ac:dyDescent="0.25">
      <c r="A5" s="13" t="s">
        <v>499</v>
      </c>
      <c r="B5" s="127"/>
      <c r="C5" s="127"/>
      <c r="D5" s="127"/>
      <c r="E5" s="164"/>
      <c r="F5" s="164"/>
      <c r="G5" s="164"/>
      <c r="H5" s="164"/>
      <c r="I5" s="164"/>
      <c r="J5" s="139"/>
      <c r="K5" s="139"/>
      <c r="L5" s="139"/>
      <c r="M5" s="139"/>
      <c r="N5" s="47"/>
      <c r="O5" s="47"/>
      <c r="P5" s="47"/>
      <c r="Q5" s="47"/>
      <c r="R5" s="47"/>
      <c r="S5" s="47"/>
      <c r="T5" s="47"/>
      <c r="U5" s="47"/>
      <c r="V5" s="47"/>
      <c r="W5" s="47"/>
      <c r="X5" s="135"/>
      <c r="Y5" s="135"/>
      <c r="Z5" s="135"/>
      <c r="AA5" s="135"/>
      <c r="AB5" s="135"/>
      <c r="AC5" s="135"/>
      <c r="AD5" s="135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 s="7" customFormat="1" x14ac:dyDescent="0.25">
      <c r="A6" s="13" t="s">
        <v>585</v>
      </c>
      <c r="B6" s="127"/>
      <c r="C6" s="127"/>
      <c r="D6" s="127"/>
      <c r="E6" s="164"/>
      <c r="F6" s="164"/>
      <c r="G6" s="164"/>
      <c r="H6" s="164"/>
      <c r="I6" s="164"/>
      <c r="J6" s="139"/>
      <c r="K6" s="139"/>
      <c r="L6" s="139"/>
      <c r="M6" s="139"/>
      <c r="N6" s="47"/>
      <c r="O6" s="47"/>
      <c r="P6" s="47"/>
      <c r="Q6" s="47"/>
      <c r="R6" s="47"/>
      <c r="S6" s="47"/>
      <c r="T6" s="47"/>
      <c r="U6" s="47"/>
      <c r="V6" s="47"/>
      <c r="W6" s="47"/>
      <c r="X6" s="135"/>
      <c r="Y6" s="135"/>
      <c r="Z6" s="135"/>
      <c r="AA6" s="135"/>
      <c r="AB6" s="135"/>
      <c r="AC6" s="135"/>
      <c r="AD6" s="135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 s="7" customFormat="1" x14ac:dyDescent="0.25">
      <c r="A7" s="13" t="s">
        <v>700</v>
      </c>
      <c r="B7" s="127"/>
      <c r="C7" s="127"/>
      <c r="D7" s="127"/>
      <c r="E7" s="164"/>
      <c r="F7" s="164"/>
      <c r="G7" s="164"/>
      <c r="H7" s="164"/>
      <c r="I7" s="164"/>
      <c r="J7" s="139"/>
      <c r="K7" s="139"/>
      <c r="L7" s="139"/>
      <c r="M7" s="139"/>
      <c r="N7" s="47"/>
      <c r="O7" s="47"/>
      <c r="P7" s="47"/>
      <c r="Q7" s="47"/>
      <c r="R7" s="47"/>
      <c r="S7" s="47"/>
      <c r="T7" s="47"/>
      <c r="U7" s="47"/>
      <c r="V7" s="47"/>
      <c r="W7" s="47"/>
      <c r="X7" s="135"/>
      <c r="Y7" s="135"/>
      <c r="Z7" s="135"/>
      <c r="AA7" s="135"/>
      <c r="AB7" s="135"/>
      <c r="AC7" s="135"/>
      <c r="AD7" s="135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</row>
    <row r="8" spans="1:50" s="7" customFormat="1" x14ac:dyDescent="0.25">
      <c r="A8" s="13" t="s">
        <v>701</v>
      </c>
      <c r="B8" s="127"/>
      <c r="C8" s="127"/>
      <c r="D8" s="127"/>
      <c r="E8" s="164"/>
      <c r="F8" s="164"/>
      <c r="G8" s="164"/>
      <c r="H8" s="164"/>
      <c r="I8" s="164"/>
      <c r="J8" s="139"/>
      <c r="K8" s="139"/>
      <c r="L8" s="139"/>
      <c r="M8" s="139"/>
      <c r="N8" s="47"/>
      <c r="O8" s="47"/>
      <c r="P8" s="47"/>
      <c r="Q8" s="47"/>
      <c r="R8" s="47"/>
      <c r="S8" s="47"/>
      <c r="T8" s="47"/>
      <c r="U8" s="47"/>
      <c r="V8" s="47"/>
      <c r="W8" s="47"/>
      <c r="X8" s="135"/>
      <c r="Y8" s="135"/>
      <c r="Z8" s="135"/>
      <c r="AA8" s="135"/>
      <c r="AB8" s="135"/>
      <c r="AC8" s="135"/>
      <c r="AD8" s="135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1:50" s="7" customFormat="1" x14ac:dyDescent="0.25">
      <c r="A9" s="13"/>
      <c r="B9" s="127"/>
      <c r="C9" s="127"/>
      <c r="D9" s="127"/>
      <c r="E9" s="164"/>
      <c r="F9" s="164"/>
      <c r="G9" s="164"/>
      <c r="H9" s="164"/>
      <c r="I9" s="164"/>
      <c r="J9" s="139"/>
      <c r="K9" s="139"/>
      <c r="L9" s="139"/>
      <c r="M9" s="139"/>
      <c r="N9" s="47"/>
      <c r="O9" s="47"/>
      <c r="P9" s="47"/>
      <c r="Q9" s="47"/>
      <c r="R9" s="47"/>
      <c r="S9" s="47"/>
      <c r="T9" s="47"/>
      <c r="U9" s="47"/>
      <c r="V9" s="47"/>
      <c r="W9" s="47"/>
      <c r="X9" s="135"/>
      <c r="Y9" s="135"/>
      <c r="Z9" s="135"/>
      <c r="AA9" s="135"/>
      <c r="AB9" s="135"/>
      <c r="AC9" s="135"/>
      <c r="AD9" s="135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s="7" customFormat="1" x14ac:dyDescent="0.25">
      <c r="A10" s="20" t="s">
        <v>550</v>
      </c>
      <c r="B10" s="24"/>
      <c r="C10" s="24"/>
      <c r="D10" s="186"/>
      <c r="E10" s="187"/>
      <c r="F10" s="187"/>
      <c r="G10" s="187"/>
      <c r="H10" s="187"/>
      <c r="I10" s="188"/>
      <c r="J10" s="188"/>
      <c r="K10" s="145"/>
      <c r="L10" s="166"/>
      <c r="M10" s="166"/>
      <c r="N10" s="145"/>
      <c r="O10" s="97"/>
      <c r="P10" s="12"/>
      <c r="Q10" s="12"/>
      <c r="R10" s="12"/>
      <c r="S10" s="12"/>
      <c r="T10" s="12"/>
      <c r="U10" s="12"/>
      <c r="V10" s="12"/>
      <c r="W10" s="12"/>
      <c r="X10" s="167"/>
      <c r="Y10" s="167"/>
      <c r="Z10" s="167"/>
      <c r="AA10" s="167"/>
      <c r="AB10" s="167"/>
      <c r="AC10" s="167"/>
      <c r="AD10" s="167"/>
      <c r="AE10" s="12"/>
      <c r="AF10" s="167"/>
      <c r="AG10" s="167"/>
      <c r="AH10" s="167"/>
      <c r="AI10" s="167"/>
      <c r="AJ10" s="167"/>
      <c r="AK10" s="167"/>
      <c r="AL10" s="167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s="7" customFormat="1" ht="31.5" x14ac:dyDescent="0.25">
      <c r="A11" s="334" t="s">
        <v>469</v>
      </c>
      <c r="B11" s="49" t="s">
        <v>134</v>
      </c>
      <c r="C11" s="49" t="s">
        <v>443</v>
      </c>
      <c r="D11" s="328" t="s">
        <v>493</v>
      </c>
      <c r="E11" s="327" t="s">
        <v>640</v>
      </c>
      <c r="F11" s="328" t="s">
        <v>491</v>
      </c>
      <c r="G11" s="328" t="s">
        <v>492</v>
      </c>
      <c r="H11" s="326" t="s">
        <v>485</v>
      </c>
      <c r="I11" s="328" t="s">
        <v>489</v>
      </c>
      <c r="J11" s="328" t="s">
        <v>490</v>
      </c>
      <c r="K11" s="144"/>
      <c r="N11" s="18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67"/>
      <c r="AG11" s="167"/>
      <c r="AH11" s="167"/>
      <c r="AI11" s="167"/>
      <c r="AJ11" s="167"/>
      <c r="AK11" s="167"/>
      <c r="AL11" s="167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</row>
    <row r="12" spans="1:50" s="7" customFormat="1" x14ac:dyDescent="0.25">
      <c r="A12" s="168"/>
      <c r="B12" s="80" t="s">
        <v>131</v>
      </c>
      <c r="C12" s="169">
        <f>Määräytymistekijät!C4</f>
        <v>656920</v>
      </c>
      <c r="D12" s="42">
        <f>'Yhteenveto ja muutos nykytilaan'!D10</f>
        <v>2473030439.3196907</v>
      </c>
      <c r="E12" s="36">
        <f>'Yhteenveto ja muutos nykytilaan'!F10</f>
        <v>2250652500.4114995</v>
      </c>
      <c r="F12" s="43">
        <f t="shared" ref="F12:F33" si="0">E12-D12</f>
        <v>-222377938.9081912</v>
      </c>
      <c r="G12" s="131">
        <f>F12/C12</f>
        <v>-338.51601246451804</v>
      </c>
      <c r="H12" s="36">
        <f>'Arvio hyten vaikutuksesta'!N8+'PELA laskennallinen rahoitus'!F44</f>
        <v>2247528884.5895715</v>
      </c>
      <c r="I12" s="43">
        <f t="shared" ref="I12:I33" si="1">H12-D12</f>
        <v>-225501554.73011923</v>
      </c>
      <c r="J12" s="141">
        <f t="shared" ref="J12:J33" si="2">I12/C12</f>
        <v>-343.27095343438964</v>
      </c>
      <c r="N12" s="135"/>
      <c r="O12" s="170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34"/>
      <c r="AF12" s="134"/>
      <c r="AG12" s="134"/>
      <c r="AH12" s="134"/>
      <c r="AI12" s="134"/>
      <c r="AJ12" s="134"/>
      <c r="AK12" s="134"/>
      <c r="AL12" s="134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s="7" customFormat="1" x14ac:dyDescent="0.25">
      <c r="A13" s="168"/>
      <c r="B13" s="80" t="s">
        <v>437</v>
      </c>
      <c r="C13" s="169">
        <f>Määräytymistekijät!C5</f>
        <v>274336</v>
      </c>
      <c r="D13" s="42">
        <f>'Yhteenveto ja muutos nykytilaan'!D11</f>
        <v>893262634.76570797</v>
      </c>
      <c r="E13" s="36">
        <f>'Yhteenveto ja muutos nykytilaan'!F11</f>
        <v>905264026.43820333</v>
      </c>
      <c r="F13" s="43">
        <f t="shared" si="0"/>
        <v>12001391.672495365</v>
      </c>
      <c r="G13" s="131">
        <f t="shared" ref="G13:G33" si="3">F13/C13</f>
        <v>43.747053512828664</v>
      </c>
      <c r="H13" s="36">
        <f>'Arvio hyten vaikutuksesta'!N9+'PELA laskennallinen rahoitus'!F45</f>
        <v>904722202.27972424</v>
      </c>
      <c r="I13" s="43">
        <f t="shared" si="1"/>
        <v>11459567.514016271</v>
      </c>
      <c r="J13" s="141">
        <f t="shared" si="2"/>
        <v>41.77201502542966</v>
      </c>
      <c r="N13" s="135"/>
      <c r="O13" s="170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34"/>
      <c r="AF13" s="134"/>
      <c r="AG13" s="134"/>
      <c r="AH13" s="134"/>
      <c r="AI13" s="134"/>
      <c r="AJ13" s="134"/>
      <c r="AK13" s="134"/>
      <c r="AL13" s="134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s="7" customFormat="1" x14ac:dyDescent="0.25">
      <c r="A14" s="168"/>
      <c r="B14" s="80" t="s">
        <v>129</v>
      </c>
      <c r="C14" s="169">
        <f>Määräytymistekijät!C6</f>
        <v>473838</v>
      </c>
      <c r="D14" s="42">
        <f>'Yhteenveto ja muutos nykytilaan'!D12</f>
        <v>1539663070.3413417</v>
      </c>
      <c r="E14" s="36">
        <f>'Yhteenveto ja muutos nykytilaan'!F12</f>
        <v>1545085271.9934509</v>
      </c>
      <c r="F14" s="43">
        <f t="shared" si="0"/>
        <v>5422201.6521091461</v>
      </c>
      <c r="G14" s="131">
        <f t="shared" si="3"/>
        <v>11.443154943480991</v>
      </c>
      <c r="H14" s="36">
        <f>'Arvio hyten vaikutuksesta'!N10+'PELA laskennallinen rahoitus'!F46</f>
        <v>1542984044.4974806</v>
      </c>
      <c r="I14" s="43">
        <f t="shared" si="1"/>
        <v>3320974.1561388969</v>
      </c>
      <c r="J14" s="141">
        <f t="shared" si="2"/>
        <v>7.0086699592242434</v>
      </c>
      <c r="N14" s="135"/>
      <c r="O14" s="170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34"/>
      <c r="AF14" s="134"/>
      <c r="AG14" s="134"/>
      <c r="AH14" s="134"/>
      <c r="AI14" s="134"/>
      <c r="AJ14" s="134"/>
      <c r="AK14" s="134"/>
      <c r="AL14" s="134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</row>
    <row r="15" spans="1:50" s="7" customFormat="1" x14ac:dyDescent="0.25">
      <c r="A15" s="168"/>
      <c r="B15" s="80" t="s">
        <v>128</v>
      </c>
      <c r="C15" s="169">
        <f>Määräytymistekijät!C7</f>
        <v>98254</v>
      </c>
      <c r="D15" s="42">
        <f>'Yhteenveto ja muutos nykytilaan'!D13</f>
        <v>338187708.36668003</v>
      </c>
      <c r="E15" s="36">
        <f>'Yhteenveto ja muutos nykytilaan'!F13</f>
        <v>363895531.43173397</v>
      </c>
      <c r="F15" s="43">
        <f t="shared" si="0"/>
        <v>25707823.06505394</v>
      </c>
      <c r="G15" s="131">
        <f t="shared" si="3"/>
        <v>261.64657993622592</v>
      </c>
      <c r="H15" s="36">
        <f>'Arvio hyten vaikutuksesta'!N11+'PELA laskennallinen rahoitus'!F47</f>
        <v>363790295.98035139</v>
      </c>
      <c r="I15" s="43">
        <f t="shared" si="1"/>
        <v>25602587.613671362</v>
      </c>
      <c r="J15" s="141">
        <f t="shared" si="2"/>
        <v>260.57552479971667</v>
      </c>
      <c r="N15" s="135"/>
      <c r="O15" s="170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34"/>
      <c r="AF15" s="134"/>
      <c r="AG15" s="134"/>
      <c r="AH15" s="134"/>
      <c r="AI15" s="134"/>
      <c r="AJ15" s="134"/>
      <c r="AK15" s="134"/>
      <c r="AL15" s="134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1:50" s="7" customFormat="1" x14ac:dyDescent="0.25">
      <c r="A16" s="171"/>
      <c r="B16" s="82" t="s">
        <v>127</v>
      </c>
      <c r="C16" s="172">
        <f>Määräytymistekijät!C8</f>
        <v>199330</v>
      </c>
      <c r="D16" s="39">
        <f>'Yhteenveto ja muutos nykytilaan'!D14</f>
        <v>698908432.4880197</v>
      </c>
      <c r="E16" s="148">
        <f>'Yhteenveto ja muutos nykytilaan'!F14</f>
        <v>665094303.93233156</v>
      </c>
      <c r="F16" s="173">
        <f t="shared" si="0"/>
        <v>-33814128.555688143</v>
      </c>
      <c r="G16" s="174">
        <f t="shared" si="3"/>
        <v>-169.63893320467639</v>
      </c>
      <c r="H16" s="36">
        <f>'Arvio hyten vaikutuksesta'!N12+'PELA laskennallinen rahoitus'!F48</f>
        <v>665389173.86630368</v>
      </c>
      <c r="I16" s="173">
        <f t="shared" si="1"/>
        <v>-33519258.621716022</v>
      </c>
      <c r="J16" s="141">
        <f t="shared" si="2"/>
        <v>-168.15962786191753</v>
      </c>
      <c r="N16" s="135"/>
      <c r="O16" s="170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34"/>
      <c r="AF16" s="134"/>
      <c r="AG16" s="134"/>
      <c r="AH16" s="134"/>
      <c r="AI16" s="134"/>
      <c r="AJ16" s="134"/>
      <c r="AK16" s="134"/>
      <c r="AL16" s="134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 s="7" customFormat="1" x14ac:dyDescent="0.25">
      <c r="A17" s="105"/>
      <c r="B17" s="105" t="s">
        <v>126</v>
      </c>
      <c r="C17" s="169">
        <f>Määräytymistekijät!C9</f>
        <v>481403</v>
      </c>
      <c r="D17" s="42">
        <f>'Yhteenveto ja muutos nykytilaan'!D15</f>
        <v>1807839324.8244114</v>
      </c>
      <c r="E17" s="36">
        <f>'Yhteenveto ja muutos nykytilaan'!F15</f>
        <v>1910706960.6109033</v>
      </c>
      <c r="F17" s="43">
        <f t="shared" si="0"/>
        <v>102867635.78649187</v>
      </c>
      <c r="G17" s="131">
        <f t="shared" si="3"/>
        <v>213.68299696198793</v>
      </c>
      <c r="H17" s="36">
        <f>'Arvio hyten vaikutuksesta'!N13+'PELA laskennallinen rahoitus'!F49</f>
        <v>1909146693.9801977</v>
      </c>
      <c r="I17" s="43">
        <f t="shared" si="1"/>
        <v>101307369.15578628</v>
      </c>
      <c r="J17" s="141">
        <f t="shared" si="2"/>
        <v>210.44191489414538</v>
      </c>
      <c r="N17" s="135"/>
      <c r="O17" s="175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34"/>
      <c r="AF17" s="134"/>
      <c r="AG17" s="134"/>
      <c r="AH17" s="134"/>
      <c r="AI17" s="134"/>
      <c r="AJ17" s="134"/>
      <c r="AK17" s="134"/>
      <c r="AL17" s="134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1:50" s="7" customFormat="1" x14ac:dyDescent="0.25">
      <c r="A18" s="105"/>
      <c r="B18" s="105" t="s">
        <v>125</v>
      </c>
      <c r="C18" s="169">
        <f>Määräytymistekijät!C10</f>
        <v>215416</v>
      </c>
      <c r="D18" s="42">
        <f>'Yhteenveto ja muutos nykytilaan'!D16</f>
        <v>887901055.93950152</v>
      </c>
      <c r="E18" s="36">
        <f>'Yhteenveto ja muutos nykytilaan'!F16</f>
        <v>862724599.66629839</v>
      </c>
      <c r="F18" s="43">
        <f t="shared" si="0"/>
        <v>-25176456.273203135</v>
      </c>
      <c r="G18" s="131">
        <f t="shared" si="3"/>
        <v>-116.87365967803289</v>
      </c>
      <c r="H18" s="36">
        <f>'Arvio hyten vaikutuksesta'!N14+'PELA laskennallinen rahoitus'!F50</f>
        <v>863835925.43800461</v>
      </c>
      <c r="I18" s="43">
        <f t="shared" si="1"/>
        <v>-24065130.501496911</v>
      </c>
      <c r="J18" s="141">
        <f t="shared" si="2"/>
        <v>-111.71468461719144</v>
      </c>
      <c r="N18" s="135"/>
      <c r="O18" s="175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34"/>
      <c r="AF18" s="134"/>
      <c r="AG18" s="134"/>
      <c r="AH18" s="134"/>
      <c r="AI18" s="134"/>
      <c r="AJ18" s="134"/>
      <c r="AK18" s="134"/>
      <c r="AL18" s="134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</row>
    <row r="19" spans="1:50" s="7" customFormat="1" x14ac:dyDescent="0.25">
      <c r="A19" s="105"/>
      <c r="B19" s="105" t="s">
        <v>124</v>
      </c>
      <c r="C19" s="169">
        <f>Määräytymistekijät!C11</f>
        <v>170577</v>
      </c>
      <c r="D19" s="42">
        <f>'Yhteenveto ja muutos nykytilaan'!D17</f>
        <v>658599173.76827157</v>
      </c>
      <c r="E19" s="36">
        <f>'Yhteenveto ja muutos nykytilaan'!F17</f>
        <v>662914815.53715837</v>
      </c>
      <c r="F19" s="43">
        <f t="shared" si="0"/>
        <v>4315641.7688868046</v>
      </c>
      <c r="G19" s="131">
        <f t="shared" si="3"/>
        <v>25.300256006887238</v>
      </c>
      <c r="H19" s="36">
        <f>'Arvio hyten vaikutuksesta'!N15+'PELA laskennallinen rahoitus'!F51</f>
        <v>662211294.65225184</v>
      </c>
      <c r="I19" s="43">
        <f t="shared" si="1"/>
        <v>3612120.8839802742</v>
      </c>
      <c r="J19" s="141">
        <f t="shared" si="2"/>
        <v>21.175896422028025</v>
      </c>
      <c r="N19" s="135"/>
      <c r="O19" s="175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34"/>
      <c r="AF19" s="134"/>
      <c r="AG19" s="134"/>
      <c r="AH19" s="134"/>
      <c r="AI19" s="134"/>
      <c r="AJ19" s="134"/>
      <c r="AK19" s="134"/>
      <c r="AL19" s="134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</row>
    <row r="20" spans="1:50" s="7" customFormat="1" x14ac:dyDescent="0.25">
      <c r="A20" s="105"/>
      <c r="B20" s="105" t="s">
        <v>123</v>
      </c>
      <c r="C20" s="169">
        <f>Määräytymistekijät!C12</f>
        <v>522852</v>
      </c>
      <c r="D20" s="42">
        <f>'Yhteenveto ja muutos nykytilaan'!D18</f>
        <v>1958095489.9405127</v>
      </c>
      <c r="E20" s="36">
        <f>'Yhteenveto ja muutos nykytilaan'!F18</f>
        <v>1993050062.5025449</v>
      </c>
      <c r="F20" s="43">
        <f t="shared" si="0"/>
        <v>34954572.562032223</v>
      </c>
      <c r="G20" s="131">
        <f t="shared" si="3"/>
        <v>66.85366520933691</v>
      </c>
      <c r="H20" s="36">
        <f>'Arvio hyten vaikutuksesta'!N16+'PELA laskennallinen rahoitus'!F52</f>
        <v>1996882241.4299655</v>
      </c>
      <c r="I20" s="43">
        <f t="shared" si="1"/>
        <v>38786751.489452839</v>
      </c>
      <c r="J20" s="141">
        <f t="shared" si="2"/>
        <v>74.183041261108002</v>
      </c>
      <c r="N20" s="135"/>
      <c r="O20" s="175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34"/>
      <c r="AF20" s="134"/>
      <c r="AG20" s="134"/>
      <c r="AH20" s="134"/>
      <c r="AI20" s="134"/>
      <c r="AJ20" s="134"/>
      <c r="AK20" s="134"/>
      <c r="AL20" s="134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0" s="7" customFormat="1" x14ac:dyDescent="0.25">
      <c r="A21" s="105"/>
      <c r="B21" s="105" t="s">
        <v>122</v>
      </c>
      <c r="C21" s="169">
        <f>Määräytymistekijät!C13</f>
        <v>205771</v>
      </c>
      <c r="D21" s="42">
        <f>'Yhteenveto ja muutos nykytilaan'!D19</f>
        <v>788130832.77518666</v>
      </c>
      <c r="E21" s="36">
        <f>'Yhteenveto ja muutos nykytilaan'!F19</f>
        <v>828605862.23356688</v>
      </c>
      <c r="F21" s="43">
        <f t="shared" si="0"/>
        <v>40475029.458380222</v>
      </c>
      <c r="G21" s="131">
        <f t="shared" si="3"/>
        <v>196.69938649459945</v>
      </c>
      <c r="H21" s="36">
        <f>'Arvio hyten vaikutuksesta'!N17+'PELA laskennallinen rahoitus'!F53</f>
        <v>828353466.0884726</v>
      </c>
      <c r="I21" s="43">
        <f t="shared" si="1"/>
        <v>40222633.313285947</v>
      </c>
      <c r="J21" s="141">
        <f t="shared" si="2"/>
        <v>195.47279895265098</v>
      </c>
      <c r="N21" s="135"/>
      <c r="O21" s="175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34"/>
      <c r="AF21" s="134"/>
      <c r="AG21" s="134"/>
      <c r="AH21" s="134"/>
      <c r="AI21" s="134"/>
      <c r="AJ21" s="134"/>
      <c r="AK21" s="134"/>
      <c r="AL21" s="134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0" s="7" customFormat="1" x14ac:dyDescent="0.25">
      <c r="A22" s="105"/>
      <c r="B22" s="105" t="s">
        <v>121</v>
      </c>
      <c r="C22" s="169">
        <f>Määräytymistekijät!C14</f>
        <v>162812</v>
      </c>
      <c r="D22" s="42">
        <f>'Yhteenveto ja muutos nykytilaan'!D20</f>
        <v>721294425.09414613</v>
      </c>
      <c r="E22" s="36">
        <f>'Yhteenveto ja muutos nykytilaan'!F20</f>
        <v>701938166.90588355</v>
      </c>
      <c r="F22" s="43">
        <f t="shared" si="0"/>
        <v>-19356258.188262582</v>
      </c>
      <c r="G22" s="131">
        <f t="shared" si="3"/>
        <v>-118.88717163515332</v>
      </c>
      <c r="H22" s="36">
        <f>'Arvio hyten vaikutuksesta'!N18+'PELA laskennallinen rahoitus'!F54</f>
        <v>702253980.76730311</v>
      </c>
      <c r="I22" s="43">
        <f t="shared" si="1"/>
        <v>-19040444.326843023</v>
      </c>
      <c r="J22" s="141">
        <f t="shared" si="2"/>
        <v>-116.94742603028661</v>
      </c>
      <c r="N22" s="135"/>
      <c r="O22" s="170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34"/>
      <c r="AF22" s="134"/>
      <c r="AG22" s="134"/>
      <c r="AH22" s="134"/>
      <c r="AI22" s="134"/>
      <c r="AJ22" s="134"/>
      <c r="AK22" s="134"/>
      <c r="AL22" s="134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0" s="7" customFormat="1" x14ac:dyDescent="0.25">
      <c r="A23" s="105"/>
      <c r="B23" s="105" t="s">
        <v>120</v>
      </c>
      <c r="C23" s="169">
        <f>Määräytymistekijät!C15</f>
        <v>126921</v>
      </c>
      <c r="D23" s="42">
        <f>'Yhteenveto ja muutos nykytilaan'!D21</f>
        <v>518991905.9231379</v>
      </c>
      <c r="E23" s="36">
        <f>'Yhteenveto ja muutos nykytilaan'!F21</f>
        <v>500526783.1221751</v>
      </c>
      <c r="F23" s="43">
        <f t="shared" si="0"/>
        <v>-18465122.800962806</v>
      </c>
      <c r="G23" s="131">
        <f t="shared" si="3"/>
        <v>-145.48516637091424</v>
      </c>
      <c r="H23" s="36">
        <f>'Arvio hyten vaikutuksesta'!N19+'PELA laskennallinen rahoitus'!F55</f>
        <v>501246377.66831732</v>
      </c>
      <c r="I23" s="43">
        <f t="shared" si="1"/>
        <v>-17745528.254820585</v>
      </c>
      <c r="J23" s="141">
        <f t="shared" si="2"/>
        <v>-139.81554080743601</v>
      </c>
      <c r="N23" s="135"/>
      <c r="O23" s="170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34"/>
      <c r="AF23" s="134"/>
      <c r="AG23" s="134"/>
      <c r="AH23" s="134"/>
      <c r="AI23" s="134"/>
      <c r="AJ23" s="134"/>
      <c r="AK23" s="134"/>
      <c r="AL23" s="134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0" s="7" customFormat="1" x14ac:dyDescent="0.25">
      <c r="A24" s="105"/>
      <c r="B24" s="105" t="s">
        <v>119</v>
      </c>
      <c r="C24" s="169">
        <f>Määräytymistekijät!C16</f>
        <v>132702</v>
      </c>
      <c r="D24" s="42">
        <f>'Yhteenveto ja muutos nykytilaan'!D22</f>
        <v>637437808.62566769</v>
      </c>
      <c r="E24" s="36">
        <f>'Yhteenveto ja muutos nykytilaan'!F22</f>
        <v>595374373.42597067</v>
      </c>
      <c r="F24" s="43">
        <f t="shared" si="0"/>
        <v>-42063435.199697018</v>
      </c>
      <c r="G24" s="131">
        <f t="shared" si="3"/>
        <v>-316.97664842803437</v>
      </c>
      <c r="H24" s="36">
        <f>'Arvio hyten vaikutuksesta'!N20+'PELA laskennallinen rahoitus'!F56</f>
        <v>595958541.10385466</v>
      </c>
      <c r="I24" s="43">
        <f t="shared" si="1"/>
        <v>-41479267.521813035</v>
      </c>
      <c r="J24" s="141">
        <f t="shared" si="2"/>
        <v>-312.57454689313676</v>
      </c>
      <c r="N24" s="135"/>
      <c r="O24" s="170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34"/>
      <c r="AF24" s="134"/>
      <c r="AG24" s="134"/>
      <c r="AH24" s="134"/>
      <c r="AI24" s="134"/>
      <c r="AJ24" s="134"/>
      <c r="AK24" s="134"/>
      <c r="AL24" s="134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</row>
    <row r="25" spans="1:50" s="7" customFormat="1" x14ac:dyDescent="0.25">
      <c r="A25" s="105"/>
      <c r="B25" s="105" t="s">
        <v>118</v>
      </c>
      <c r="C25" s="169">
        <f>Määräytymistekijät!C17</f>
        <v>248265</v>
      </c>
      <c r="D25" s="42">
        <f>'Yhteenveto ja muutos nykytilaan'!D23</f>
        <v>1093652848.1958928</v>
      </c>
      <c r="E25" s="36">
        <f>'Yhteenveto ja muutos nykytilaan'!F23</f>
        <v>1092001400.08429</v>
      </c>
      <c r="F25" s="43">
        <f t="shared" si="0"/>
        <v>-1651448.1116027832</v>
      </c>
      <c r="G25" s="131">
        <f t="shared" si="3"/>
        <v>-6.6519570281867493</v>
      </c>
      <c r="H25" s="36">
        <f>'Arvio hyten vaikutuksesta'!N21+'PELA laskennallinen rahoitus'!F57</f>
        <v>1092462257.8869267</v>
      </c>
      <c r="I25" s="43">
        <f t="shared" si="1"/>
        <v>-1190590.3089661598</v>
      </c>
      <c r="J25" s="141">
        <f t="shared" si="2"/>
        <v>-4.7956429982726512</v>
      </c>
      <c r="N25" s="135"/>
      <c r="O25" s="170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34"/>
      <c r="AF25" s="134"/>
      <c r="AG25" s="134"/>
      <c r="AH25" s="134"/>
      <c r="AI25" s="134"/>
      <c r="AJ25" s="134"/>
      <c r="AK25" s="134"/>
      <c r="AL25" s="134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</row>
    <row r="26" spans="1:50" x14ac:dyDescent="0.25">
      <c r="A26" s="25"/>
      <c r="B26" s="25" t="s">
        <v>117</v>
      </c>
      <c r="C26" s="169">
        <f>Määräytymistekijät!C18</f>
        <v>163537</v>
      </c>
      <c r="D26" s="42">
        <f>'Yhteenveto ja muutos nykytilaan'!D24</f>
        <v>664493584.92984021</v>
      </c>
      <c r="E26" s="36">
        <f>'Yhteenveto ja muutos nykytilaan'!F24</f>
        <v>739854434.69233787</v>
      </c>
      <c r="F26" s="43">
        <f t="shared" si="0"/>
        <v>75360849.762497663</v>
      </c>
      <c r="G26" s="131">
        <f t="shared" si="3"/>
        <v>460.81834546614931</v>
      </c>
      <c r="H26" s="36">
        <f>'Arvio hyten vaikutuksesta'!N22+'PELA laskennallinen rahoitus'!F58</f>
        <v>739449154.84925973</v>
      </c>
      <c r="I26" s="138">
        <f t="shared" si="1"/>
        <v>74955569.919419527</v>
      </c>
      <c r="J26" s="141">
        <f t="shared" si="2"/>
        <v>458.34013048679827</v>
      </c>
      <c r="N26" s="135"/>
      <c r="O26" s="170"/>
      <c r="AE26" s="134"/>
      <c r="AF26" s="134"/>
      <c r="AG26" s="134"/>
      <c r="AH26" s="134"/>
      <c r="AI26" s="134"/>
      <c r="AJ26" s="134"/>
      <c r="AK26" s="134"/>
      <c r="AL26" s="134"/>
    </row>
    <row r="27" spans="1:50" s="7" customFormat="1" x14ac:dyDescent="0.25">
      <c r="A27" s="105"/>
      <c r="B27" s="105" t="s">
        <v>116</v>
      </c>
      <c r="C27" s="169">
        <f>Määräytymistekijät!C19</f>
        <v>272617</v>
      </c>
      <c r="D27" s="42">
        <f>'Yhteenveto ja muutos nykytilaan'!D25</f>
        <v>1026659925.9289411</v>
      </c>
      <c r="E27" s="36">
        <f>'Yhteenveto ja muutos nykytilaan'!F25</f>
        <v>1029547081.9705423</v>
      </c>
      <c r="F27" s="43">
        <f t="shared" si="0"/>
        <v>2887156.041601181</v>
      </c>
      <c r="G27" s="131">
        <f t="shared" si="3"/>
        <v>10.590520919829581</v>
      </c>
      <c r="H27" s="36">
        <f>'Arvio hyten vaikutuksesta'!N23+'PELA laskennallinen rahoitus'!F59</f>
        <v>1029536883.5678364</v>
      </c>
      <c r="I27" s="43">
        <f t="shared" si="1"/>
        <v>2876957.6388952732</v>
      </c>
      <c r="J27" s="141">
        <f t="shared" si="2"/>
        <v>10.553111650760126</v>
      </c>
      <c r="N27" s="135"/>
      <c r="O27" s="170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34"/>
      <c r="AF27" s="134"/>
      <c r="AG27" s="134"/>
      <c r="AH27" s="134"/>
      <c r="AI27" s="134"/>
      <c r="AJ27" s="134"/>
      <c r="AK27" s="134"/>
      <c r="AL27" s="134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</row>
    <row r="28" spans="1:50" s="7" customFormat="1" x14ac:dyDescent="0.25">
      <c r="A28" s="105"/>
      <c r="B28" s="105" t="s">
        <v>445</v>
      </c>
      <c r="C28" s="169">
        <f>Määräytymistekijät!C20</f>
        <v>192150</v>
      </c>
      <c r="D28" s="42">
        <f>'Yhteenveto ja muutos nykytilaan'!D26</f>
        <v>804446625.16234541</v>
      </c>
      <c r="E28" s="36">
        <f>'Yhteenveto ja muutos nykytilaan'!F26</f>
        <v>802382413.17125809</v>
      </c>
      <c r="F28" s="43">
        <f t="shared" si="0"/>
        <v>-2064211.9910873175</v>
      </c>
      <c r="G28" s="131">
        <f t="shared" si="3"/>
        <v>-10.742711376983177</v>
      </c>
      <c r="H28" s="36">
        <f>'Arvio hyten vaikutuksesta'!N24+'PELA laskennallinen rahoitus'!F60</f>
        <v>803384878.4539578</v>
      </c>
      <c r="I28" s="43">
        <f t="shared" si="1"/>
        <v>-1061746.7083876133</v>
      </c>
      <c r="J28" s="141">
        <f t="shared" si="2"/>
        <v>-5.5256138870029314</v>
      </c>
      <c r="N28" s="135"/>
      <c r="O28" s="170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34"/>
      <c r="AF28" s="134"/>
      <c r="AG28" s="134"/>
      <c r="AH28" s="134"/>
      <c r="AI28" s="134"/>
      <c r="AJ28" s="134"/>
      <c r="AK28" s="134"/>
      <c r="AL28" s="134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</row>
    <row r="29" spans="1:50" s="7" customFormat="1" x14ac:dyDescent="0.25">
      <c r="A29" s="105"/>
      <c r="B29" s="105" t="s">
        <v>114</v>
      </c>
      <c r="C29" s="169">
        <f>Määräytymistekijät!C21</f>
        <v>175816</v>
      </c>
      <c r="D29" s="42">
        <f>'Yhteenveto ja muutos nykytilaan'!D27</f>
        <v>690443212.31428003</v>
      </c>
      <c r="E29" s="36">
        <f>'Yhteenveto ja muutos nykytilaan'!F27</f>
        <v>678431607.52684116</v>
      </c>
      <c r="F29" s="43">
        <f t="shared" si="0"/>
        <v>-12011604.787438869</v>
      </c>
      <c r="G29" s="131">
        <f t="shared" si="3"/>
        <v>-68.319179070385346</v>
      </c>
      <c r="H29" s="36">
        <f>'Arvio hyten vaikutuksesta'!N25+'PELA laskennallinen rahoitus'!F61</f>
        <v>679090523.49523556</v>
      </c>
      <c r="I29" s="43">
        <f t="shared" si="1"/>
        <v>-11352688.819044471</v>
      </c>
      <c r="J29" s="141">
        <f t="shared" si="2"/>
        <v>-64.571420229356093</v>
      </c>
      <c r="N29" s="135"/>
      <c r="O29" s="170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34"/>
      <c r="AF29" s="134"/>
      <c r="AG29" s="134"/>
      <c r="AH29" s="134"/>
      <c r="AI29" s="134"/>
      <c r="AJ29" s="134"/>
      <c r="AK29" s="134"/>
      <c r="AL29" s="134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</row>
    <row r="30" spans="1:50" s="7" customFormat="1" x14ac:dyDescent="0.25">
      <c r="A30" s="105"/>
      <c r="B30" s="105" t="s">
        <v>113</v>
      </c>
      <c r="C30" s="169">
        <f>Määräytymistekijät!C22</f>
        <v>67988</v>
      </c>
      <c r="D30" s="42">
        <f>'Yhteenveto ja muutos nykytilaan'!D28</f>
        <v>273492365.43318635</v>
      </c>
      <c r="E30" s="36">
        <f>'Yhteenveto ja muutos nykytilaan'!F28</f>
        <v>290679435.92560589</v>
      </c>
      <c r="F30" s="43">
        <f t="shared" si="0"/>
        <v>17187070.492419541</v>
      </c>
      <c r="G30" s="131">
        <f t="shared" si="3"/>
        <v>252.79564764987265</v>
      </c>
      <c r="H30" s="36">
        <f>'Arvio hyten vaikutuksesta'!N26+'PELA laskennallinen rahoitus'!F62</f>
        <v>289977571.69630462</v>
      </c>
      <c r="I30" s="43">
        <f t="shared" si="1"/>
        <v>16485206.263118267</v>
      </c>
      <c r="J30" s="141">
        <f t="shared" si="2"/>
        <v>242.47229309757998</v>
      </c>
      <c r="N30" s="135"/>
      <c r="O30" s="170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34"/>
      <c r="AF30" s="134"/>
      <c r="AG30" s="134"/>
      <c r="AH30" s="134"/>
      <c r="AI30" s="134"/>
      <c r="AJ30" s="134"/>
      <c r="AK30" s="134"/>
      <c r="AL30" s="134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1:50" s="7" customFormat="1" x14ac:dyDescent="0.25">
      <c r="A31" s="105"/>
      <c r="B31" s="105" t="s">
        <v>444</v>
      </c>
      <c r="C31" s="169">
        <f>Määräytymistekijät!C23</f>
        <v>413830</v>
      </c>
      <c r="D31" s="42">
        <f>'Yhteenveto ja muutos nykytilaan'!D29</f>
        <v>1582431993.9958119</v>
      </c>
      <c r="E31" s="36">
        <f>'Yhteenveto ja muutos nykytilaan'!F29</f>
        <v>1638839196.4871399</v>
      </c>
      <c r="F31" s="43">
        <f t="shared" si="0"/>
        <v>56407202.491328001</v>
      </c>
      <c r="G31" s="131">
        <f t="shared" si="3"/>
        <v>136.30525213572724</v>
      </c>
      <c r="H31" s="36">
        <f>'Arvio hyten vaikutuksesta'!N27+'PELA laskennallinen rahoitus'!F63</f>
        <v>1637586819.8028774</v>
      </c>
      <c r="I31" s="43">
        <f t="shared" si="1"/>
        <v>55154825.807065487</v>
      </c>
      <c r="J31" s="141">
        <f t="shared" si="2"/>
        <v>133.27894499447959</v>
      </c>
      <c r="N31" s="135"/>
      <c r="O31" s="170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34"/>
      <c r="AF31" s="134"/>
      <c r="AG31" s="134"/>
      <c r="AH31" s="134"/>
      <c r="AI31" s="134"/>
      <c r="AJ31" s="134"/>
      <c r="AK31" s="134"/>
      <c r="AL31" s="134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1:50" s="7" customFormat="1" x14ac:dyDescent="0.25">
      <c r="A32" s="105"/>
      <c r="B32" s="105" t="s">
        <v>111</v>
      </c>
      <c r="C32" s="169">
        <f>Määräytymistekijät!C24</f>
        <v>71664</v>
      </c>
      <c r="D32" s="42">
        <f>'Yhteenveto ja muutos nykytilaan'!D30</f>
        <v>354183816.26198155</v>
      </c>
      <c r="E32" s="36">
        <f>'Yhteenveto ja muutos nykytilaan'!F30</f>
        <v>334977753.3726722</v>
      </c>
      <c r="F32" s="43">
        <f t="shared" si="0"/>
        <v>-19206062.889309347</v>
      </c>
      <c r="G32" s="131">
        <f t="shared" si="3"/>
        <v>-268.00154735026439</v>
      </c>
      <c r="H32" s="36">
        <f>'Arvio hyten vaikutuksesta'!N28+'PELA laskennallinen rahoitus'!F64</f>
        <v>334840665.9588964</v>
      </c>
      <c r="I32" s="43">
        <f t="shared" si="1"/>
        <v>-19343150.303085148</v>
      </c>
      <c r="J32" s="141">
        <f t="shared" si="2"/>
        <v>-269.91446616271975</v>
      </c>
      <c r="N32" s="135"/>
      <c r="O32" s="170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34"/>
      <c r="AF32" s="134"/>
      <c r="AG32" s="134"/>
      <c r="AH32" s="134"/>
      <c r="AI32" s="134"/>
      <c r="AJ32" s="134"/>
      <c r="AK32" s="134"/>
      <c r="AL32" s="134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</row>
    <row r="33" spans="1:50" s="7" customFormat="1" x14ac:dyDescent="0.25">
      <c r="A33" s="105"/>
      <c r="B33" s="105" t="s">
        <v>110</v>
      </c>
      <c r="C33" s="169">
        <f>Määräytymistekijät!C25</f>
        <v>176665</v>
      </c>
      <c r="D33" s="42">
        <f>'Yhteenveto ja muutos nykytilaan'!D31</f>
        <v>822434325.60544407</v>
      </c>
      <c r="E33" s="36">
        <f>'Yhteenveto ja muutos nykytilaan'!F31</f>
        <v>841034418.55759263</v>
      </c>
      <c r="F33" s="43">
        <f t="shared" si="0"/>
        <v>18600092.952148557</v>
      </c>
      <c r="G33" s="131">
        <f t="shared" si="3"/>
        <v>105.2845382625226</v>
      </c>
      <c r="H33" s="36">
        <f>'Arvio hyten vaikutuksesta'!N29+'PELA laskennallinen rahoitus'!F65</f>
        <v>842949121.94690764</v>
      </c>
      <c r="I33" s="43">
        <f t="shared" si="1"/>
        <v>20514796.341463566</v>
      </c>
      <c r="J33" s="141">
        <f t="shared" si="2"/>
        <v>116.12258422134303</v>
      </c>
      <c r="N33" s="135"/>
      <c r="O33" s="170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34"/>
      <c r="AF33" s="134"/>
      <c r="AG33" s="134"/>
      <c r="AH33" s="134"/>
      <c r="AI33" s="134"/>
      <c r="AJ33" s="134"/>
      <c r="AK33" s="134"/>
      <c r="AL33" s="134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1:50" s="7" customFormat="1" x14ac:dyDescent="0.25">
      <c r="B34" s="19" t="s">
        <v>109</v>
      </c>
      <c r="C34" s="59">
        <f>SUM(C12:C33)</f>
        <v>5503664</v>
      </c>
      <c r="D34" s="59">
        <f>SUM(D12:D33)</f>
        <v>21233581000.000004</v>
      </c>
      <c r="E34" s="59">
        <f>SUM(E12:E33)</f>
        <v>21233581000</v>
      </c>
      <c r="F34" s="131">
        <f>E34-D34</f>
        <v>0</v>
      </c>
      <c r="G34" s="131">
        <f>F34/Määräytymistekijät!C26</f>
        <v>0</v>
      </c>
      <c r="H34" s="36">
        <f>'Arvio hyten vaikutuksesta'!N30+'PELA laskennallinen rahoitus'!F66</f>
        <v>21233581000</v>
      </c>
      <c r="I34" s="19">
        <v>0</v>
      </c>
      <c r="J34" s="59">
        <v>0</v>
      </c>
      <c r="N34" s="14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34"/>
      <c r="AF34" s="135"/>
      <c r="AG34" s="135"/>
      <c r="AH34" s="135"/>
      <c r="AI34" s="135"/>
      <c r="AJ34" s="135"/>
      <c r="AK34" s="135"/>
      <c r="AL34" s="135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5" spans="1:50" s="7" customFormat="1" x14ac:dyDescent="0.25">
      <c r="B35" s="19"/>
      <c r="C35" s="19"/>
      <c r="H35" s="13"/>
      <c r="I35" s="36"/>
      <c r="N35" s="12"/>
      <c r="O35" s="12"/>
      <c r="P35" s="12"/>
      <c r="Q35" s="12"/>
      <c r="R35" s="12"/>
      <c r="S35" s="12"/>
      <c r="T35" s="12"/>
      <c r="U35" s="12"/>
      <c r="V35" s="12"/>
      <c r="W35" s="14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</row>
    <row r="36" spans="1:50" s="7" customFormat="1" x14ac:dyDescent="0.25">
      <c r="B36" s="19"/>
      <c r="C36" s="19"/>
      <c r="H36" s="13"/>
      <c r="I36" s="36"/>
      <c r="N36" s="12"/>
      <c r="O36" s="12"/>
      <c r="P36" s="12"/>
      <c r="Q36" s="12"/>
      <c r="R36" s="12"/>
      <c r="S36" s="12"/>
      <c r="T36" s="12"/>
      <c r="U36" s="12"/>
      <c r="V36" s="12"/>
      <c r="W36" s="14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</row>
    <row r="37" spans="1:50" s="7" customFormat="1" x14ac:dyDescent="0.25">
      <c r="A37" s="20" t="s">
        <v>569</v>
      </c>
      <c r="B37" s="24"/>
      <c r="C37" s="24"/>
      <c r="D37" s="24"/>
      <c r="E37" s="24"/>
      <c r="F37" s="24"/>
      <c r="G37" s="24"/>
      <c r="H37" s="24"/>
      <c r="I37" s="24"/>
      <c r="J37" s="24"/>
      <c r="N37" s="12"/>
      <c r="O37" s="12"/>
      <c r="P37" s="12"/>
      <c r="Q37" s="12"/>
      <c r="R37" s="12"/>
      <c r="S37" s="12"/>
      <c r="T37" s="12"/>
      <c r="U37" s="12"/>
      <c r="V37" s="12"/>
      <c r="W37" s="14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50" s="7" customFormat="1" x14ac:dyDescent="0.25">
      <c r="A38" s="360" t="s">
        <v>469</v>
      </c>
      <c r="B38" s="360" t="s">
        <v>134</v>
      </c>
      <c r="C38" s="360" t="s">
        <v>517</v>
      </c>
      <c r="D38" s="360" t="s">
        <v>580</v>
      </c>
      <c r="E38" s="360" t="s">
        <v>581</v>
      </c>
      <c r="F38" s="360" t="s">
        <v>582</v>
      </c>
      <c r="G38" s="360" t="s">
        <v>583</v>
      </c>
      <c r="H38" s="361" t="s">
        <v>584</v>
      </c>
      <c r="I38" s="381" t="s">
        <v>586</v>
      </c>
      <c r="J38" s="335" t="s">
        <v>587</v>
      </c>
      <c r="N38" s="12"/>
      <c r="O38" s="12"/>
      <c r="P38" s="12"/>
      <c r="Q38" s="12"/>
      <c r="R38" s="12"/>
      <c r="S38" s="12"/>
      <c r="T38" s="12"/>
      <c r="U38" s="12"/>
      <c r="V38" s="12"/>
      <c r="W38" s="14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0" s="7" customFormat="1" x14ac:dyDescent="0.25">
      <c r="A39" s="365"/>
      <c r="B39" s="362"/>
      <c r="C39" s="363" t="s">
        <v>518</v>
      </c>
      <c r="D39" s="362">
        <v>0</v>
      </c>
      <c r="E39" s="362">
        <v>10</v>
      </c>
      <c r="F39" s="362">
        <v>30</v>
      </c>
      <c r="G39" s="362">
        <v>60</v>
      </c>
      <c r="H39" s="364">
        <v>90</v>
      </c>
      <c r="I39" s="19">
        <v>150</v>
      </c>
      <c r="J39" s="19">
        <v>200</v>
      </c>
      <c r="N39" s="12"/>
      <c r="O39" s="12"/>
      <c r="P39" s="12"/>
      <c r="Q39" s="12"/>
      <c r="R39" s="12"/>
      <c r="S39" s="12"/>
      <c r="T39" s="12"/>
      <c r="U39" s="12"/>
      <c r="V39" s="12"/>
      <c r="W39" s="14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0" s="7" customFormat="1" x14ac:dyDescent="0.25">
      <c r="A40" s="365"/>
      <c r="B40" s="365"/>
      <c r="C40" s="363" t="s">
        <v>519</v>
      </c>
      <c r="D40" s="366">
        <v>0</v>
      </c>
      <c r="E40" s="366">
        <v>-10</v>
      </c>
      <c r="F40" s="366">
        <v>-30</v>
      </c>
      <c r="G40" s="366">
        <v>-60</v>
      </c>
      <c r="H40" s="367">
        <v>-75</v>
      </c>
      <c r="I40" s="176">
        <v>-90</v>
      </c>
      <c r="J40" s="176">
        <v>-100</v>
      </c>
      <c r="N40" s="12"/>
      <c r="O40" s="12"/>
      <c r="P40" s="12"/>
      <c r="Q40" s="12"/>
      <c r="R40" s="12"/>
      <c r="S40" s="12"/>
      <c r="T40" s="12"/>
      <c r="U40" s="12"/>
      <c r="V40" s="12"/>
      <c r="W40" s="14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1:50" s="7" customFormat="1" x14ac:dyDescent="0.25">
      <c r="A41" s="378"/>
      <c r="B41" s="31" t="s">
        <v>131</v>
      </c>
      <c r="C41" s="66">
        <f>Määräytymistekijät!C4</f>
        <v>656920</v>
      </c>
      <c r="D41" s="368">
        <f t="shared" ref="D41:D62" si="4">G12*-1</f>
        <v>338.51601246451804</v>
      </c>
      <c r="E41" s="368">
        <f>IF(Siirtymäkausi!$G12&lt;E$40,-Siirtymäkausi!$G12+E$40,IF(Siirtymäkausi!$G12&gt;E$39,E$39-Siirtymäkausi!$G12,0))</f>
        <v>328.51601246451804</v>
      </c>
      <c r="F41" s="368">
        <f>IF(Siirtymäkausi!$G12&lt;F$40,-Siirtymäkausi!$G12+F$40,IF(Siirtymäkausi!$G12&gt;F$39,F$39-Siirtymäkausi!$G12,0))</f>
        <v>308.51601246451804</v>
      </c>
      <c r="G41" s="368">
        <f>IF(Siirtymäkausi!$J12&lt;G$40,-Siirtymäkausi!$J12+G$40,IF(Siirtymäkausi!$J12&gt;G$39,G$39-Siirtymäkausi!$J12,0))</f>
        <v>283.27095343438964</v>
      </c>
      <c r="H41" s="369">
        <f>IF(Siirtymäkausi!$J12&lt;H$40,-Siirtymäkausi!$J12+H$40,IF(Siirtymäkausi!$J12&gt;H$39,H$39-Siirtymäkausi!$J12,0))</f>
        <v>268.27095343438964</v>
      </c>
      <c r="I41" s="177">
        <f>IF(Siirtymäkausi!$J12&lt;I$40,-Siirtymäkausi!$J12+I$40,IF(Siirtymäkausi!$J12&gt;I$39,I$39-Siirtymäkausi!$J12,0))</f>
        <v>253.27095343438964</v>
      </c>
      <c r="J41" s="177">
        <f>IF(Siirtymäkausi!$J12&lt;J$40,-Siirtymäkausi!$J12+J$40,IF(Siirtymäkausi!$J12&gt;J$39,J$39-Siirtymäkausi!$J12,0))</f>
        <v>243.27095343438964</v>
      </c>
      <c r="K41" s="177"/>
      <c r="N41" s="12"/>
      <c r="O41" s="12"/>
      <c r="P41" s="12"/>
      <c r="Q41" s="12"/>
      <c r="R41" s="12"/>
      <c r="S41" s="12"/>
      <c r="T41" s="12"/>
      <c r="U41" s="359"/>
      <c r="V41" s="359"/>
      <c r="W41" s="359"/>
      <c r="X41" s="359"/>
      <c r="Y41" s="359"/>
      <c r="Z41" s="359"/>
      <c r="AA41" s="359"/>
      <c r="AB41" s="178"/>
      <c r="AC41" s="178"/>
      <c r="AD41" s="178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</row>
    <row r="42" spans="1:50" s="7" customFormat="1" x14ac:dyDescent="0.25">
      <c r="A42" s="379"/>
      <c r="B42" s="362" t="s">
        <v>437</v>
      </c>
      <c r="C42" s="370">
        <f>Määräytymistekijät!C5</f>
        <v>274336</v>
      </c>
      <c r="D42" s="371">
        <f t="shared" si="4"/>
        <v>-43.747053512828664</v>
      </c>
      <c r="E42" s="371">
        <f>IF(Siirtymäkausi!$G13&lt;E$40,-Siirtymäkausi!$G13+E$40,IF(Siirtymäkausi!$G13&gt;E$39,E$39-Siirtymäkausi!$G13,0))</f>
        <v>-33.747053512828664</v>
      </c>
      <c r="F42" s="371">
        <f>IF(Siirtymäkausi!$G13&lt;F$40,-Siirtymäkausi!$G13+F$40,IF(Siirtymäkausi!$G13&gt;F$39,F$39-Siirtymäkausi!$G13,0))</f>
        <v>-13.747053512828664</v>
      </c>
      <c r="G42" s="371">
        <f>IF(Siirtymäkausi!$J13&lt;G$40,-Siirtymäkausi!$J13+G$40,IF(Siirtymäkausi!$J13&gt;G$39,G$39-Siirtymäkausi!$J13,0))</f>
        <v>0</v>
      </c>
      <c r="H42" s="372">
        <f>IF(Siirtymäkausi!$J13&lt;H$40,-Siirtymäkausi!$J13+H$40,IF(Siirtymäkausi!$J13&gt;H$39,H$39-Siirtymäkausi!$J13,0))</f>
        <v>0</v>
      </c>
      <c r="I42" s="177">
        <f>IF(Siirtymäkausi!$J13&lt;I$40,-Siirtymäkausi!$J13+I$40,IF(Siirtymäkausi!$J13&gt;I$39,I$39-Siirtymäkausi!$J13,0))</f>
        <v>0</v>
      </c>
      <c r="J42" s="177">
        <f>IF(Siirtymäkausi!$J13&lt;J$40,-Siirtymäkausi!$J13+J$40,IF(Siirtymäkausi!$J13&gt;J$39,J$39-Siirtymäkausi!$J13,0))</f>
        <v>0</v>
      </c>
      <c r="N42" s="12"/>
      <c r="O42" s="12"/>
      <c r="P42" s="12"/>
      <c r="Q42" s="12"/>
      <c r="R42" s="12"/>
      <c r="S42" s="12"/>
      <c r="T42" s="12"/>
      <c r="U42" s="359"/>
      <c r="V42" s="359"/>
      <c r="W42" s="359"/>
      <c r="X42" s="359"/>
      <c r="Y42" s="359"/>
      <c r="Z42" s="359"/>
      <c r="AA42" s="359"/>
      <c r="AB42" s="178"/>
      <c r="AC42" s="178"/>
      <c r="AD42" s="178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</row>
    <row r="43" spans="1:50" s="7" customFormat="1" x14ac:dyDescent="0.25">
      <c r="A43" s="379"/>
      <c r="B43" s="362" t="s">
        <v>129</v>
      </c>
      <c r="C43" s="370">
        <f>Määräytymistekijät!C6</f>
        <v>473838</v>
      </c>
      <c r="D43" s="371">
        <f t="shared" si="4"/>
        <v>-11.443154943480991</v>
      </c>
      <c r="E43" s="371">
        <f>IF(Siirtymäkausi!$G14&lt;E$40,-Siirtymäkausi!$G14+E$40,IF(Siirtymäkausi!$G14&gt;E$39,E$39-Siirtymäkausi!$G14,0))</f>
        <v>-1.4431549434809909</v>
      </c>
      <c r="F43" s="371">
        <f>IF(Siirtymäkausi!$G14&lt;F$40,-Siirtymäkausi!$G14+F$40,IF(Siirtymäkausi!$G14&gt;F$39,F$39-Siirtymäkausi!$G14,0))</f>
        <v>0</v>
      </c>
      <c r="G43" s="371">
        <f>IF(Siirtymäkausi!$J14&lt;G$40,-Siirtymäkausi!$J14+G$40,IF(Siirtymäkausi!$J14&gt;G$39,G$39-Siirtymäkausi!$J14,0))</f>
        <v>0</v>
      </c>
      <c r="H43" s="372">
        <f>IF(Siirtymäkausi!$J14&lt;H$40,-Siirtymäkausi!$J14+H$40,IF(Siirtymäkausi!$J14&gt;H$39,H$39-Siirtymäkausi!$J14,0))</f>
        <v>0</v>
      </c>
      <c r="I43" s="177">
        <f>IF(Siirtymäkausi!$J14&lt;I$40,-Siirtymäkausi!$J14+I$40,IF(Siirtymäkausi!$J14&gt;I$39,I$39-Siirtymäkausi!$J14,0))</f>
        <v>0</v>
      </c>
      <c r="J43" s="177">
        <f>IF(Siirtymäkausi!$J14&lt;J$40,-Siirtymäkausi!$J14+J$40,IF(Siirtymäkausi!$J14&gt;J$39,J$39-Siirtymäkausi!$J14,0))</f>
        <v>0</v>
      </c>
      <c r="N43" s="12"/>
      <c r="O43" s="12"/>
      <c r="P43" s="12"/>
      <c r="Q43" s="12"/>
      <c r="R43" s="12"/>
      <c r="S43" s="12"/>
      <c r="T43" s="12"/>
      <c r="U43" s="359"/>
      <c r="V43" s="359"/>
      <c r="W43" s="359"/>
      <c r="X43" s="359"/>
      <c r="Y43" s="359"/>
      <c r="Z43" s="359"/>
      <c r="AA43" s="359"/>
      <c r="AB43" s="178"/>
      <c r="AC43" s="178"/>
      <c r="AD43" s="178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</row>
    <row r="44" spans="1:50" s="7" customFormat="1" x14ac:dyDescent="0.25">
      <c r="A44" s="379"/>
      <c r="B44" s="362" t="s">
        <v>128</v>
      </c>
      <c r="C44" s="370">
        <f>Määräytymistekijät!C7</f>
        <v>98254</v>
      </c>
      <c r="D44" s="371">
        <f t="shared" si="4"/>
        <v>-261.64657993622592</v>
      </c>
      <c r="E44" s="371">
        <f>IF(Siirtymäkausi!$G15&lt;E$40,-Siirtymäkausi!$G15+E$40,IF(Siirtymäkausi!$G15&gt;E$39,E$39-Siirtymäkausi!$G15,0))</f>
        <v>-251.64657993622592</v>
      </c>
      <c r="F44" s="371">
        <f>IF(Siirtymäkausi!$G15&lt;F$40,-Siirtymäkausi!$G15+F$40,IF(Siirtymäkausi!$G15&gt;F$39,F$39-Siirtymäkausi!$G15,0))</f>
        <v>-231.64657993622592</v>
      </c>
      <c r="G44" s="371">
        <f>IF(Siirtymäkausi!$J15&lt;G$40,-Siirtymäkausi!$J15+G$40,IF(Siirtymäkausi!$J15&gt;G$39,G$39-Siirtymäkausi!$J15,0))</f>
        <v>-200.57552479971667</v>
      </c>
      <c r="H44" s="372">
        <f>IF(Siirtymäkausi!$J15&lt;H$40,-Siirtymäkausi!$J15+H$40,IF(Siirtymäkausi!$J15&gt;H$39,H$39-Siirtymäkausi!$J15,0))</f>
        <v>-170.57552479971667</v>
      </c>
      <c r="I44" s="177">
        <f>IF(Siirtymäkausi!$J15&lt;I$40,-Siirtymäkausi!$J15+I$40,IF(Siirtymäkausi!$J15&gt;I$39,I$39-Siirtymäkausi!$J15,0))</f>
        <v>-110.57552479971667</v>
      </c>
      <c r="J44" s="177">
        <f>IF(Siirtymäkausi!$J15&lt;J$40,-Siirtymäkausi!$J15+J$40,IF(Siirtymäkausi!$J15&gt;J$39,J$39-Siirtymäkausi!$J15,0))</f>
        <v>-60.575524799716675</v>
      </c>
      <c r="N44" s="12"/>
      <c r="O44" s="12"/>
      <c r="P44" s="12"/>
      <c r="Q44" s="12"/>
      <c r="R44" s="12"/>
      <c r="S44" s="12"/>
      <c r="T44" s="12"/>
      <c r="U44" s="359"/>
      <c r="V44" s="359"/>
      <c r="W44" s="359"/>
      <c r="X44" s="359"/>
      <c r="Y44" s="359"/>
      <c r="Z44" s="359"/>
      <c r="AA44" s="359"/>
      <c r="AB44" s="178"/>
      <c r="AC44" s="178"/>
      <c r="AD44" s="178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</row>
    <row r="45" spans="1:50" s="7" customFormat="1" x14ac:dyDescent="0.25">
      <c r="A45" s="379"/>
      <c r="B45" s="362" t="s">
        <v>127</v>
      </c>
      <c r="C45" s="370">
        <f>Määräytymistekijät!C8</f>
        <v>199330</v>
      </c>
      <c r="D45" s="371">
        <f t="shared" si="4"/>
        <v>169.63893320467639</v>
      </c>
      <c r="E45" s="371">
        <f>IF(Siirtymäkausi!$G16&lt;E$40,-Siirtymäkausi!$G16+E$40,IF(Siirtymäkausi!$G16&gt;E$39,E$39-Siirtymäkausi!$G16,0))</f>
        <v>159.63893320467639</v>
      </c>
      <c r="F45" s="371">
        <f>IF(Siirtymäkausi!$G16&lt;F$40,-Siirtymäkausi!$G16+F$40,IF(Siirtymäkausi!$G16&gt;F$39,F$39-Siirtymäkausi!$G16,0))</f>
        <v>139.63893320467639</v>
      </c>
      <c r="G45" s="371">
        <f>IF(Siirtymäkausi!$J16&lt;G$40,-Siirtymäkausi!$J16+G$40,IF(Siirtymäkausi!$J16&gt;G$39,G$39-Siirtymäkausi!$J16,0))</f>
        <v>108.15962786191753</v>
      </c>
      <c r="H45" s="372">
        <f>IF(Siirtymäkausi!$J16&lt;H$40,-Siirtymäkausi!$J16+H$40,IF(Siirtymäkausi!$J16&gt;H$39,H$39-Siirtymäkausi!$J16,0))</f>
        <v>93.159627861917528</v>
      </c>
      <c r="I45" s="177">
        <f>IF(Siirtymäkausi!$J16&lt;I$40,-Siirtymäkausi!$J16+I$40,IF(Siirtymäkausi!$J16&gt;I$39,I$39-Siirtymäkausi!$J16,0))</f>
        <v>78.159627861917528</v>
      </c>
      <c r="J45" s="177">
        <f>IF(Siirtymäkausi!$J16&lt;J$40,-Siirtymäkausi!$J16+J$40,IF(Siirtymäkausi!$J16&gt;J$39,J$39-Siirtymäkausi!$J16,0))</f>
        <v>68.159627861917528</v>
      </c>
      <c r="N45" s="12"/>
      <c r="O45" s="12"/>
      <c r="P45" s="12"/>
      <c r="Q45" s="12"/>
      <c r="R45" s="12"/>
      <c r="S45" s="12"/>
      <c r="T45" s="12"/>
      <c r="U45" s="359"/>
      <c r="V45" s="359"/>
      <c r="W45" s="359"/>
      <c r="X45" s="359"/>
      <c r="Y45" s="359"/>
      <c r="Z45" s="359"/>
      <c r="AA45" s="359"/>
      <c r="AB45" s="178"/>
      <c r="AC45" s="178"/>
      <c r="AD45" s="178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</row>
    <row r="46" spans="1:50" s="7" customFormat="1" x14ac:dyDescent="0.25">
      <c r="A46" s="373"/>
      <c r="B46" s="373" t="s">
        <v>126</v>
      </c>
      <c r="C46" s="370">
        <f>Määräytymistekijät!C9</f>
        <v>481403</v>
      </c>
      <c r="D46" s="371">
        <f t="shared" si="4"/>
        <v>-213.68299696198793</v>
      </c>
      <c r="E46" s="371">
        <f>IF(Siirtymäkausi!$G17&lt;E$40,-Siirtymäkausi!$G17+E$40,IF(Siirtymäkausi!$G17&gt;E$39,E$39-Siirtymäkausi!$G17,0))</f>
        <v>-203.68299696198793</v>
      </c>
      <c r="F46" s="371">
        <f>IF(Siirtymäkausi!$G17&lt;F$40,-Siirtymäkausi!$G17+F$40,IF(Siirtymäkausi!$G17&gt;F$39,F$39-Siirtymäkausi!$G17,0))</f>
        <v>-183.68299696198793</v>
      </c>
      <c r="G46" s="371">
        <f>IF(Siirtymäkausi!$J17&lt;G$40,-Siirtymäkausi!$J17+G$40,IF(Siirtymäkausi!$J17&gt;G$39,G$39-Siirtymäkausi!$J17,0))</f>
        <v>-150.44191489414538</v>
      </c>
      <c r="H46" s="372">
        <f>IF(Siirtymäkausi!$J17&lt;H$40,-Siirtymäkausi!$J17+H$40,IF(Siirtymäkausi!$J17&gt;H$39,H$39-Siirtymäkausi!$J17,0))</f>
        <v>-120.44191489414538</v>
      </c>
      <c r="I46" s="177">
        <f>IF(Siirtymäkausi!$J17&lt;I$40,-Siirtymäkausi!$J17+I$40,IF(Siirtymäkausi!$J17&gt;I$39,I$39-Siirtymäkausi!$J17,0))</f>
        <v>-60.441914894145384</v>
      </c>
      <c r="J46" s="177">
        <f>IF(Siirtymäkausi!$J17&lt;J$40,-Siirtymäkausi!$J17+J$40,IF(Siirtymäkausi!$J17&gt;J$39,J$39-Siirtymäkausi!$J17,0))</f>
        <v>-10.441914894145384</v>
      </c>
      <c r="N46" s="12"/>
      <c r="O46" s="12"/>
      <c r="P46" s="12"/>
      <c r="Q46" s="12"/>
      <c r="R46" s="12"/>
      <c r="S46" s="12"/>
      <c r="T46" s="12"/>
      <c r="U46" s="359"/>
      <c r="V46" s="359"/>
      <c r="W46" s="359"/>
      <c r="X46" s="359"/>
      <c r="Y46" s="359"/>
      <c r="Z46" s="359"/>
      <c r="AA46" s="359"/>
      <c r="AB46" s="178"/>
      <c r="AC46" s="178"/>
      <c r="AD46" s="178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</row>
    <row r="47" spans="1:50" s="7" customFormat="1" x14ac:dyDescent="0.25">
      <c r="A47" s="373"/>
      <c r="B47" s="373" t="s">
        <v>125</v>
      </c>
      <c r="C47" s="370">
        <f>Määräytymistekijät!C10</f>
        <v>215416</v>
      </c>
      <c r="D47" s="371">
        <f t="shared" si="4"/>
        <v>116.87365967803289</v>
      </c>
      <c r="E47" s="371">
        <f>IF(Siirtymäkausi!$G18&lt;E$40,-Siirtymäkausi!$G18+E$40,IF(Siirtymäkausi!$G18&gt;E$39,E$39-Siirtymäkausi!$G18,0))</f>
        <v>106.87365967803289</v>
      </c>
      <c r="F47" s="371">
        <f>IF(Siirtymäkausi!$G18&lt;F$40,-Siirtymäkausi!$G18+F$40,IF(Siirtymäkausi!$G18&gt;F$39,F$39-Siirtymäkausi!$G18,0))</f>
        <v>86.873659678032894</v>
      </c>
      <c r="G47" s="371">
        <f>IF(Siirtymäkausi!$J18&lt;G$40,-Siirtymäkausi!$J18+G$40,IF(Siirtymäkausi!$J18&gt;G$39,G$39-Siirtymäkausi!$J18,0))</f>
        <v>51.714684617191438</v>
      </c>
      <c r="H47" s="372">
        <f>IF(Siirtymäkausi!$J18&lt;H$40,-Siirtymäkausi!$J18+H$40,IF(Siirtymäkausi!$J18&gt;H$39,H$39-Siirtymäkausi!$J18,0))</f>
        <v>36.714684617191438</v>
      </c>
      <c r="I47" s="177">
        <f>IF(Siirtymäkausi!$J18&lt;I$40,-Siirtymäkausi!$J18+I$40,IF(Siirtymäkausi!$J18&gt;I$39,I$39-Siirtymäkausi!$J18,0))</f>
        <v>21.714684617191438</v>
      </c>
      <c r="J47" s="177">
        <f>IF(Siirtymäkausi!$J18&lt;J$40,-Siirtymäkausi!$J18+J$40,IF(Siirtymäkausi!$J18&gt;J$39,J$39-Siirtymäkausi!$J18,0))</f>
        <v>11.714684617191438</v>
      </c>
      <c r="N47" s="12"/>
      <c r="O47" s="12"/>
      <c r="P47" s="12"/>
      <c r="Q47" s="12"/>
      <c r="R47" s="12"/>
      <c r="S47" s="12"/>
      <c r="T47" s="12"/>
      <c r="U47" s="359"/>
      <c r="V47" s="359"/>
      <c r="W47" s="359"/>
      <c r="X47" s="359"/>
      <c r="Y47" s="359"/>
      <c r="Z47" s="359"/>
      <c r="AA47" s="359"/>
      <c r="AB47" s="178"/>
      <c r="AC47" s="178"/>
      <c r="AD47" s="178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</row>
    <row r="48" spans="1:50" s="7" customFormat="1" x14ac:dyDescent="0.25">
      <c r="A48" s="373"/>
      <c r="B48" s="373" t="s">
        <v>124</v>
      </c>
      <c r="C48" s="370">
        <f>Määräytymistekijät!C11</f>
        <v>170577</v>
      </c>
      <c r="D48" s="371">
        <f t="shared" si="4"/>
        <v>-25.300256006887238</v>
      </c>
      <c r="E48" s="371">
        <f>IF(Siirtymäkausi!$G19&lt;E$40,-Siirtymäkausi!$G19+E$40,IF(Siirtymäkausi!$G19&gt;E$39,E$39-Siirtymäkausi!$G19,0))</f>
        <v>-15.300256006887238</v>
      </c>
      <c r="F48" s="371">
        <f>IF(Siirtymäkausi!$G19&lt;F$40,-Siirtymäkausi!$G19+F$40,IF(Siirtymäkausi!$G19&gt;F$39,F$39-Siirtymäkausi!$G19,0))</f>
        <v>0</v>
      </c>
      <c r="G48" s="371">
        <f>IF(Siirtymäkausi!$J19&lt;G$40,-Siirtymäkausi!$J19+G$40,IF(Siirtymäkausi!$J19&gt;G$39,G$39-Siirtymäkausi!$J19,0))</f>
        <v>0</v>
      </c>
      <c r="H48" s="372">
        <f>IF(Siirtymäkausi!$J19&lt;H$40,-Siirtymäkausi!$J19+H$40,IF(Siirtymäkausi!$J19&gt;H$39,H$39-Siirtymäkausi!$J19,0))</f>
        <v>0</v>
      </c>
      <c r="I48" s="177">
        <f>IF(Siirtymäkausi!$J19&lt;I$40,-Siirtymäkausi!$J19+I$40,IF(Siirtymäkausi!$J19&gt;I$39,I$39-Siirtymäkausi!$J19,0))</f>
        <v>0</v>
      </c>
      <c r="J48" s="177">
        <f>IF(Siirtymäkausi!$J19&lt;J$40,-Siirtymäkausi!$J19+J$40,IF(Siirtymäkausi!$J19&gt;J$39,J$39-Siirtymäkausi!$J19,0))</f>
        <v>0</v>
      </c>
      <c r="N48" s="12"/>
      <c r="O48" s="12"/>
      <c r="P48" s="12"/>
      <c r="Q48" s="12"/>
      <c r="R48" s="12"/>
      <c r="S48" s="12"/>
      <c r="T48" s="12"/>
      <c r="U48" s="359"/>
      <c r="V48" s="359"/>
      <c r="W48" s="359"/>
      <c r="X48" s="359"/>
      <c r="Y48" s="359"/>
      <c r="Z48" s="359"/>
      <c r="AA48" s="359"/>
      <c r="AB48" s="178"/>
      <c r="AC48" s="178"/>
      <c r="AD48" s="178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</row>
    <row r="49" spans="1:50" s="7" customFormat="1" x14ac:dyDescent="0.25">
      <c r="A49" s="373"/>
      <c r="B49" s="373" t="s">
        <v>123</v>
      </c>
      <c r="C49" s="370">
        <f>Määräytymistekijät!C12</f>
        <v>522852</v>
      </c>
      <c r="D49" s="371">
        <f t="shared" si="4"/>
        <v>-66.85366520933691</v>
      </c>
      <c r="E49" s="371">
        <f>IF(Siirtymäkausi!$G20&lt;E$40,-Siirtymäkausi!$G20+E$40,IF(Siirtymäkausi!$G20&gt;E$39,E$39-Siirtymäkausi!$G20,0))</f>
        <v>-56.85366520933691</v>
      </c>
      <c r="F49" s="371">
        <f>IF(Siirtymäkausi!$G20&lt;F$40,-Siirtymäkausi!$G20+F$40,IF(Siirtymäkausi!$G20&gt;F$39,F$39-Siirtymäkausi!$G20,0))</f>
        <v>-36.85366520933691</v>
      </c>
      <c r="G49" s="371">
        <f>IF(Siirtymäkausi!$J20&lt;G$40,-Siirtymäkausi!$J20+G$40,IF(Siirtymäkausi!$J20&gt;G$39,G$39-Siirtymäkausi!$J20,0))</f>
        <v>-14.183041261108002</v>
      </c>
      <c r="H49" s="372">
        <f>IF(Siirtymäkausi!$J20&lt;H$40,-Siirtymäkausi!$J20+H$40,IF(Siirtymäkausi!$J20&gt;H$39,H$39-Siirtymäkausi!$J20,0))</f>
        <v>0</v>
      </c>
      <c r="I49" s="177">
        <f>IF(Siirtymäkausi!$J20&lt;I$40,-Siirtymäkausi!$J20+I$40,IF(Siirtymäkausi!$J20&gt;I$39,I$39-Siirtymäkausi!$J20,0))</f>
        <v>0</v>
      </c>
      <c r="J49" s="177">
        <f>IF(Siirtymäkausi!$J20&lt;J$40,-Siirtymäkausi!$J20+J$40,IF(Siirtymäkausi!$J20&gt;J$39,J$39-Siirtymäkausi!$J20,0))</f>
        <v>0</v>
      </c>
      <c r="N49" s="12"/>
      <c r="O49" s="12"/>
      <c r="P49" s="12"/>
      <c r="Q49" s="12"/>
      <c r="R49" s="12"/>
      <c r="S49" s="12"/>
      <c r="T49" s="12"/>
      <c r="U49" s="359"/>
      <c r="V49" s="359"/>
      <c r="W49" s="359"/>
      <c r="X49" s="359"/>
      <c r="Y49" s="359"/>
      <c r="Z49" s="359"/>
      <c r="AA49" s="359"/>
      <c r="AB49" s="178"/>
      <c r="AC49" s="178"/>
      <c r="AD49" s="178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</row>
    <row r="50" spans="1:50" s="7" customFormat="1" x14ac:dyDescent="0.25">
      <c r="A50" s="373"/>
      <c r="B50" s="373" t="s">
        <v>122</v>
      </c>
      <c r="C50" s="370">
        <f>Määräytymistekijät!C13</f>
        <v>205771</v>
      </c>
      <c r="D50" s="371">
        <f t="shared" si="4"/>
        <v>-196.69938649459945</v>
      </c>
      <c r="E50" s="371">
        <f>IF(Siirtymäkausi!$G21&lt;E$40,-Siirtymäkausi!$G21+E$40,IF(Siirtymäkausi!$G21&gt;E$39,E$39-Siirtymäkausi!$G21,0))</f>
        <v>-186.69938649459945</v>
      </c>
      <c r="F50" s="371">
        <f>IF(Siirtymäkausi!$G21&lt;F$40,-Siirtymäkausi!$G21+F$40,IF(Siirtymäkausi!$G21&gt;F$39,F$39-Siirtymäkausi!$G21,0))</f>
        <v>-166.69938649459945</v>
      </c>
      <c r="G50" s="371">
        <f>IF(Siirtymäkausi!$J21&lt;G$40,-Siirtymäkausi!$J21+G$40,IF(Siirtymäkausi!$J21&gt;G$39,G$39-Siirtymäkausi!$J21,0))</f>
        <v>-135.47279895265098</v>
      </c>
      <c r="H50" s="372">
        <f>IF(Siirtymäkausi!$J21&lt;H$40,-Siirtymäkausi!$J21+H$40,IF(Siirtymäkausi!$J21&gt;H$39,H$39-Siirtymäkausi!$J21,0))</f>
        <v>-105.47279895265098</v>
      </c>
      <c r="I50" s="177">
        <f>IF(Siirtymäkausi!$J21&lt;I$40,-Siirtymäkausi!$J21+I$40,IF(Siirtymäkausi!$J21&gt;I$39,I$39-Siirtymäkausi!$J21,0))</f>
        <v>-45.472798952650976</v>
      </c>
      <c r="J50" s="177">
        <f>IF(Siirtymäkausi!$J21&lt;J$40,-Siirtymäkausi!$J21+J$40,IF(Siirtymäkausi!$J21&gt;J$39,J$39-Siirtymäkausi!$J21,0))</f>
        <v>0</v>
      </c>
      <c r="N50" s="12"/>
      <c r="O50" s="12"/>
      <c r="P50" s="12"/>
      <c r="Q50" s="12"/>
      <c r="R50" s="12"/>
      <c r="S50" s="12"/>
      <c r="T50" s="12"/>
      <c r="U50" s="359"/>
      <c r="V50" s="359"/>
      <c r="W50" s="359"/>
      <c r="X50" s="359"/>
      <c r="Y50" s="359"/>
      <c r="Z50" s="359"/>
      <c r="AA50" s="359"/>
      <c r="AB50" s="178"/>
      <c r="AC50" s="178"/>
      <c r="AD50" s="178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</row>
    <row r="51" spans="1:50" s="7" customFormat="1" x14ac:dyDescent="0.25">
      <c r="A51" s="373"/>
      <c r="B51" s="373" t="s">
        <v>121</v>
      </c>
      <c r="C51" s="370">
        <f>Määräytymistekijät!C14</f>
        <v>162812</v>
      </c>
      <c r="D51" s="371">
        <f t="shared" si="4"/>
        <v>118.88717163515332</v>
      </c>
      <c r="E51" s="371">
        <f>IF(Siirtymäkausi!$G22&lt;E$40,-Siirtymäkausi!$G22+E$40,IF(Siirtymäkausi!$G22&gt;E$39,E$39-Siirtymäkausi!$G22,0))</f>
        <v>108.88717163515332</v>
      </c>
      <c r="F51" s="371">
        <f>IF(Siirtymäkausi!$G22&lt;F$40,-Siirtymäkausi!$G22+F$40,IF(Siirtymäkausi!$G22&gt;F$39,F$39-Siirtymäkausi!$G22,0))</f>
        <v>88.887171635153322</v>
      </c>
      <c r="G51" s="371">
        <f>IF(Siirtymäkausi!$J22&lt;G$40,-Siirtymäkausi!$J22+G$40,IF(Siirtymäkausi!$J22&gt;G$39,G$39-Siirtymäkausi!$J22,0))</f>
        <v>56.947426030286607</v>
      </c>
      <c r="H51" s="372">
        <f>IF(Siirtymäkausi!$J22&lt;H$40,-Siirtymäkausi!$J22+H$40,IF(Siirtymäkausi!$J22&gt;H$39,H$39-Siirtymäkausi!$J22,0))</f>
        <v>41.947426030286607</v>
      </c>
      <c r="I51" s="177">
        <f>IF(Siirtymäkausi!$J22&lt;I$40,-Siirtymäkausi!$J22+I$40,IF(Siirtymäkausi!$J22&gt;I$39,I$39-Siirtymäkausi!$J22,0))</f>
        <v>26.947426030286607</v>
      </c>
      <c r="J51" s="177">
        <f>IF(Siirtymäkausi!$J22&lt;J$40,-Siirtymäkausi!$J22+J$40,IF(Siirtymäkausi!$J22&gt;J$39,J$39-Siirtymäkausi!$J22,0))</f>
        <v>16.947426030286607</v>
      </c>
      <c r="N51" s="12"/>
      <c r="O51" s="12"/>
      <c r="P51" s="12"/>
      <c r="Q51" s="12"/>
      <c r="R51" s="12"/>
      <c r="S51" s="12"/>
      <c r="T51" s="12"/>
      <c r="U51" s="359"/>
      <c r="V51" s="359"/>
      <c r="W51" s="359"/>
      <c r="X51" s="359"/>
      <c r="Y51" s="359"/>
      <c r="Z51" s="359"/>
      <c r="AA51" s="359"/>
      <c r="AB51" s="178"/>
      <c r="AC51" s="178"/>
      <c r="AD51" s="178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</row>
    <row r="52" spans="1:50" s="7" customFormat="1" x14ac:dyDescent="0.25">
      <c r="A52" s="373"/>
      <c r="B52" s="373" t="s">
        <v>120</v>
      </c>
      <c r="C52" s="370">
        <f>Määräytymistekijät!C15</f>
        <v>126921</v>
      </c>
      <c r="D52" s="371">
        <f t="shared" si="4"/>
        <v>145.48516637091424</v>
      </c>
      <c r="E52" s="371">
        <f>IF(Siirtymäkausi!$G23&lt;E$40,-Siirtymäkausi!$G23+E$40,IF(Siirtymäkausi!$G23&gt;E$39,E$39-Siirtymäkausi!$G23,0))</f>
        <v>135.48516637091424</v>
      </c>
      <c r="F52" s="371">
        <f>IF(Siirtymäkausi!$G23&lt;F$40,-Siirtymäkausi!$G23+F$40,IF(Siirtymäkausi!$G23&gt;F$39,F$39-Siirtymäkausi!$G23,0))</f>
        <v>115.48516637091424</v>
      </c>
      <c r="G52" s="371">
        <f>IF(Siirtymäkausi!$J23&lt;G$40,-Siirtymäkausi!$J23+G$40,IF(Siirtymäkausi!$J23&gt;G$39,G$39-Siirtymäkausi!$J23,0))</f>
        <v>79.815540807436008</v>
      </c>
      <c r="H52" s="372">
        <f>IF(Siirtymäkausi!$J23&lt;H$40,-Siirtymäkausi!$J23+H$40,IF(Siirtymäkausi!$J23&gt;H$39,H$39-Siirtymäkausi!$J23,0))</f>
        <v>64.815540807436008</v>
      </c>
      <c r="I52" s="177">
        <f>IF(Siirtymäkausi!$J23&lt;I$40,-Siirtymäkausi!$J23+I$40,IF(Siirtymäkausi!$J23&gt;I$39,I$39-Siirtymäkausi!$J23,0))</f>
        <v>49.815540807436008</v>
      </c>
      <c r="J52" s="177">
        <f>IF(Siirtymäkausi!$J23&lt;J$40,-Siirtymäkausi!$J23+J$40,IF(Siirtymäkausi!$J23&gt;J$39,J$39-Siirtymäkausi!$J23,0))</f>
        <v>39.815540807436008</v>
      </c>
      <c r="N52" s="12"/>
      <c r="O52" s="12"/>
      <c r="P52" s="12"/>
      <c r="Q52" s="12"/>
      <c r="R52" s="12"/>
      <c r="S52" s="12"/>
      <c r="T52" s="12"/>
      <c r="U52" s="359"/>
      <c r="V52" s="359"/>
      <c r="W52" s="359"/>
      <c r="X52" s="359"/>
      <c r="Y52" s="359"/>
      <c r="Z52" s="359"/>
      <c r="AA52" s="359"/>
      <c r="AB52" s="178"/>
      <c r="AC52" s="178"/>
      <c r="AD52" s="178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</row>
    <row r="53" spans="1:50" s="7" customFormat="1" x14ac:dyDescent="0.25">
      <c r="A53" s="373"/>
      <c r="B53" s="373" t="s">
        <v>119</v>
      </c>
      <c r="C53" s="370">
        <f>Määräytymistekijät!C16</f>
        <v>132702</v>
      </c>
      <c r="D53" s="371">
        <f t="shared" si="4"/>
        <v>316.97664842803437</v>
      </c>
      <c r="E53" s="371">
        <f>IF(Siirtymäkausi!$G24&lt;E$40,-Siirtymäkausi!$G24+E$40,IF(Siirtymäkausi!$G24&gt;E$39,E$39-Siirtymäkausi!$G24,0))</f>
        <v>306.97664842803437</v>
      </c>
      <c r="F53" s="371">
        <f>IF(Siirtymäkausi!$G24&lt;F$40,-Siirtymäkausi!$G24+F$40,IF(Siirtymäkausi!$G24&gt;F$39,F$39-Siirtymäkausi!$G24,0))</f>
        <v>286.97664842803437</v>
      </c>
      <c r="G53" s="371">
        <f>IF(Siirtymäkausi!$J24&lt;G$40,-Siirtymäkausi!$J24+G$40,IF(Siirtymäkausi!$J24&gt;G$39,G$39-Siirtymäkausi!$J24,0))</f>
        <v>252.57454689313676</v>
      </c>
      <c r="H53" s="372">
        <f>IF(Siirtymäkausi!$J24&lt;H$40,-Siirtymäkausi!$J24+H$40,IF(Siirtymäkausi!$J24&gt;H$39,H$39-Siirtymäkausi!$J24,0))</f>
        <v>237.57454689313676</v>
      </c>
      <c r="I53" s="177">
        <f>IF(Siirtymäkausi!$J24&lt;I$40,-Siirtymäkausi!$J24+I$40,IF(Siirtymäkausi!$J24&gt;I$39,I$39-Siirtymäkausi!$J24,0))</f>
        <v>222.57454689313676</v>
      </c>
      <c r="J53" s="177">
        <f>IF(Siirtymäkausi!$J24&lt;J$40,-Siirtymäkausi!$J24+J$40,IF(Siirtymäkausi!$J24&gt;J$39,J$39-Siirtymäkausi!$J24,0))</f>
        <v>212.57454689313676</v>
      </c>
      <c r="N53" s="12"/>
      <c r="O53" s="12"/>
      <c r="P53" s="12"/>
      <c r="Q53" s="12"/>
      <c r="R53" s="12"/>
      <c r="S53" s="12"/>
      <c r="T53" s="12"/>
      <c r="U53" s="359"/>
      <c r="V53" s="359"/>
      <c r="W53" s="359"/>
      <c r="X53" s="359"/>
      <c r="Y53" s="359"/>
      <c r="Z53" s="359"/>
      <c r="AA53" s="359"/>
      <c r="AB53" s="178"/>
      <c r="AC53" s="178"/>
      <c r="AD53" s="178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</row>
    <row r="54" spans="1:50" s="7" customFormat="1" x14ac:dyDescent="0.25">
      <c r="A54" s="373"/>
      <c r="B54" s="373" t="s">
        <v>118</v>
      </c>
      <c r="C54" s="370">
        <f>Määräytymistekijät!C17</f>
        <v>248265</v>
      </c>
      <c r="D54" s="371">
        <f t="shared" si="4"/>
        <v>6.6519570281867493</v>
      </c>
      <c r="E54" s="371">
        <f>IF(Siirtymäkausi!$G25&lt;E$40,-Siirtymäkausi!$G25+E$40,IF(Siirtymäkausi!$G25&gt;E$39,E$39-Siirtymäkausi!$G25,0))</f>
        <v>0</v>
      </c>
      <c r="F54" s="371">
        <f>IF(Siirtymäkausi!$G25&lt;F$40,-Siirtymäkausi!$G25+F$40,IF(Siirtymäkausi!$G25&gt;F$39,F$39-Siirtymäkausi!$G25,0))</f>
        <v>0</v>
      </c>
      <c r="G54" s="371">
        <f>IF(Siirtymäkausi!$J25&lt;G$40,-Siirtymäkausi!$J25+G$40,IF(Siirtymäkausi!$J25&gt;G$39,G$39-Siirtymäkausi!$J25,0))</f>
        <v>0</v>
      </c>
      <c r="H54" s="372">
        <f>IF(Siirtymäkausi!$J25&lt;H$40,-Siirtymäkausi!$J25+H$40,IF(Siirtymäkausi!$J25&gt;H$39,H$39-Siirtymäkausi!$J25,0))</f>
        <v>0</v>
      </c>
      <c r="I54" s="177">
        <f>IF(Siirtymäkausi!$J25&lt;I$40,-Siirtymäkausi!$J25+I$40,IF(Siirtymäkausi!$J25&gt;I$39,I$39-Siirtymäkausi!$J25,0))</f>
        <v>0</v>
      </c>
      <c r="J54" s="177">
        <f>IF(Siirtymäkausi!$J25&lt;J$40,-Siirtymäkausi!$J25+J$40,IF(Siirtymäkausi!$J25&gt;J$39,J$39-Siirtymäkausi!$J25,0))</f>
        <v>0</v>
      </c>
      <c r="N54" s="12"/>
      <c r="O54" s="12"/>
      <c r="P54" s="12"/>
      <c r="Q54" s="12"/>
      <c r="R54" s="12"/>
      <c r="S54" s="12"/>
      <c r="T54" s="12"/>
      <c r="U54" s="359"/>
      <c r="V54" s="359"/>
      <c r="W54" s="359"/>
      <c r="X54" s="359"/>
      <c r="Y54" s="359"/>
      <c r="Z54" s="359"/>
      <c r="AA54" s="359"/>
      <c r="AB54" s="178"/>
      <c r="AC54" s="178"/>
      <c r="AD54" s="178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</row>
    <row r="55" spans="1:50" s="7" customFormat="1" x14ac:dyDescent="0.25">
      <c r="A55" s="373"/>
      <c r="B55" s="373" t="s">
        <v>117</v>
      </c>
      <c r="C55" s="370">
        <f>Määräytymistekijät!C18</f>
        <v>163537</v>
      </c>
      <c r="D55" s="371">
        <f t="shared" si="4"/>
        <v>-460.81834546614931</v>
      </c>
      <c r="E55" s="371">
        <f>IF(Siirtymäkausi!$G26&lt;E$40,-Siirtymäkausi!$G26+E$40,IF(Siirtymäkausi!$G26&gt;E$39,E$39-Siirtymäkausi!$G26,0))</f>
        <v>-450.81834546614931</v>
      </c>
      <c r="F55" s="371">
        <f>IF(Siirtymäkausi!$G26&lt;F$40,-Siirtymäkausi!$G26+F$40,IF(Siirtymäkausi!$G26&gt;F$39,F$39-Siirtymäkausi!$G26,0))</f>
        <v>-430.81834546614931</v>
      </c>
      <c r="G55" s="371">
        <f>IF(Siirtymäkausi!$J26&lt;G$40,-Siirtymäkausi!$J26+G$40,IF(Siirtymäkausi!$J26&gt;G$39,G$39-Siirtymäkausi!$J26,0))</f>
        <v>-398.34013048679827</v>
      </c>
      <c r="H55" s="372">
        <f>IF(Siirtymäkausi!$J26&lt;H$40,-Siirtymäkausi!$J26+H$40,IF(Siirtymäkausi!$J26&gt;H$39,H$39-Siirtymäkausi!$J26,0))</f>
        <v>-368.34013048679827</v>
      </c>
      <c r="I55" s="177">
        <f>IF(Siirtymäkausi!$J26&lt;I$40,-Siirtymäkausi!$J26+I$40,IF(Siirtymäkausi!$J26&gt;I$39,I$39-Siirtymäkausi!$J26,0))</f>
        <v>-308.34013048679827</v>
      </c>
      <c r="J55" s="177">
        <f>IF(Siirtymäkausi!$J26&lt;J$40,-Siirtymäkausi!$J26+J$40,IF(Siirtymäkausi!$J26&gt;J$39,J$39-Siirtymäkausi!$J26,0))</f>
        <v>-258.34013048679827</v>
      </c>
      <c r="N55" s="12"/>
      <c r="O55" s="12"/>
      <c r="P55" s="12"/>
      <c r="Q55" s="12"/>
      <c r="R55" s="12"/>
      <c r="S55" s="12"/>
      <c r="T55" s="12"/>
      <c r="U55" s="359"/>
      <c r="V55" s="359"/>
      <c r="W55" s="359"/>
      <c r="X55" s="359"/>
      <c r="Y55" s="359"/>
      <c r="Z55" s="359"/>
      <c r="AA55" s="359"/>
      <c r="AB55" s="178"/>
      <c r="AC55" s="178"/>
      <c r="AD55" s="178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</row>
    <row r="56" spans="1:50" s="7" customFormat="1" x14ac:dyDescent="0.25">
      <c r="A56" s="373"/>
      <c r="B56" s="373" t="s">
        <v>116</v>
      </c>
      <c r="C56" s="370">
        <f>Määräytymistekijät!C19</f>
        <v>272617</v>
      </c>
      <c r="D56" s="371">
        <f t="shared" si="4"/>
        <v>-10.590520919829581</v>
      </c>
      <c r="E56" s="371">
        <f>IF(Siirtymäkausi!$G27&lt;E$40,-Siirtymäkausi!$G27+E$40,IF(Siirtymäkausi!$G27&gt;E$39,E$39-Siirtymäkausi!$G27,0))</f>
        <v>-0.5905209198295811</v>
      </c>
      <c r="F56" s="371">
        <f>IF(Siirtymäkausi!$G27&lt;F$40,-Siirtymäkausi!$G27+F$40,IF(Siirtymäkausi!$G27&gt;F$39,F$39-Siirtymäkausi!$G27,0))</f>
        <v>0</v>
      </c>
      <c r="G56" s="371">
        <f>IF(Siirtymäkausi!$J27&lt;G$40,-Siirtymäkausi!$J27+G$40,IF(Siirtymäkausi!$J27&gt;G$39,G$39-Siirtymäkausi!$J27,0))</f>
        <v>0</v>
      </c>
      <c r="H56" s="372">
        <f>IF(Siirtymäkausi!$J27&lt;H$40,-Siirtymäkausi!$J27+H$40,IF(Siirtymäkausi!$J27&gt;H$39,H$39-Siirtymäkausi!$J27,0))</f>
        <v>0</v>
      </c>
      <c r="I56" s="177">
        <f>IF(Siirtymäkausi!$J27&lt;I$40,-Siirtymäkausi!$J27+I$40,IF(Siirtymäkausi!$J27&gt;I$39,I$39-Siirtymäkausi!$J27,0))</f>
        <v>0</v>
      </c>
      <c r="J56" s="177">
        <f>IF(Siirtymäkausi!$J27&lt;J$40,-Siirtymäkausi!$J27+J$40,IF(Siirtymäkausi!$J27&gt;J$39,J$39-Siirtymäkausi!$J27,0))</f>
        <v>0</v>
      </c>
      <c r="N56" s="12"/>
      <c r="O56" s="12"/>
      <c r="P56" s="12"/>
      <c r="Q56" s="12"/>
      <c r="R56" s="12"/>
      <c r="S56" s="12"/>
      <c r="T56" s="12"/>
      <c r="U56" s="359"/>
      <c r="V56" s="359"/>
      <c r="W56" s="359"/>
      <c r="X56" s="359"/>
      <c r="Y56" s="359"/>
      <c r="Z56" s="359"/>
      <c r="AA56" s="359"/>
      <c r="AB56" s="178"/>
      <c r="AC56" s="178"/>
      <c r="AD56" s="178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</row>
    <row r="57" spans="1:50" s="7" customFormat="1" x14ac:dyDescent="0.25">
      <c r="A57" s="373"/>
      <c r="B57" s="373" t="s">
        <v>445</v>
      </c>
      <c r="C57" s="370">
        <f>Määräytymistekijät!C20</f>
        <v>192150</v>
      </c>
      <c r="D57" s="371">
        <f t="shared" si="4"/>
        <v>10.742711376983177</v>
      </c>
      <c r="E57" s="371">
        <f>IF(Siirtymäkausi!$G28&lt;E$40,-Siirtymäkausi!$G28+E$40,IF(Siirtymäkausi!$G28&gt;E$39,E$39-Siirtymäkausi!$G28,0))</f>
        <v>0.74271137698317702</v>
      </c>
      <c r="F57" s="371">
        <f>IF(Siirtymäkausi!$G28&lt;F$40,-Siirtymäkausi!$G28+F$40,IF(Siirtymäkausi!$G28&gt;F$39,F$39-Siirtymäkausi!$G28,0))</f>
        <v>0</v>
      </c>
      <c r="G57" s="371">
        <f>IF(Siirtymäkausi!$J28&lt;G$40,-Siirtymäkausi!$J28+G$40,IF(Siirtymäkausi!$J28&gt;G$39,G$39-Siirtymäkausi!$J28,0))</f>
        <v>0</v>
      </c>
      <c r="H57" s="372">
        <f>IF(Siirtymäkausi!$J28&lt;H$40,-Siirtymäkausi!$J28+H$40,IF(Siirtymäkausi!$J28&gt;H$39,H$39-Siirtymäkausi!$J28,0))</f>
        <v>0</v>
      </c>
      <c r="I57" s="177">
        <f>IF(Siirtymäkausi!$J28&lt;I$40,-Siirtymäkausi!$J28+I$40,IF(Siirtymäkausi!$J28&gt;I$39,I$39-Siirtymäkausi!$J28,0))</f>
        <v>0</v>
      </c>
      <c r="J57" s="177">
        <f>IF(Siirtymäkausi!$J28&lt;J$40,-Siirtymäkausi!$J28+J$40,IF(Siirtymäkausi!$J28&gt;J$39,J$39-Siirtymäkausi!$J28,0))</f>
        <v>0</v>
      </c>
      <c r="N57" s="12"/>
      <c r="O57" s="12"/>
      <c r="P57" s="12"/>
      <c r="Q57" s="12"/>
      <c r="R57" s="12"/>
      <c r="S57" s="12"/>
      <c r="T57" s="12"/>
      <c r="U57" s="359"/>
      <c r="V57" s="359"/>
      <c r="W57" s="359"/>
      <c r="X57" s="359"/>
      <c r="Y57" s="359"/>
      <c r="Z57" s="359"/>
      <c r="AA57" s="359"/>
      <c r="AB57" s="178"/>
      <c r="AC57" s="178"/>
      <c r="AD57" s="178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</row>
    <row r="58" spans="1:50" s="7" customFormat="1" x14ac:dyDescent="0.25">
      <c r="A58" s="373"/>
      <c r="B58" s="373" t="s">
        <v>114</v>
      </c>
      <c r="C58" s="370">
        <f>Määräytymistekijät!C21</f>
        <v>175816</v>
      </c>
      <c r="D58" s="371">
        <f t="shared" si="4"/>
        <v>68.319179070385346</v>
      </c>
      <c r="E58" s="371">
        <f>IF(Siirtymäkausi!$G29&lt;E$40,-Siirtymäkausi!$G29+E$40,IF(Siirtymäkausi!$G29&gt;E$39,E$39-Siirtymäkausi!$G29,0))</f>
        <v>58.319179070385346</v>
      </c>
      <c r="F58" s="371">
        <f>IF(Siirtymäkausi!$G29&lt;F$40,-Siirtymäkausi!$G29+F$40,IF(Siirtymäkausi!$G29&gt;F$39,F$39-Siirtymäkausi!$G29,0))</f>
        <v>38.319179070385346</v>
      </c>
      <c r="G58" s="371">
        <f>IF(Siirtymäkausi!$J29&lt;G$40,-Siirtymäkausi!$J29+G$40,IF(Siirtymäkausi!$J29&gt;G$39,G$39-Siirtymäkausi!$J29,0))</f>
        <v>4.571420229356093</v>
      </c>
      <c r="H58" s="372">
        <f>IF(Siirtymäkausi!$J29&lt;H$40,-Siirtymäkausi!$J29+H$40,IF(Siirtymäkausi!$J29&gt;H$39,H$39-Siirtymäkausi!$J29,0))</f>
        <v>0</v>
      </c>
      <c r="I58" s="177">
        <f>IF(Siirtymäkausi!$J29&lt;I$40,-Siirtymäkausi!$J29+I$40,IF(Siirtymäkausi!$J29&gt;I$39,I$39-Siirtymäkausi!$J29,0))</f>
        <v>0</v>
      </c>
      <c r="J58" s="177">
        <f>IF(Siirtymäkausi!$J29&lt;J$40,-Siirtymäkausi!$J29+J$40,IF(Siirtymäkausi!$J29&gt;J$39,J$39-Siirtymäkausi!$J29,0))</f>
        <v>0</v>
      </c>
      <c r="N58" s="12"/>
      <c r="O58" s="12"/>
      <c r="P58" s="12"/>
      <c r="Q58" s="12"/>
      <c r="R58" s="12"/>
      <c r="S58" s="12"/>
      <c r="T58" s="12"/>
      <c r="U58" s="359"/>
      <c r="V58" s="359"/>
      <c r="W58" s="359"/>
      <c r="X58" s="359"/>
      <c r="Y58" s="359"/>
      <c r="Z58" s="359"/>
      <c r="AA58" s="359"/>
      <c r="AB58" s="178"/>
      <c r="AC58" s="178"/>
      <c r="AD58" s="178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</row>
    <row r="59" spans="1:50" s="7" customFormat="1" x14ac:dyDescent="0.25">
      <c r="A59" s="373"/>
      <c r="B59" s="373" t="s">
        <v>113</v>
      </c>
      <c r="C59" s="370">
        <f>Määräytymistekijät!C22</f>
        <v>67988</v>
      </c>
      <c r="D59" s="371">
        <f t="shared" si="4"/>
        <v>-252.79564764987265</v>
      </c>
      <c r="E59" s="371">
        <f>IF(Siirtymäkausi!$G30&lt;E$40,-Siirtymäkausi!$G30+E$40,IF(Siirtymäkausi!$G30&gt;E$39,E$39-Siirtymäkausi!$G30,0))</f>
        <v>-242.79564764987265</v>
      </c>
      <c r="F59" s="371">
        <f>IF(Siirtymäkausi!$G30&lt;F$40,-Siirtymäkausi!$G30+F$40,IF(Siirtymäkausi!$G30&gt;F$39,F$39-Siirtymäkausi!$G30,0))</f>
        <v>-222.79564764987265</v>
      </c>
      <c r="G59" s="371">
        <f>IF(Siirtymäkausi!$J30&lt;G$40,-Siirtymäkausi!$J30+G$40,IF(Siirtymäkausi!$J30&gt;G$39,G$39-Siirtymäkausi!$J30,0))</f>
        <v>-182.47229309757998</v>
      </c>
      <c r="H59" s="372">
        <f>IF(Siirtymäkausi!$J30&lt;H$40,-Siirtymäkausi!$J30+H$40,IF(Siirtymäkausi!$J30&gt;H$39,H$39-Siirtymäkausi!$J30,0))</f>
        <v>-152.47229309757998</v>
      </c>
      <c r="I59" s="177">
        <f>IF(Siirtymäkausi!$J30&lt;I$40,-Siirtymäkausi!$J30+I$40,IF(Siirtymäkausi!$J30&gt;I$39,I$39-Siirtymäkausi!$J30,0))</f>
        <v>-92.472293097579978</v>
      </c>
      <c r="J59" s="177">
        <f>IF(Siirtymäkausi!$J30&lt;J$40,-Siirtymäkausi!$J30+J$40,IF(Siirtymäkausi!$J30&gt;J$39,J$39-Siirtymäkausi!$J30,0))</f>
        <v>-42.472293097579978</v>
      </c>
      <c r="N59" s="12"/>
      <c r="O59" s="12"/>
      <c r="P59" s="12"/>
      <c r="Q59" s="12"/>
      <c r="R59" s="12"/>
      <c r="S59" s="12"/>
      <c r="T59" s="12"/>
      <c r="U59" s="359"/>
      <c r="V59" s="359"/>
      <c r="W59" s="359"/>
      <c r="X59" s="359"/>
      <c r="Y59" s="359"/>
      <c r="Z59" s="359"/>
      <c r="AA59" s="359"/>
      <c r="AB59" s="178"/>
      <c r="AC59" s="178"/>
      <c r="AD59" s="178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</row>
    <row r="60" spans="1:50" s="7" customFormat="1" x14ac:dyDescent="0.25">
      <c r="A60" s="373"/>
      <c r="B60" s="373" t="s">
        <v>444</v>
      </c>
      <c r="C60" s="370">
        <f>Määräytymistekijät!C23</f>
        <v>413830</v>
      </c>
      <c r="D60" s="371">
        <f t="shared" si="4"/>
        <v>-136.30525213572724</v>
      </c>
      <c r="E60" s="371">
        <f>IF(Siirtymäkausi!$G31&lt;E$40,-Siirtymäkausi!$G31+E$40,IF(Siirtymäkausi!$G31&gt;E$39,E$39-Siirtymäkausi!$G31,0))</f>
        <v>-126.30525213572724</v>
      </c>
      <c r="F60" s="371">
        <f>IF(Siirtymäkausi!$G31&lt;F$40,-Siirtymäkausi!$G31+F$40,IF(Siirtymäkausi!$G31&gt;F$39,F$39-Siirtymäkausi!$G31,0))</f>
        <v>-106.30525213572724</v>
      </c>
      <c r="G60" s="371">
        <f>IF(Siirtymäkausi!$J31&lt;G$40,-Siirtymäkausi!$J31+G$40,IF(Siirtymäkausi!$J31&gt;G$39,G$39-Siirtymäkausi!$J31,0))</f>
        <v>-73.278944994479588</v>
      </c>
      <c r="H60" s="372">
        <f>IF(Siirtymäkausi!$J31&lt;H$40,-Siirtymäkausi!$J31+H$40,IF(Siirtymäkausi!$J31&gt;H$39,H$39-Siirtymäkausi!$J31,0))</f>
        <v>-43.278944994479588</v>
      </c>
      <c r="I60" s="177">
        <f>IF(Siirtymäkausi!$J31&lt;I$40,-Siirtymäkausi!$J31+I$40,IF(Siirtymäkausi!$J31&gt;I$39,I$39-Siirtymäkausi!$J31,0))</f>
        <v>0</v>
      </c>
      <c r="J60" s="177">
        <f>IF(Siirtymäkausi!$J31&lt;J$40,-Siirtymäkausi!$J31+J$40,IF(Siirtymäkausi!$J31&gt;J$39,J$39-Siirtymäkausi!$J31,0))</f>
        <v>0</v>
      </c>
      <c r="N60" s="12"/>
      <c r="O60" s="12"/>
      <c r="P60" s="12"/>
      <c r="Q60" s="12"/>
      <c r="R60" s="12"/>
      <c r="S60" s="12"/>
      <c r="T60" s="12"/>
      <c r="U60" s="359"/>
      <c r="V60" s="359"/>
      <c r="W60" s="359"/>
      <c r="X60" s="359"/>
      <c r="Y60" s="359"/>
      <c r="Z60" s="359"/>
      <c r="AA60" s="359"/>
      <c r="AB60" s="178"/>
      <c r="AC60" s="178"/>
      <c r="AD60" s="178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</row>
    <row r="61" spans="1:50" s="7" customFormat="1" x14ac:dyDescent="0.25">
      <c r="A61" s="373"/>
      <c r="B61" s="373" t="s">
        <v>111</v>
      </c>
      <c r="C61" s="370">
        <f>Määräytymistekijät!C24</f>
        <v>71664</v>
      </c>
      <c r="D61" s="371">
        <f t="shared" si="4"/>
        <v>268.00154735026439</v>
      </c>
      <c r="E61" s="371">
        <f>IF(Siirtymäkausi!$G32&lt;E$40,-Siirtymäkausi!$G32+E$40,IF(Siirtymäkausi!$G32&gt;E$39,E$39-Siirtymäkausi!$G32,0))</f>
        <v>258.00154735026439</v>
      </c>
      <c r="F61" s="371">
        <f>IF(Siirtymäkausi!$G32&lt;F$40,-Siirtymäkausi!$G32+F$40,IF(Siirtymäkausi!$G32&gt;F$39,F$39-Siirtymäkausi!$G32,0))</f>
        <v>238.00154735026439</v>
      </c>
      <c r="G61" s="371">
        <f>IF(Siirtymäkausi!$J32&lt;G$40,-Siirtymäkausi!$J32+G$40,IF(Siirtymäkausi!$J32&gt;G$39,G$39-Siirtymäkausi!$J32,0))</f>
        <v>209.91446616271975</v>
      </c>
      <c r="H61" s="372">
        <f>IF(Siirtymäkausi!$J32&lt;H$40,-Siirtymäkausi!$J32+H$40,IF(Siirtymäkausi!$J32&gt;H$39,H$39-Siirtymäkausi!$J32,0))</f>
        <v>194.91446616271975</v>
      </c>
      <c r="I61" s="177">
        <f>IF(Siirtymäkausi!$J32&lt;I$40,-Siirtymäkausi!$J32+I$40,IF(Siirtymäkausi!$J32&gt;I$39,I$39-Siirtymäkausi!$J32,0))</f>
        <v>179.91446616271975</v>
      </c>
      <c r="J61" s="177">
        <f>IF(Siirtymäkausi!$J32&lt;J$40,-Siirtymäkausi!$J32+J$40,IF(Siirtymäkausi!$J32&gt;J$39,J$39-Siirtymäkausi!$J32,0))</f>
        <v>169.91446616271975</v>
      </c>
      <c r="N61" s="12"/>
      <c r="O61" s="12"/>
      <c r="P61" s="12"/>
      <c r="Q61" s="12"/>
      <c r="R61" s="12"/>
      <c r="S61" s="12"/>
      <c r="T61" s="12"/>
      <c r="U61" s="359"/>
      <c r="V61" s="359"/>
      <c r="W61" s="359"/>
      <c r="X61" s="359"/>
      <c r="Y61" s="359"/>
      <c r="Z61" s="359"/>
      <c r="AA61" s="359"/>
      <c r="AB61" s="178"/>
      <c r="AC61" s="178"/>
      <c r="AD61" s="178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</row>
    <row r="62" spans="1:50" s="7" customFormat="1" x14ac:dyDescent="0.25">
      <c r="A62" s="373"/>
      <c r="B62" s="373" t="s">
        <v>110</v>
      </c>
      <c r="C62" s="370">
        <f>Määräytymistekijät!C25</f>
        <v>176665</v>
      </c>
      <c r="D62" s="371">
        <f t="shared" si="4"/>
        <v>-105.2845382625226</v>
      </c>
      <c r="E62" s="371">
        <f>IF(Siirtymäkausi!$G33&lt;E$40,-Siirtymäkausi!$G33+E$40,IF(Siirtymäkausi!$G33&gt;E$39,E$39-Siirtymäkausi!$G33,0))</f>
        <v>-95.284538262522602</v>
      </c>
      <c r="F62" s="371">
        <f>IF(Siirtymäkausi!$G33&lt;F$40,-Siirtymäkausi!$G33+F$40,IF(Siirtymäkausi!$G33&gt;F$39,F$39-Siirtymäkausi!$G33,0))</f>
        <v>-75.284538262522602</v>
      </c>
      <c r="G62" s="371">
        <f>IF(Siirtymäkausi!$J33&lt;G$40,-Siirtymäkausi!$J33+G$40,IF(Siirtymäkausi!$J33&gt;G$39,G$39-Siirtymäkausi!$J33,0))</f>
        <v>-56.122584221343033</v>
      </c>
      <c r="H62" s="372">
        <f>IF(Siirtymäkausi!$J33&lt;H$40,-Siirtymäkausi!$J33+H$40,IF(Siirtymäkausi!$J33&gt;H$39,H$39-Siirtymäkausi!$J33,0))</f>
        <v>-26.122584221343033</v>
      </c>
      <c r="I62" s="177">
        <f>IF(Siirtymäkausi!$J33&lt;I$40,-Siirtymäkausi!$J33+I$40,IF(Siirtymäkausi!$J33&gt;I$39,I$39-Siirtymäkausi!$J33,0))</f>
        <v>0</v>
      </c>
      <c r="J62" s="177">
        <f>IF(Siirtymäkausi!$J33&lt;J$40,-Siirtymäkausi!$J33+J$40,IF(Siirtymäkausi!$J33&gt;J$39,J$39-Siirtymäkausi!$J33,0))</f>
        <v>0</v>
      </c>
      <c r="N62" s="12"/>
      <c r="O62" s="12"/>
      <c r="P62" s="12"/>
      <c r="Q62" s="12"/>
      <c r="R62" s="12"/>
      <c r="S62" s="12"/>
      <c r="T62" s="12"/>
      <c r="U62" s="359"/>
      <c r="V62" s="359"/>
      <c r="W62" s="359"/>
      <c r="X62" s="359"/>
      <c r="Y62" s="359"/>
      <c r="Z62" s="359"/>
      <c r="AA62" s="359"/>
      <c r="AB62" s="178"/>
      <c r="AC62" s="178"/>
      <c r="AD62" s="17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</row>
    <row r="63" spans="1:50" s="7" customFormat="1" x14ac:dyDescent="0.25">
      <c r="A63" s="380"/>
      <c r="B63" s="374" t="s">
        <v>109</v>
      </c>
      <c r="C63" s="375">
        <f>SUM(C41:C62)</f>
        <v>5503664</v>
      </c>
      <c r="D63" s="376">
        <f>D90/$C$90</f>
        <v>-2.3961360389288254E-13</v>
      </c>
      <c r="E63" s="376">
        <f>E90/$C$90</f>
        <v>2.2217784167776045</v>
      </c>
      <c r="F63" s="376">
        <f>F90/$C$90</f>
        <v>5.2330573523212376</v>
      </c>
      <c r="G63" s="376">
        <f>G90/$C$90</f>
        <v>7.6931337333956353</v>
      </c>
      <c r="H63" s="377">
        <f>H90/$C$90</f>
        <v>13.389133283951114</v>
      </c>
      <c r="I63" s="177">
        <f t="shared" ref="I63:J63" si="5">I90/$C$90</f>
        <v>24.30109614151819</v>
      </c>
      <c r="J63" s="177">
        <f t="shared" si="5"/>
        <v>30.52575544362783</v>
      </c>
      <c r="N63" s="12"/>
      <c r="O63" s="12"/>
      <c r="P63" s="12"/>
      <c r="Q63" s="12"/>
      <c r="R63" s="12"/>
      <c r="S63" s="12"/>
      <c r="T63" s="12"/>
      <c r="U63" s="12"/>
      <c r="V63" s="12"/>
      <c r="W63" s="14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</row>
    <row r="64" spans="1:50" s="7" customFormat="1" x14ac:dyDescent="0.25">
      <c r="B64" s="19"/>
      <c r="C64" s="19"/>
      <c r="H64" s="13"/>
      <c r="I64" s="36"/>
      <c r="N64" s="12"/>
      <c r="O64" s="12"/>
      <c r="P64" s="12"/>
      <c r="Q64" s="12"/>
      <c r="R64" s="12"/>
      <c r="S64" s="12"/>
      <c r="T64" s="12"/>
      <c r="U64" s="12"/>
      <c r="V64" s="12"/>
      <c r="W64" s="14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</row>
    <row r="65" spans="1:50" s="7" customFormat="1" x14ac:dyDescent="0.25">
      <c r="A65" s="20" t="s">
        <v>570</v>
      </c>
      <c r="B65" s="24"/>
      <c r="C65" s="24"/>
      <c r="D65" s="24"/>
      <c r="E65" s="24"/>
      <c r="F65" s="24"/>
      <c r="G65" s="24"/>
      <c r="H65" s="24"/>
      <c r="I65" s="24"/>
      <c r="J65" s="24"/>
      <c r="N65" s="12"/>
      <c r="O65" s="12"/>
      <c r="P65" s="12"/>
      <c r="Q65" s="12"/>
      <c r="R65" s="12"/>
      <c r="S65" s="12"/>
      <c r="T65" s="12"/>
      <c r="U65" s="12"/>
      <c r="V65" s="12"/>
      <c r="W65" s="14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</row>
    <row r="66" spans="1:50" s="7" customFormat="1" x14ac:dyDescent="0.25">
      <c r="B66" s="19"/>
      <c r="C66" s="19"/>
      <c r="D66" s="179">
        <v>2023</v>
      </c>
      <c r="E66" s="179">
        <v>2024</v>
      </c>
      <c r="F66" s="179">
        <v>2025</v>
      </c>
      <c r="G66" s="179">
        <v>2026</v>
      </c>
      <c r="H66" s="179">
        <v>2027</v>
      </c>
      <c r="I66" s="179">
        <v>2028</v>
      </c>
      <c r="J66" s="179">
        <v>2029</v>
      </c>
      <c r="N66" s="12"/>
      <c r="O66" s="12"/>
      <c r="P66" s="12"/>
      <c r="Q66" s="12"/>
      <c r="R66" s="12"/>
      <c r="S66" s="12"/>
      <c r="T66" s="12"/>
      <c r="U66" s="12"/>
      <c r="V66" s="12"/>
      <c r="W66" s="14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</row>
    <row r="67" spans="1:50" s="7" customFormat="1" x14ac:dyDescent="0.25">
      <c r="A67" s="334" t="s">
        <v>469</v>
      </c>
      <c r="B67" s="49" t="s">
        <v>134</v>
      </c>
      <c r="C67" s="50" t="s">
        <v>571</v>
      </c>
      <c r="D67" s="336" t="s">
        <v>498</v>
      </c>
      <c r="E67" s="337" t="s">
        <v>447</v>
      </c>
      <c r="F67" s="338" t="s">
        <v>446</v>
      </c>
      <c r="G67" s="337" t="s">
        <v>495</v>
      </c>
      <c r="H67" s="337" t="s">
        <v>494</v>
      </c>
      <c r="I67" s="337" t="s">
        <v>496</v>
      </c>
      <c r="J67" s="337" t="s">
        <v>497</v>
      </c>
      <c r="N67" s="12"/>
      <c r="O67" s="12"/>
      <c r="P67" s="12"/>
      <c r="Q67" s="12"/>
      <c r="R67" s="12"/>
      <c r="S67" s="12"/>
      <c r="T67" s="12"/>
      <c r="U67" s="12"/>
      <c r="V67" s="12"/>
      <c r="W67" s="14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</row>
    <row r="68" spans="1:50" x14ac:dyDescent="0.25">
      <c r="A68" s="168"/>
      <c r="B68" s="80" t="s">
        <v>131</v>
      </c>
      <c r="C68" s="130">
        <f>Määräytymistekijät!C4</f>
        <v>656920</v>
      </c>
      <c r="D68" s="138">
        <f t="shared" ref="D68:H77" si="6">D41*$C68</f>
        <v>222377938.9081912</v>
      </c>
      <c r="E68" s="138">
        <f t="shared" si="6"/>
        <v>215808738.9081912</v>
      </c>
      <c r="F68" s="138">
        <f t="shared" si="6"/>
        <v>202670338.9081912</v>
      </c>
      <c r="G68" s="138">
        <f t="shared" si="6"/>
        <v>186086354.73011923</v>
      </c>
      <c r="H68" s="138">
        <f t="shared" si="6"/>
        <v>176232554.73011923</v>
      </c>
      <c r="I68" s="138">
        <f t="shared" ref="I68:J68" si="7">I41*$C68</f>
        <v>166378754.73011923</v>
      </c>
      <c r="J68" s="138">
        <f t="shared" si="7"/>
        <v>159809554.73011923</v>
      </c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</row>
    <row r="69" spans="1:50" x14ac:dyDescent="0.25">
      <c r="A69" s="168"/>
      <c r="B69" s="80" t="s">
        <v>437</v>
      </c>
      <c r="C69" s="130">
        <f>Määräytymistekijät!C5</f>
        <v>274336</v>
      </c>
      <c r="D69" s="138">
        <f t="shared" si="6"/>
        <v>-12001391.672495365</v>
      </c>
      <c r="E69" s="138">
        <f t="shared" si="6"/>
        <v>-9258031.6724953651</v>
      </c>
      <c r="F69" s="138">
        <f t="shared" si="6"/>
        <v>-3771311.6724953642</v>
      </c>
      <c r="G69" s="138">
        <f t="shared" si="6"/>
        <v>0</v>
      </c>
      <c r="H69" s="138">
        <f t="shared" si="6"/>
        <v>0</v>
      </c>
      <c r="I69" s="138">
        <f t="shared" ref="I69:J89" si="8">I42*$C69</f>
        <v>0</v>
      </c>
      <c r="J69" s="138">
        <f t="shared" si="8"/>
        <v>0</v>
      </c>
      <c r="U69" s="106"/>
      <c r="V69" s="106"/>
      <c r="W69" s="106"/>
      <c r="X69" s="106"/>
      <c r="Y69" s="106"/>
      <c r="Z69" s="106"/>
      <c r="AA69" s="106"/>
    </row>
    <row r="70" spans="1:50" x14ac:dyDescent="0.25">
      <c r="A70" s="168"/>
      <c r="B70" s="80" t="s">
        <v>129</v>
      </c>
      <c r="C70" s="130">
        <f>Määräytymistekijät!C6</f>
        <v>473838</v>
      </c>
      <c r="D70" s="138">
        <f t="shared" si="6"/>
        <v>-5422201.6521091461</v>
      </c>
      <c r="E70" s="138">
        <f t="shared" si="6"/>
        <v>-683821.65210914577</v>
      </c>
      <c r="F70" s="138">
        <f t="shared" si="6"/>
        <v>0</v>
      </c>
      <c r="G70" s="138">
        <f t="shared" si="6"/>
        <v>0</v>
      </c>
      <c r="H70" s="138">
        <f t="shared" si="6"/>
        <v>0</v>
      </c>
      <c r="I70" s="138">
        <f t="shared" si="8"/>
        <v>0</v>
      </c>
      <c r="J70" s="138">
        <f t="shared" si="8"/>
        <v>0</v>
      </c>
      <c r="M70" s="139"/>
      <c r="O70" s="135"/>
      <c r="Q70" s="134"/>
      <c r="R70" s="134"/>
      <c r="S70" s="134"/>
      <c r="T70" s="134"/>
      <c r="U70" s="106"/>
      <c r="V70" s="106"/>
      <c r="W70" s="106"/>
      <c r="X70" s="106"/>
      <c r="Y70" s="106"/>
      <c r="Z70" s="106"/>
      <c r="AA70" s="106"/>
    </row>
    <row r="71" spans="1:50" x14ac:dyDescent="0.25">
      <c r="A71" s="168"/>
      <c r="B71" s="80" t="s">
        <v>128</v>
      </c>
      <c r="C71" s="130">
        <f>Määräytymistekijät!C7</f>
        <v>98254</v>
      </c>
      <c r="D71" s="138">
        <f t="shared" si="6"/>
        <v>-25707823.06505394</v>
      </c>
      <c r="E71" s="138">
        <f t="shared" si="6"/>
        <v>-24725283.06505394</v>
      </c>
      <c r="F71" s="138">
        <f t="shared" si="6"/>
        <v>-22760203.06505394</v>
      </c>
      <c r="G71" s="138">
        <f t="shared" si="6"/>
        <v>-19707347.613671362</v>
      </c>
      <c r="H71" s="138">
        <f t="shared" si="6"/>
        <v>-16759727.613671362</v>
      </c>
      <c r="I71" s="138">
        <f t="shared" si="8"/>
        <v>-10864487.613671362</v>
      </c>
      <c r="J71" s="138">
        <f t="shared" si="8"/>
        <v>-5951787.6136713624</v>
      </c>
      <c r="M71" s="139"/>
      <c r="O71" s="135"/>
      <c r="U71" s="106"/>
      <c r="V71" s="106"/>
      <c r="W71" s="106"/>
      <c r="X71" s="106"/>
      <c r="Y71" s="106"/>
      <c r="Z71" s="106"/>
      <c r="AA71" s="106"/>
    </row>
    <row r="72" spans="1:50" x14ac:dyDescent="0.25">
      <c r="A72" s="171"/>
      <c r="B72" s="82" t="s">
        <v>127</v>
      </c>
      <c r="C72" s="130">
        <f>Määräytymistekijät!C8</f>
        <v>199330</v>
      </c>
      <c r="D72" s="138">
        <f t="shared" si="6"/>
        <v>33814128.555688143</v>
      </c>
      <c r="E72" s="138">
        <f t="shared" si="6"/>
        <v>31820828.555688147</v>
      </c>
      <c r="F72" s="138">
        <f t="shared" si="6"/>
        <v>27834228.555688147</v>
      </c>
      <c r="G72" s="138">
        <f t="shared" si="6"/>
        <v>21559458.621716022</v>
      </c>
      <c r="H72" s="138">
        <f t="shared" si="6"/>
        <v>18569508.621716022</v>
      </c>
      <c r="I72" s="138">
        <f t="shared" si="8"/>
        <v>15579558.621716021</v>
      </c>
      <c r="J72" s="138">
        <f t="shared" si="8"/>
        <v>13586258.621716021</v>
      </c>
      <c r="M72" s="139"/>
      <c r="O72" s="135"/>
      <c r="U72" s="106"/>
      <c r="V72" s="106"/>
      <c r="W72" s="106"/>
      <c r="X72" s="106"/>
      <c r="Y72" s="106"/>
      <c r="Z72" s="106"/>
      <c r="AA72" s="106"/>
    </row>
    <row r="73" spans="1:50" x14ac:dyDescent="0.25">
      <c r="A73" s="105"/>
      <c r="B73" s="105" t="s">
        <v>126</v>
      </c>
      <c r="C73" s="130">
        <f>Määräytymistekijät!C9</f>
        <v>481403</v>
      </c>
      <c r="D73" s="138">
        <f t="shared" si="6"/>
        <v>-102867635.78649187</v>
      </c>
      <c r="E73" s="138">
        <f t="shared" si="6"/>
        <v>-98053605.786491871</v>
      </c>
      <c r="F73" s="138">
        <f t="shared" si="6"/>
        <v>-88425545.786491871</v>
      </c>
      <c r="G73" s="138">
        <f t="shared" si="6"/>
        <v>-72423189.155786276</v>
      </c>
      <c r="H73" s="138">
        <f t="shared" si="6"/>
        <v>-57981099.155786268</v>
      </c>
      <c r="I73" s="138">
        <f t="shared" si="8"/>
        <v>-29096919.155786272</v>
      </c>
      <c r="J73" s="138">
        <f t="shared" si="8"/>
        <v>-5026769.1557862703</v>
      </c>
      <c r="M73" s="139"/>
      <c r="O73" s="135"/>
      <c r="U73" s="106"/>
      <c r="V73" s="106"/>
      <c r="W73" s="106"/>
      <c r="X73" s="106"/>
      <c r="Y73" s="106"/>
      <c r="Z73" s="106"/>
      <c r="AA73" s="106"/>
    </row>
    <row r="74" spans="1:50" x14ac:dyDescent="0.25">
      <c r="A74" s="105"/>
      <c r="B74" s="105" t="s">
        <v>125</v>
      </c>
      <c r="C74" s="130">
        <f>Määräytymistekijät!C10</f>
        <v>215416</v>
      </c>
      <c r="D74" s="138">
        <f t="shared" si="6"/>
        <v>25176456.273203135</v>
      </c>
      <c r="E74" s="138">
        <f t="shared" si="6"/>
        <v>23022296.273203135</v>
      </c>
      <c r="F74" s="138">
        <f t="shared" si="6"/>
        <v>18713976.273203135</v>
      </c>
      <c r="G74" s="138">
        <f t="shared" si="6"/>
        <v>11140170.501496911</v>
      </c>
      <c r="H74" s="138">
        <f t="shared" si="6"/>
        <v>7908930.501496911</v>
      </c>
      <c r="I74" s="138">
        <f t="shared" si="8"/>
        <v>4677690.501496911</v>
      </c>
      <c r="J74" s="138">
        <f t="shared" si="8"/>
        <v>2523530.5014969106</v>
      </c>
      <c r="K74" s="12"/>
      <c r="M74" s="139"/>
      <c r="O74" s="135"/>
      <c r="U74" s="106"/>
      <c r="V74" s="106"/>
      <c r="W74" s="106"/>
      <c r="X74" s="106"/>
      <c r="Y74" s="106"/>
      <c r="Z74" s="106"/>
      <c r="AA74" s="106"/>
    </row>
    <row r="75" spans="1:50" x14ac:dyDescent="0.25">
      <c r="A75" s="105"/>
      <c r="B75" s="105" t="s">
        <v>124</v>
      </c>
      <c r="C75" s="130">
        <f>Määräytymistekijät!C11</f>
        <v>170577</v>
      </c>
      <c r="D75" s="138">
        <f t="shared" si="6"/>
        <v>-4315641.7688868046</v>
      </c>
      <c r="E75" s="138">
        <f t="shared" si="6"/>
        <v>-2609871.7688868046</v>
      </c>
      <c r="F75" s="138">
        <f t="shared" si="6"/>
        <v>0</v>
      </c>
      <c r="G75" s="138">
        <f t="shared" si="6"/>
        <v>0</v>
      </c>
      <c r="H75" s="138">
        <f t="shared" si="6"/>
        <v>0</v>
      </c>
      <c r="I75" s="138">
        <f t="shared" si="8"/>
        <v>0</v>
      </c>
      <c r="J75" s="138">
        <f t="shared" si="8"/>
        <v>0</v>
      </c>
      <c r="K75" s="94"/>
      <c r="L75" s="12"/>
      <c r="M75" s="135"/>
      <c r="O75" s="135"/>
      <c r="U75" s="106"/>
      <c r="V75" s="106"/>
      <c r="W75" s="106"/>
      <c r="X75" s="106"/>
      <c r="Y75" s="106"/>
      <c r="Z75" s="106"/>
      <c r="AA75" s="106"/>
    </row>
    <row r="76" spans="1:50" x14ac:dyDescent="0.25">
      <c r="A76" s="105"/>
      <c r="B76" s="105" t="s">
        <v>123</v>
      </c>
      <c r="C76" s="130">
        <f>Määräytymistekijät!C12</f>
        <v>522852</v>
      </c>
      <c r="D76" s="138">
        <f t="shared" si="6"/>
        <v>-34954572.562032223</v>
      </c>
      <c r="E76" s="138">
        <f t="shared" si="6"/>
        <v>-29726052.562032223</v>
      </c>
      <c r="F76" s="138">
        <f t="shared" si="6"/>
        <v>-19269012.562032223</v>
      </c>
      <c r="G76" s="138">
        <f t="shared" si="6"/>
        <v>-7415631.4894528408</v>
      </c>
      <c r="H76" s="138">
        <f t="shared" si="6"/>
        <v>0</v>
      </c>
      <c r="I76" s="138">
        <f t="shared" si="8"/>
        <v>0</v>
      </c>
      <c r="J76" s="138">
        <f t="shared" si="8"/>
        <v>0</v>
      </c>
      <c r="K76" s="94"/>
      <c r="L76" s="12"/>
      <c r="M76" s="135"/>
      <c r="O76" s="135"/>
      <c r="P76" s="167"/>
      <c r="Q76" s="167"/>
      <c r="R76" s="167"/>
      <c r="S76" s="167"/>
      <c r="T76" s="167"/>
      <c r="U76" s="106"/>
      <c r="V76" s="106"/>
      <c r="W76" s="106"/>
      <c r="X76" s="106"/>
      <c r="Y76" s="106"/>
      <c r="Z76" s="106"/>
      <c r="AA76" s="106"/>
    </row>
    <row r="77" spans="1:50" x14ac:dyDescent="0.25">
      <c r="A77" s="105"/>
      <c r="B77" s="105" t="s">
        <v>122</v>
      </c>
      <c r="C77" s="130">
        <f>Määräytymistekijät!C13</f>
        <v>205771</v>
      </c>
      <c r="D77" s="138">
        <f t="shared" si="6"/>
        <v>-40475029.458380222</v>
      </c>
      <c r="E77" s="138">
        <f t="shared" si="6"/>
        <v>-38417319.458380222</v>
      </c>
      <c r="F77" s="138">
        <f t="shared" si="6"/>
        <v>-34301899.458380222</v>
      </c>
      <c r="G77" s="138">
        <f t="shared" si="6"/>
        <v>-27876373.313285943</v>
      </c>
      <c r="H77" s="138">
        <f t="shared" si="6"/>
        <v>-21703243.313285943</v>
      </c>
      <c r="I77" s="138">
        <f t="shared" si="8"/>
        <v>-9356983.3132859431</v>
      </c>
      <c r="J77" s="138">
        <f t="shared" si="8"/>
        <v>0</v>
      </c>
      <c r="K77" s="94"/>
      <c r="L77" s="166"/>
      <c r="M77" s="166"/>
      <c r="O77" s="135"/>
      <c r="P77" s="167"/>
      <c r="Q77" s="167"/>
      <c r="R77" s="167"/>
      <c r="S77" s="167"/>
      <c r="T77" s="167"/>
      <c r="U77" s="106"/>
      <c r="V77" s="106"/>
      <c r="W77" s="106"/>
      <c r="X77" s="106"/>
      <c r="Y77" s="106"/>
      <c r="Z77" s="106"/>
      <c r="AA77" s="106"/>
    </row>
    <row r="78" spans="1:50" x14ac:dyDescent="0.25">
      <c r="A78" s="105"/>
      <c r="B78" s="105" t="s">
        <v>121</v>
      </c>
      <c r="C78" s="130">
        <f>Määräytymistekijät!C14</f>
        <v>162812</v>
      </c>
      <c r="D78" s="138">
        <f t="shared" ref="D78:H87" si="9">D51*$C78</f>
        <v>19356258.188262582</v>
      </c>
      <c r="E78" s="138">
        <f t="shared" si="9"/>
        <v>17728138.188262582</v>
      </c>
      <c r="F78" s="138">
        <f t="shared" si="9"/>
        <v>14471898.188262582</v>
      </c>
      <c r="G78" s="138">
        <f t="shared" si="9"/>
        <v>9271724.3268430233</v>
      </c>
      <c r="H78" s="138">
        <f t="shared" si="9"/>
        <v>6829544.3268430233</v>
      </c>
      <c r="I78" s="138">
        <f t="shared" si="8"/>
        <v>4387364.3268430233</v>
      </c>
      <c r="J78" s="138">
        <f t="shared" si="8"/>
        <v>2759244.3268430233</v>
      </c>
      <c r="K78" s="145"/>
      <c r="L78" s="166"/>
      <c r="M78" s="166"/>
      <c r="O78" s="135"/>
      <c r="P78" s="167"/>
      <c r="Q78" s="167"/>
      <c r="R78" s="167"/>
      <c r="S78" s="167"/>
      <c r="T78" s="167"/>
      <c r="U78" s="106"/>
      <c r="V78" s="106"/>
      <c r="W78" s="106"/>
      <c r="X78" s="106"/>
      <c r="Y78" s="106"/>
      <c r="Z78" s="106"/>
      <c r="AA78" s="106"/>
    </row>
    <row r="79" spans="1:50" x14ac:dyDescent="0.25">
      <c r="A79" s="105"/>
      <c r="B79" s="105" t="s">
        <v>120</v>
      </c>
      <c r="C79" s="130">
        <f>Määräytymistekijät!C15</f>
        <v>126921</v>
      </c>
      <c r="D79" s="138">
        <f t="shared" si="9"/>
        <v>18465122.800962806</v>
      </c>
      <c r="E79" s="138">
        <f t="shared" si="9"/>
        <v>17195912.800962806</v>
      </c>
      <c r="F79" s="138">
        <f t="shared" si="9"/>
        <v>14657492.800962806</v>
      </c>
      <c r="G79" s="138">
        <f t="shared" si="9"/>
        <v>10130268.254820585</v>
      </c>
      <c r="H79" s="138">
        <f t="shared" si="9"/>
        <v>8226453.2548205853</v>
      </c>
      <c r="I79" s="138">
        <f t="shared" si="8"/>
        <v>6322638.2548205853</v>
      </c>
      <c r="J79" s="138">
        <f t="shared" si="8"/>
        <v>5053428.2548205853</v>
      </c>
      <c r="K79" s="18"/>
      <c r="L79" s="18"/>
      <c r="M79" s="18"/>
      <c r="O79" s="135"/>
      <c r="P79" s="167"/>
      <c r="Q79" s="167"/>
      <c r="R79" s="167"/>
      <c r="S79" s="167"/>
      <c r="T79" s="167"/>
      <c r="U79" s="106"/>
      <c r="V79" s="106"/>
      <c r="W79" s="106"/>
      <c r="X79" s="106"/>
      <c r="Y79" s="106"/>
      <c r="Z79" s="106"/>
      <c r="AA79" s="106"/>
    </row>
    <row r="80" spans="1:50" x14ac:dyDescent="0.25">
      <c r="A80" s="105"/>
      <c r="B80" s="105" t="s">
        <v>119</v>
      </c>
      <c r="C80" s="130">
        <f>Määräytymistekijät!C16</f>
        <v>132702</v>
      </c>
      <c r="D80" s="138">
        <f t="shared" si="9"/>
        <v>42063435.199697018</v>
      </c>
      <c r="E80" s="138">
        <f t="shared" si="9"/>
        <v>40736415.199697018</v>
      </c>
      <c r="F80" s="138">
        <f t="shared" si="9"/>
        <v>38082375.199697018</v>
      </c>
      <c r="G80" s="138">
        <f t="shared" si="9"/>
        <v>33517147.521813035</v>
      </c>
      <c r="H80" s="138">
        <f t="shared" si="9"/>
        <v>31526617.521813035</v>
      </c>
      <c r="I80" s="138">
        <f t="shared" si="8"/>
        <v>29536087.521813035</v>
      </c>
      <c r="J80" s="138">
        <f t="shared" si="8"/>
        <v>28209067.521813035</v>
      </c>
      <c r="K80" s="135"/>
      <c r="L80" s="135"/>
      <c r="M80" s="135"/>
      <c r="O80" s="135"/>
      <c r="P80" s="134"/>
      <c r="Q80" s="134"/>
      <c r="R80" s="134"/>
      <c r="S80" s="134"/>
      <c r="T80" s="134"/>
      <c r="U80" s="106"/>
      <c r="V80" s="106"/>
      <c r="W80" s="106"/>
      <c r="X80" s="106"/>
      <c r="Y80" s="106"/>
      <c r="Z80" s="106"/>
      <c r="AA80" s="106"/>
    </row>
    <row r="81" spans="1:27" x14ac:dyDescent="0.25">
      <c r="A81" s="105"/>
      <c r="B81" s="105" t="s">
        <v>118</v>
      </c>
      <c r="C81" s="130">
        <f>Määräytymistekijät!C17</f>
        <v>248265</v>
      </c>
      <c r="D81" s="138">
        <f t="shared" si="9"/>
        <v>1651448.1116027832</v>
      </c>
      <c r="E81" s="138">
        <f t="shared" si="9"/>
        <v>0</v>
      </c>
      <c r="F81" s="138">
        <f t="shared" si="9"/>
        <v>0</v>
      </c>
      <c r="G81" s="138">
        <f t="shared" si="9"/>
        <v>0</v>
      </c>
      <c r="H81" s="138">
        <f t="shared" si="9"/>
        <v>0</v>
      </c>
      <c r="I81" s="138">
        <f t="shared" si="8"/>
        <v>0</v>
      </c>
      <c r="J81" s="138">
        <f t="shared" si="8"/>
        <v>0</v>
      </c>
      <c r="K81" s="135"/>
      <c r="L81" s="135"/>
      <c r="M81" s="135"/>
      <c r="O81" s="135"/>
      <c r="P81" s="134"/>
      <c r="Q81" s="134"/>
      <c r="R81" s="134"/>
      <c r="S81" s="134"/>
      <c r="T81" s="134"/>
      <c r="U81" s="106"/>
      <c r="V81" s="106"/>
      <c r="W81" s="106"/>
      <c r="X81" s="106"/>
      <c r="Y81" s="106"/>
      <c r="Z81" s="106"/>
      <c r="AA81" s="106"/>
    </row>
    <row r="82" spans="1:27" x14ac:dyDescent="0.25">
      <c r="A82" s="25"/>
      <c r="B82" s="25" t="s">
        <v>117</v>
      </c>
      <c r="C82" s="130">
        <f>Määräytymistekijät!C18</f>
        <v>163537</v>
      </c>
      <c r="D82" s="138">
        <f t="shared" si="9"/>
        <v>-75360849.762497663</v>
      </c>
      <c r="E82" s="138">
        <f t="shared" si="9"/>
        <v>-73725479.762497663</v>
      </c>
      <c r="F82" s="138">
        <f t="shared" si="9"/>
        <v>-70454739.762497663</v>
      </c>
      <c r="G82" s="138">
        <f t="shared" si="9"/>
        <v>-65143349.919419527</v>
      </c>
      <c r="H82" s="138">
        <f t="shared" si="9"/>
        <v>-60237239.919419527</v>
      </c>
      <c r="I82" s="138">
        <f t="shared" si="8"/>
        <v>-50425019.919419527</v>
      </c>
      <c r="J82" s="138">
        <f t="shared" si="8"/>
        <v>-42248169.919419527</v>
      </c>
      <c r="K82" s="135"/>
      <c r="L82" s="135"/>
      <c r="M82" s="135"/>
      <c r="O82" s="135"/>
      <c r="P82" s="134"/>
      <c r="Q82" s="134"/>
      <c r="R82" s="134"/>
      <c r="S82" s="134"/>
      <c r="T82" s="134"/>
      <c r="U82" s="106"/>
      <c r="V82" s="106"/>
      <c r="W82" s="106"/>
      <c r="X82" s="106"/>
      <c r="Y82" s="106"/>
      <c r="Z82" s="106"/>
      <c r="AA82" s="106"/>
    </row>
    <row r="83" spans="1:27" x14ac:dyDescent="0.25">
      <c r="A83" s="105"/>
      <c r="B83" s="105" t="s">
        <v>116</v>
      </c>
      <c r="C83" s="130">
        <f>Määräytymistekijät!C19</f>
        <v>272617</v>
      </c>
      <c r="D83" s="138">
        <f t="shared" si="9"/>
        <v>-2887156.041601181</v>
      </c>
      <c r="E83" s="138">
        <f t="shared" si="9"/>
        <v>-160986.04160118091</v>
      </c>
      <c r="F83" s="138">
        <f t="shared" si="9"/>
        <v>0</v>
      </c>
      <c r="G83" s="138">
        <f t="shared" si="9"/>
        <v>0</v>
      </c>
      <c r="H83" s="138">
        <f t="shared" si="9"/>
        <v>0</v>
      </c>
      <c r="I83" s="138">
        <f t="shared" si="8"/>
        <v>0</v>
      </c>
      <c r="J83" s="138">
        <f t="shared" si="8"/>
        <v>0</v>
      </c>
      <c r="K83" s="135"/>
      <c r="L83" s="135"/>
      <c r="M83" s="135"/>
      <c r="O83" s="135"/>
      <c r="P83" s="134"/>
      <c r="Q83" s="134"/>
      <c r="R83" s="134"/>
      <c r="S83" s="134"/>
      <c r="T83" s="134"/>
      <c r="U83" s="106"/>
      <c r="V83" s="106"/>
      <c r="W83" s="106"/>
      <c r="X83" s="106"/>
      <c r="Y83" s="106"/>
      <c r="Z83" s="106"/>
      <c r="AA83" s="106"/>
    </row>
    <row r="84" spans="1:27" x14ac:dyDescent="0.25">
      <c r="A84" s="105"/>
      <c r="B84" s="105" t="s">
        <v>445</v>
      </c>
      <c r="C84" s="130">
        <f>Määräytymistekijät!C20</f>
        <v>192150</v>
      </c>
      <c r="D84" s="138">
        <f t="shared" si="9"/>
        <v>2064211.9910873175</v>
      </c>
      <c r="E84" s="138">
        <f t="shared" si="9"/>
        <v>142711.99108731747</v>
      </c>
      <c r="F84" s="138">
        <f t="shared" si="9"/>
        <v>0</v>
      </c>
      <c r="G84" s="138">
        <f t="shared" si="9"/>
        <v>0</v>
      </c>
      <c r="H84" s="138">
        <f t="shared" si="9"/>
        <v>0</v>
      </c>
      <c r="I84" s="138">
        <f t="shared" si="8"/>
        <v>0</v>
      </c>
      <c r="J84" s="138">
        <f t="shared" si="8"/>
        <v>0</v>
      </c>
      <c r="K84" s="135"/>
      <c r="L84" s="135"/>
      <c r="M84" s="135"/>
      <c r="O84" s="135"/>
      <c r="P84" s="134"/>
      <c r="Q84" s="134"/>
      <c r="R84" s="134"/>
      <c r="S84" s="134"/>
      <c r="T84" s="134"/>
      <c r="U84" s="106"/>
      <c r="V84" s="106"/>
      <c r="W84" s="106"/>
      <c r="X84" s="106"/>
      <c r="Y84" s="106"/>
      <c r="Z84" s="106"/>
      <c r="AA84" s="106"/>
    </row>
    <row r="85" spans="1:27" x14ac:dyDescent="0.25">
      <c r="A85" s="105"/>
      <c r="B85" s="105" t="s">
        <v>114</v>
      </c>
      <c r="C85" s="130">
        <f>Määräytymistekijät!C21</f>
        <v>175816</v>
      </c>
      <c r="D85" s="138">
        <f t="shared" si="9"/>
        <v>12011604.787438869</v>
      </c>
      <c r="E85" s="138">
        <f t="shared" si="9"/>
        <v>10253444.787438869</v>
      </c>
      <c r="F85" s="138">
        <f t="shared" si="9"/>
        <v>6737124.7874388695</v>
      </c>
      <c r="G85" s="138">
        <f t="shared" si="9"/>
        <v>803728.8190444709</v>
      </c>
      <c r="H85" s="138">
        <f t="shared" si="9"/>
        <v>0</v>
      </c>
      <c r="I85" s="138">
        <f t="shared" si="8"/>
        <v>0</v>
      </c>
      <c r="J85" s="138">
        <f t="shared" si="8"/>
        <v>0</v>
      </c>
      <c r="K85" s="139"/>
      <c r="L85" s="139"/>
      <c r="M85" s="139"/>
      <c r="O85" s="135"/>
      <c r="P85" s="134"/>
      <c r="Q85" s="134"/>
      <c r="R85" s="134"/>
      <c r="S85" s="134"/>
      <c r="T85" s="134"/>
      <c r="U85" s="106"/>
      <c r="V85" s="106"/>
      <c r="W85" s="106"/>
      <c r="X85" s="106"/>
      <c r="Y85" s="106"/>
      <c r="Z85" s="106"/>
      <c r="AA85" s="106"/>
    </row>
    <row r="86" spans="1:27" x14ac:dyDescent="0.25">
      <c r="A86" s="105"/>
      <c r="B86" s="105" t="s">
        <v>113</v>
      </c>
      <c r="C86" s="130">
        <f>Määräytymistekijät!C22</f>
        <v>67988</v>
      </c>
      <c r="D86" s="138">
        <f t="shared" si="9"/>
        <v>-17187070.492419541</v>
      </c>
      <c r="E86" s="138">
        <f t="shared" si="9"/>
        <v>-16507190.492419541</v>
      </c>
      <c r="F86" s="138">
        <f t="shared" si="9"/>
        <v>-15147430.492419541</v>
      </c>
      <c r="G86" s="138">
        <f t="shared" si="9"/>
        <v>-12405926.263118267</v>
      </c>
      <c r="H86" s="138">
        <f t="shared" si="9"/>
        <v>-10366286.263118267</v>
      </c>
      <c r="I86" s="138">
        <f t="shared" si="8"/>
        <v>-6287006.263118268</v>
      </c>
      <c r="J86" s="138">
        <f t="shared" si="8"/>
        <v>-2887606.2631182675</v>
      </c>
      <c r="K86" s="139"/>
      <c r="L86" s="139"/>
      <c r="M86" s="139"/>
      <c r="O86" s="135"/>
      <c r="P86" s="134"/>
      <c r="Q86" s="134"/>
      <c r="R86" s="134"/>
      <c r="S86" s="134"/>
      <c r="T86" s="134"/>
      <c r="U86" s="106"/>
      <c r="V86" s="106"/>
      <c r="W86" s="106"/>
      <c r="X86" s="106"/>
      <c r="Y86" s="106"/>
      <c r="Z86" s="106"/>
      <c r="AA86" s="106"/>
    </row>
    <row r="87" spans="1:27" x14ac:dyDescent="0.25">
      <c r="A87" s="105"/>
      <c r="B87" s="105" t="s">
        <v>444</v>
      </c>
      <c r="C87" s="130">
        <f>Määräytymistekijät!C23</f>
        <v>413830</v>
      </c>
      <c r="D87" s="138">
        <f t="shared" si="9"/>
        <v>-56407202.491328008</v>
      </c>
      <c r="E87" s="138">
        <f t="shared" si="9"/>
        <v>-52268902.491328008</v>
      </c>
      <c r="F87" s="138">
        <f t="shared" si="9"/>
        <v>-43992302.491328008</v>
      </c>
      <c r="G87" s="138">
        <f t="shared" si="9"/>
        <v>-30325025.807065487</v>
      </c>
      <c r="H87" s="138">
        <f t="shared" si="9"/>
        <v>-17910125.807065487</v>
      </c>
      <c r="I87" s="138">
        <f t="shared" si="8"/>
        <v>0</v>
      </c>
      <c r="J87" s="138">
        <f t="shared" si="8"/>
        <v>0</v>
      </c>
      <c r="K87" s="139"/>
      <c r="L87" s="139"/>
      <c r="M87" s="139"/>
      <c r="O87" s="135"/>
      <c r="P87" s="134"/>
      <c r="Q87" s="134"/>
      <c r="R87" s="134"/>
      <c r="S87" s="134"/>
      <c r="T87" s="134"/>
      <c r="U87" s="106"/>
      <c r="V87" s="106"/>
      <c r="W87" s="106"/>
      <c r="X87" s="106"/>
      <c r="Y87" s="106"/>
      <c r="Z87" s="106"/>
      <c r="AA87" s="106"/>
    </row>
    <row r="88" spans="1:27" x14ac:dyDescent="0.25">
      <c r="A88" s="105"/>
      <c r="B88" s="105" t="s">
        <v>111</v>
      </c>
      <c r="C88" s="130">
        <f>Määräytymistekijät!C24</f>
        <v>71664</v>
      </c>
      <c r="D88" s="138">
        <f t="shared" ref="D88:H89" si="10">D61*$C88</f>
        <v>19206062.889309347</v>
      </c>
      <c r="E88" s="138">
        <f t="shared" si="10"/>
        <v>18489422.889309347</v>
      </c>
      <c r="F88" s="138">
        <f t="shared" si="10"/>
        <v>17056142.889309347</v>
      </c>
      <c r="G88" s="138">
        <f t="shared" si="10"/>
        <v>15043310.303085148</v>
      </c>
      <c r="H88" s="138">
        <f t="shared" si="10"/>
        <v>13968350.303085148</v>
      </c>
      <c r="I88" s="138">
        <f t="shared" si="8"/>
        <v>12893390.303085148</v>
      </c>
      <c r="J88" s="138">
        <f t="shared" si="8"/>
        <v>12176750.303085148</v>
      </c>
      <c r="K88" s="139"/>
      <c r="L88" s="139"/>
      <c r="M88" s="139"/>
      <c r="O88" s="135"/>
      <c r="P88" s="134"/>
      <c r="Q88" s="134"/>
      <c r="R88" s="134"/>
      <c r="S88" s="134"/>
      <c r="T88" s="134"/>
      <c r="U88" s="106"/>
      <c r="V88" s="106"/>
      <c r="W88" s="106"/>
      <c r="X88" s="106"/>
      <c r="Y88" s="106"/>
      <c r="Z88" s="106"/>
      <c r="AA88" s="106"/>
    </row>
    <row r="89" spans="1:27" x14ac:dyDescent="0.25">
      <c r="A89" s="105"/>
      <c r="B89" s="105" t="s">
        <v>110</v>
      </c>
      <c r="C89" s="130">
        <f>Määräytymistekijät!C25</f>
        <v>176665</v>
      </c>
      <c r="D89" s="138">
        <f t="shared" si="10"/>
        <v>-18600092.952148557</v>
      </c>
      <c r="E89" s="138">
        <f t="shared" si="10"/>
        <v>-16833442.952148557</v>
      </c>
      <c r="F89" s="138">
        <f t="shared" si="10"/>
        <v>-13300142.952148555</v>
      </c>
      <c r="G89" s="138">
        <f t="shared" si="10"/>
        <v>-9914896.3414635677</v>
      </c>
      <c r="H89" s="138">
        <f t="shared" si="10"/>
        <v>-4614946.3414635668</v>
      </c>
      <c r="I89" s="138">
        <f t="shared" si="8"/>
        <v>0</v>
      </c>
      <c r="J89" s="138">
        <f t="shared" si="8"/>
        <v>0</v>
      </c>
      <c r="K89" s="139"/>
      <c r="L89" s="139"/>
      <c r="M89" s="139"/>
      <c r="O89" s="135"/>
      <c r="P89" s="134"/>
      <c r="Q89" s="134"/>
      <c r="R89" s="134"/>
      <c r="S89" s="134"/>
      <c r="T89" s="134"/>
      <c r="U89" s="106"/>
      <c r="V89" s="106"/>
      <c r="W89" s="106"/>
      <c r="X89" s="106"/>
      <c r="Y89" s="106"/>
      <c r="Z89" s="106"/>
      <c r="AA89" s="106"/>
    </row>
    <row r="90" spans="1:27" x14ac:dyDescent="0.25">
      <c r="B90" s="19" t="s">
        <v>109</v>
      </c>
      <c r="C90" s="131">
        <f>SUM(C68:C89)</f>
        <v>5503664</v>
      </c>
      <c r="D90" s="131">
        <f t="shared" ref="D90:J90" si="11">SUM(D68:D89)</f>
        <v>-1.3187527656555176E-6</v>
      </c>
      <c r="E90" s="131">
        <f t="shared" si="11"/>
        <v>12227921.888395898</v>
      </c>
      <c r="F90" s="131">
        <f t="shared" si="11"/>
        <v>28800989.359905712</v>
      </c>
      <c r="G90" s="131">
        <f t="shared" si="11"/>
        <v>42340423.175675154</v>
      </c>
      <c r="H90" s="131">
        <f t="shared" si="11"/>
        <v>73689290.846083522</v>
      </c>
      <c r="I90" s="131">
        <f t="shared" si="11"/>
        <v>133745067.99461257</v>
      </c>
      <c r="J90" s="131">
        <f t="shared" si="11"/>
        <v>168003501.30789852</v>
      </c>
      <c r="K90" s="139"/>
      <c r="L90" s="139"/>
      <c r="M90" s="139"/>
      <c r="O90" s="135"/>
      <c r="P90" s="134"/>
      <c r="Q90" s="134"/>
      <c r="R90" s="134"/>
      <c r="S90" s="134"/>
      <c r="T90" s="134"/>
      <c r="U90" s="134"/>
      <c r="V90" s="135"/>
    </row>
    <row r="91" spans="1:27" x14ac:dyDescent="0.25">
      <c r="B91" s="127"/>
      <c r="C91" s="27"/>
      <c r="D91" s="138"/>
      <c r="E91" s="138"/>
      <c r="F91" s="138"/>
      <c r="G91" s="138"/>
      <c r="H91" s="138"/>
      <c r="I91" s="138"/>
      <c r="J91" s="139"/>
      <c r="K91" s="139"/>
      <c r="L91" s="139"/>
      <c r="M91" s="139"/>
      <c r="O91" s="135"/>
      <c r="P91" s="134"/>
      <c r="Q91" s="134"/>
      <c r="R91" s="134"/>
      <c r="S91" s="134"/>
      <c r="T91" s="134"/>
      <c r="U91" s="134"/>
      <c r="V91" s="135"/>
    </row>
    <row r="92" spans="1:27" x14ac:dyDescent="0.25">
      <c r="A92" s="180"/>
      <c r="B92" s="25"/>
      <c r="C92" s="25"/>
      <c r="D92" s="138"/>
      <c r="E92" s="138"/>
      <c r="F92" s="138"/>
      <c r="G92" s="138"/>
      <c r="H92" s="138"/>
      <c r="I92" s="139"/>
      <c r="J92" s="139"/>
      <c r="K92" s="139"/>
      <c r="L92" s="139"/>
      <c r="M92" s="139"/>
      <c r="N92" s="135"/>
      <c r="O92" s="94"/>
      <c r="P92" s="134"/>
      <c r="Q92" s="134"/>
      <c r="R92" s="134"/>
      <c r="S92" s="134"/>
      <c r="T92" s="134"/>
      <c r="U92" s="134"/>
      <c r="V92" s="135"/>
    </row>
    <row r="93" spans="1:27" x14ac:dyDescent="0.25">
      <c r="A93" s="180"/>
      <c r="B93" s="25"/>
      <c r="C93" s="25"/>
      <c r="D93" s="138"/>
      <c r="E93" s="138"/>
      <c r="F93" s="138"/>
      <c r="G93" s="138"/>
      <c r="H93" s="138"/>
      <c r="I93" s="139"/>
      <c r="J93" s="139"/>
      <c r="K93" s="139"/>
      <c r="L93" s="139"/>
      <c r="M93" s="139"/>
      <c r="N93" s="135"/>
      <c r="O93" s="94"/>
      <c r="P93" s="134"/>
      <c r="Q93" s="134"/>
      <c r="R93" s="134"/>
      <c r="S93" s="134"/>
      <c r="T93" s="134"/>
      <c r="U93" s="134"/>
      <c r="V93" s="135"/>
    </row>
    <row r="94" spans="1:27" x14ac:dyDescent="0.25">
      <c r="A94" s="180"/>
      <c r="B94" s="25"/>
      <c r="C94" s="25"/>
      <c r="D94" s="138"/>
      <c r="E94" s="138"/>
      <c r="F94" s="138"/>
      <c r="G94" s="138"/>
      <c r="H94" s="138"/>
      <c r="I94" s="139"/>
      <c r="J94" s="139"/>
      <c r="K94" s="139"/>
      <c r="L94" s="139"/>
      <c r="M94" s="139"/>
      <c r="N94" s="135"/>
      <c r="O94" s="94"/>
      <c r="P94" s="134"/>
      <c r="Q94" s="134"/>
      <c r="R94" s="134"/>
      <c r="S94" s="134"/>
      <c r="T94" s="134"/>
      <c r="U94" s="134"/>
      <c r="V94" s="135"/>
    </row>
    <row r="95" spans="1:27" x14ac:dyDescent="0.25">
      <c r="A95" s="180"/>
      <c r="B95" s="25"/>
      <c r="C95" s="25"/>
      <c r="D95" s="138"/>
      <c r="E95" s="138"/>
      <c r="F95" s="138"/>
      <c r="G95" s="138"/>
      <c r="H95" s="138"/>
      <c r="I95" s="139"/>
      <c r="J95" s="139"/>
      <c r="K95" s="139"/>
      <c r="L95" s="139"/>
      <c r="M95" s="139"/>
      <c r="N95" s="135"/>
      <c r="O95" s="94"/>
      <c r="P95" s="134"/>
      <c r="Q95" s="134"/>
      <c r="R95" s="134"/>
      <c r="S95" s="134"/>
      <c r="T95" s="134"/>
      <c r="U95" s="134"/>
      <c r="V95" s="135"/>
    </row>
    <row r="96" spans="1:27" x14ac:dyDescent="0.25">
      <c r="A96" s="180"/>
      <c r="B96" s="25"/>
      <c r="C96" s="25"/>
      <c r="D96" s="138"/>
      <c r="E96" s="138"/>
      <c r="F96" s="138"/>
      <c r="G96" s="138"/>
      <c r="H96" s="138"/>
      <c r="I96" s="139"/>
      <c r="J96" s="139"/>
      <c r="K96" s="139"/>
      <c r="L96" s="139"/>
      <c r="M96" s="139"/>
      <c r="N96" s="135"/>
      <c r="O96" s="94"/>
      <c r="P96" s="134"/>
      <c r="Q96" s="134"/>
      <c r="R96" s="134"/>
      <c r="S96" s="134"/>
      <c r="T96" s="134"/>
      <c r="U96" s="134"/>
      <c r="V96" s="135"/>
    </row>
    <row r="97" spans="1:30" x14ac:dyDescent="0.25">
      <c r="A97" s="180"/>
      <c r="B97" s="25"/>
      <c r="C97" s="25"/>
      <c r="D97" s="138"/>
      <c r="E97" s="138"/>
      <c r="F97" s="138"/>
      <c r="G97" s="138"/>
      <c r="H97" s="138"/>
      <c r="I97" s="139"/>
      <c r="J97" s="139"/>
      <c r="K97" s="139"/>
      <c r="L97" s="139"/>
      <c r="M97" s="139"/>
      <c r="N97" s="135"/>
      <c r="O97" s="94"/>
      <c r="P97" s="134"/>
      <c r="Q97" s="134"/>
      <c r="R97" s="134"/>
      <c r="S97" s="134"/>
      <c r="T97" s="134"/>
      <c r="U97" s="134"/>
      <c r="V97" s="135"/>
    </row>
    <row r="98" spans="1:30" x14ac:dyDescent="0.25">
      <c r="A98" s="180"/>
      <c r="B98" s="25"/>
      <c r="C98" s="25"/>
      <c r="D98" s="138"/>
      <c r="E98" s="138"/>
      <c r="F98" s="138"/>
      <c r="G98" s="138"/>
      <c r="H98" s="138"/>
      <c r="I98" s="139"/>
      <c r="J98" s="139"/>
      <c r="K98" s="139"/>
      <c r="L98" s="139"/>
      <c r="M98" s="139"/>
      <c r="N98" s="135"/>
      <c r="O98" s="94"/>
      <c r="P98" s="134"/>
      <c r="Q98" s="134"/>
      <c r="R98" s="134"/>
      <c r="S98" s="134"/>
      <c r="T98" s="134"/>
      <c r="U98" s="134"/>
      <c r="V98" s="135"/>
    </row>
    <row r="99" spans="1:30" x14ac:dyDescent="0.25">
      <c r="A99" s="26"/>
      <c r="B99" s="25"/>
      <c r="C99" s="25"/>
      <c r="D99" s="138"/>
      <c r="E99" s="138"/>
      <c r="F99" s="138"/>
      <c r="G99" s="138"/>
      <c r="H99" s="138"/>
      <c r="I99" s="139"/>
      <c r="J99" s="139"/>
      <c r="K99" s="139"/>
      <c r="L99" s="139"/>
      <c r="M99" s="139"/>
      <c r="N99" s="135"/>
      <c r="P99" s="134"/>
      <c r="Q99" s="134"/>
      <c r="R99" s="134"/>
      <c r="S99" s="134"/>
      <c r="T99" s="134"/>
      <c r="U99" s="134"/>
      <c r="V99" s="135"/>
    </row>
    <row r="100" spans="1:30" x14ac:dyDescent="0.25">
      <c r="A100" s="26"/>
      <c r="B100" s="25"/>
      <c r="C100" s="25"/>
      <c r="D100" s="138"/>
      <c r="E100" s="138"/>
      <c r="F100" s="138"/>
      <c r="G100" s="138"/>
      <c r="H100" s="138"/>
      <c r="I100" s="139"/>
      <c r="J100" s="139"/>
      <c r="K100" s="139"/>
      <c r="L100" s="139"/>
      <c r="M100" s="139"/>
      <c r="N100" s="135"/>
      <c r="P100" s="134"/>
      <c r="Q100" s="134"/>
      <c r="R100" s="134"/>
      <c r="S100" s="134"/>
      <c r="T100" s="134"/>
      <c r="U100" s="134"/>
      <c r="V100" s="135"/>
    </row>
    <row r="101" spans="1:30" x14ac:dyDescent="0.25">
      <c r="A101" s="26"/>
      <c r="B101" s="25"/>
      <c r="C101" s="25"/>
      <c r="D101" s="138"/>
      <c r="E101" s="138"/>
      <c r="F101" s="138"/>
      <c r="G101" s="138"/>
      <c r="H101" s="138"/>
      <c r="I101" s="139"/>
      <c r="J101" s="139"/>
      <c r="K101" s="139"/>
      <c r="L101" s="139"/>
      <c r="M101" s="139"/>
      <c r="N101" s="135"/>
      <c r="P101" s="134"/>
      <c r="Q101" s="134"/>
      <c r="R101" s="134"/>
      <c r="S101" s="134"/>
      <c r="T101" s="134"/>
      <c r="U101" s="134"/>
      <c r="V101" s="135"/>
    </row>
    <row r="102" spans="1:30" x14ac:dyDescent="0.25">
      <c r="A102" s="26"/>
      <c r="B102" s="127"/>
      <c r="C102" s="127"/>
      <c r="D102" s="138"/>
      <c r="E102" s="138"/>
      <c r="F102" s="138"/>
      <c r="G102" s="138"/>
      <c r="H102" s="138"/>
      <c r="I102" s="139"/>
      <c r="J102" s="139"/>
      <c r="K102" s="139"/>
      <c r="L102" s="139"/>
      <c r="M102" s="139"/>
      <c r="N102" s="135"/>
      <c r="P102" s="134"/>
      <c r="Q102" s="134"/>
      <c r="R102" s="134"/>
      <c r="S102" s="134"/>
      <c r="T102" s="134"/>
      <c r="U102" s="134"/>
      <c r="V102" s="135"/>
    </row>
    <row r="103" spans="1:30" x14ac:dyDescent="0.25">
      <c r="B103" s="127"/>
      <c r="C103" s="127"/>
      <c r="D103" s="138"/>
      <c r="E103" s="138"/>
      <c r="F103" s="138"/>
      <c r="G103" s="138"/>
      <c r="H103" s="138"/>
      <c r="I103" s="139"/>
      <c r="J103" s="139"/>
      <c r="K103" s="139"/>
      <c r="L103" s="139"/>
      <c r="M103" s="139"/>
      <c r="N103" s="135"/>
      <c r="P103" s="134"/>
      <c r="Q103" s="134"/>
      <c r="R103" s="134"/>
      <c r="S103" s="134"/>
      <c r="T103" s="134"/>
      <c r="U103" s="134"/>
      <c r="V103" s="135"/>
    </row>
    <row r="106" spans="1:30" x14ac:dyDescent="0.25">
      <c r="X106" s="134"/>
      <c r="Y106" s="134"/>
      <c r="Z106" s="134"/>
      <c r="AA106" s="134"/>
      <c r="AB106" s="134"/>
      <c r="AC106" s="134"/>
      <c r="AD106" s="134"/>
    </row>
    <row r="107" spans="1:30" x14ac:dyDescent="0.25">
      <c r="X107" s="134"/>
      <c r="Y107" s="134"/>
      <c r="Z107" s="134"/>
      <c r="AA107" s="134"/>
      <c r="AB107" s="134"/>
      <c r="AC107" s="134"/>
      <c r="AD107" s="134"/>
    </row>
    <row r="108" spans="1:30" x14ac:dyDescent="0.25">
      <c r="X108" s="181"/>
      <c r="Y108" s="134"/>
      <c r="Z108" s="134"/>
      <c r="AA108" s="134"/>
      <c r="AB108" s="134"/>
      <c r="AC108" s="134"/>
      <c r="AD108" s="134"/>
    </row>
    <row r="109" spans="1:30" x14ac:dyDescent="0.25">
      <c r="X109" s="134"/>
      <c r="Y109" s="134"/>
      <c r="Z109" s="134"/>
      <c r="AA109" s="134"/>
      <c r="AB109" s="134"/>
      <c r="AC109" s="134"/>
      <c r="AD109" s="134"/>
    </row>
    <row r="110" spans="1:30" x14ac:dyDescent="0.25">
      <c r="X110" s="134"/>
      <c r="Y110" s="134"/>
      <c r="Z110" s="134"/>
      <c r="AA110" s="134"/>
      <c r="AB110" s="134"/>
      <c r="AC110" s="134"/>
      <c r="AD110" s="134"/>
    </row>
    <row r="111" spans="1:30" x14ac:dyDescent="0.25">
      <c r="X111" s="134"/>
      <c r="Y111" s="134"/>
      <c r="Z111" s="134"/>
      <c r="AA111" s="134"/>
      <c r="AB111" s="134"/>
      <c r="AC111" s="134"/>
      <c r="AD111" s="134"/>
    </row>
    <row r="112" spans="1:30" x14ac:dyDescent="0.25">
      <c r="E112" s="54"/>
      <c r="F112" s="54"/>
      <c r="G112" s="54"/>
      <c r="H112" s="54"/>
      <c r="I112" s="54"/>
      <c r="J112" s="54"/>
      <c r="K112" s="54"/>
      <c r="L112" s="54"/>
      <c r="M112" s="54"/>
      <c r="N112" s="97"/>
      <c r="O112" s="97"/>
      <c r="P112" s="97"/>
      <c r="Q112" s="167"/>
      <c r="R112" s="167"/>
      <c r="S112" s="167"/>
      <c r="T112" s="167"/>
      <c r="U112" s="167"/>
      <c r="V112" s="167"/>
      <c r="W112" s="167"/>
      <c r="X112" s="134"/>
      <c r="Y112" s="134"/>
      <c r="Z112" s="134"/>
      <c r="AA112" s="134"/>
      <c r="AB112" s="134"/>
      <c r="AC112" s="134"/>
      <c r="AD112" s="134"/>
    </row>
    <row r="113" spans="24:30" x14ac:dyDescent="0.25">
      <c r="X113" s="134"/>
      <c r="Y113" s="134"/>
      <c r="Z113" s="134"/>
      <c r="AA113" s="134"/>
      <c r="AB113" s="134"/>
      <c r="AC113" s="134"/>
      <c r="AD113" s="134"/>
    </row>
    <row r="114" spans="24:30" x14ac:dyDescent="0.25">
      <c r="X114" s="134"/>
      <c r="Y114" s="134"/>
      <c r="Z114" s="134"/>
      <c r="AA114" s="134"/>
      <c r="AB114" s="134"/>
      <c r="AC114" s="134"/>
      <c r="AD114" s="134"/>
    </row>
    <row r="115" spans="24:30" x14ac:dyDescent="0.25">
      <c r="X115" s="134"/>
      <c r="Y115" s="134"/>
      <c r="Z115" s="134"/>
      <c r="AA115" s="134"/>
      <c r="AB115" s="134"/>
      <c r="AC115" s="134"/>
      <c r="AD115" s="134"/>
    </row>
    <row r="116" spans="24:30" x14ac:dyDescent="0.25">
      <c r="X116" s="134"/>
      <c r="Y116" s="134"/>
      <c r="Z116" s="134"/>
      <c r="AA116" s="134"/>
      <c r="AB116" s="134"/>
      <c r="AC116" s="134"/>
      <c r="AD116" s="134"/>
    </row>
    <row r="117" spans="24:30" x14ac:dyDescent="0.25">
      <c r="X117" s="134"/>
      <c r="Y117" s="134"/>
      <c r="Z117" s="134"/>
      <c r="AA117" s="134"/>
      <c r="AB117" s="134"/>
      <c r="AC117" s="134"/>
      <c r="AD117" s="134"/>
    </row>
    <row r="118" spans="24:30" x14ac:dyDescent="0.25">
      <c r="X118" s="134"/>
      <c r="Y118" s="134"/>
      <c r="Z118" s="134"/>
      <c r="AA118" s="134"/>
      <c r="AB118" s="134"/>
      <c r="AC118" s="134"/>
      <c r="AD118" s="134"/>
    </row>
    <row r="119" spans="24:30" x14ac:dyDescent="0.25">
      <c r="X119" s="134"/>
      <c r="Y119" s="134"/>
      <c r="Z119" s="134"/>
      <c r="AA119" s="134"/>
      <c r="AB119" s="134"/>
      <c r="AC119" s="134"/>
      <c r="AD119" s="134"/>
    </row>
    <row r="120" spans="24:30" x14ac:dyDescent="0.25">
      <c r="X120" s="134"/>
      <c r="Y120" s="134"/>
      <c r="Z120" s="134"/>
      <c r="AA120" s="134"/>
      <c r="AB120" s="134"/>
      <c r="AC120" s="134"/>
      <c r="AD120" s="134"/>
    </row>
    <row r="121" spans="24:30" x14ac:dyDescent="0.25">
      <c r="X121" s="134"/>
      <c r="Y121" s="134"/>
      <c r="Z121" s="134"/>
      <c r="AA121" s="134"/>
      <c r="AB121" s="134"/>
      <c r="AC121" s="134"/>
      <c r="AD121" s="134"/>
    </row>
    <row r="122" spans="24:30" x14ac:dyDescent="0.25">
      <c r="X122" s="134"/>
      <c r="Y122" s="134"/>
      <c r="Z122" s="134"/>
      <c r="AA122" s="134"/>
      <c r="AB122" s="134"/>
      <c r="AC122" s="134"/>
      <c r="AD122" s="134"/>
    </row>
    <row r="123" spans="24:30" x14ac:dyDescent="0.25">
      <c r="X123" s="134"/>
      <c r="Y123" s="134"/>
      <c r="Z123" s="134"/>
      <c r="AA123" s="134"/>
      <c r="AB123" s="134"/>
      <c r="AC123" s="134"/>
      <c r="AD123" s="134"/>
    </row>
    <row r="124" spans="24:30" x14ac:dyDescent="0.25">
      <c r="X124" s="134"/>
      <c r="Y124" s="134"/>
      <c r="Z124" s="134"/>
      <c r="AA124" s="134"/>
      <c r="AB124" s="134"/>
      <c r="AC124" s="134"/>
      <c r="AD124" s="134"/>
    </row>
    <row r="125" spans="24:30" x14ac:dyDescent="0.25">
      <c r="X125" s="134"/>
      <c r="Y125" s="134"/>
      <c r="Z125" s="134"/>
      <c r="AA125" s="134"/>
      <c r="AB125" s="134"/>
      <c r="AC125" s="134"/>
      <c r="AD125" s="134"/>
    </row>
    <row r="126" spans="24:30" x14ac:dyDescent="0.25">
      <c r="X126" s="134"/>
      <c r="Y126" s="134"/>
      <c r="Z126" s="134"/>
      <c r="AA126" s="134"/>
      <c r="AB126" s="134"/>
      <c r="AC126" s="134"/>
      <c r="AD126" s="134"/>
    </row>
    <row r="127" spans="24:30" x14ac:dyDescent="0.25">
      <c r="X127" s="134"/>
      <c r="Y127" s="134"/>
      <c r="Z127" s="134"/>
      <c r="AA127" s="134"/>
      <c r="AB127" s="134"/>
      <c r="AC127" s="134"/>
      <c r="AD127" s="134"/>
    </row>
  </sheetData>
  <conditionalFormatting sqref="O22:O23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I58"/>
  <sheetViews>
    <sheetView zoomScale="80" zoomScaleNormal="80" workbookViewId="0">
      <selection activeCell="A4" sqref="A4"/>
    </sheetView>
  </sheetViews>
  <sheetFormatPr defaultRowHeight="14.25" x14ac:dyDescent="0.2"/>
  <cols>
    <col min="1" max="1" width="8.75" bestFit="1" customWidth="1"/>
    <col min="2" max="2" width="15.125" customWidth="1"/>
    <col min="3" max="3" width="16.375" customWidth="1"/>
    <col min="4" max="4" width="14.625" customWidth="1"/>
    <col min="5" max="5" width="14.25" customWidth="1"/>
    <col min="6" max="6" width="13" customWidth="1"/>
    <col min="7" max="8" width="13.125" customWidth="1"/>
    <col min="9" max="9" width="12.625" customWidth="1"/>
    <col min="10" max="10" width="13" customWidth="1"/>
    <col min="11" max="11" width="12.625" customWidth="1"/>
    <col min="12" max="12" width="13.25" customWidth="1"/>
    <col min="13" max="13" width="13.5" customWidth="1"/>
    <col min="14" max="14" width="10.25" bestFit="1" customWidth="1"/>
    <col min="15" max="15" width="8.75" bestFit="1" customWidth="1"/>
  </cols>
  <sheetData>
    <row r="1" spans="1:61" ht="23.25" x14ac:dyDescent="0.35">
      <c r="A1" s="440" t="s">
        <v>687</v>
      </c>
    </row>
    <row r="2" spans="1:61" x14ac:dyDescent="0.2">
      <c r="A2" s="479" t="str">
        <f>INFO!A2</f>
        <v>VM/KAO 13.4.2021</v>
      </c>
    </row>
    <row r="3" spans="1:61" x14ac:dyDescent="0.2">
      <c r="A3" s="535" t="s">
        <v>717</v>
      </c>
    </row>
    <row r="4" spans="1:61" x14ac:dyDescent="0.2">
      <c r="A4" s="535" t="s">
        <v>718</v>
      </c>
    </row>
    <row r="5" spans="1:61" x14ac:dyDescent="0.2">
      <c r="A5" s="535"/>
    </row>
    <row r="6" spans="1:61" s="474" customFormat="1" ht="12.75" x14ac:dyDescent="0.2">
      <c r="A6" s="481" t="s">
        <v>685</v>
      </c>
      <c r="B6" s="481"/>
      <c r="C6" s="481"/>
      <c r="D6" s="481"/>
      <c r="E6" s="482"/>
      <c r="F6" s="482"/>
      <c r="G6" s="482"/>
      <c r="H6" s="482"/>
      <c r="I6" s="482"/>
      <c r="J6" s="482"/>
      <c r="K6" s="482"/>
      <c r="L6" s="482"/>
      <c r="M6" s="482"/>
      <c r="N6" s="482"/>
    </row>
    <row r="7" spans="1:61" s="474" customFormat="1" ht="25.5" x14ac:dyDescent="0.2">
      <c r="A7" s="483" t="s">
        <v>469</v>
      </c>
      <c r="B7" s="483" t="s">
        <v>134</v>
      </c>
      <c r="C7" s="484" t="s">
        <v>431</v>
      </c>
      <c r="D7" s="485" t="s">
        <v>542</v>
      </c>
      <c r="E7" s="485" t="s">
        <v>543</v>
      </c>
      <c r="F7" s="485" t="s">
        <v>544</v>
      </c>
      <c r="G7" s="486" t="s">
        <v>433</v>
      </c>
      <c r="H7" s="483" t="s">
        <v>430</v>
      </c>
      <c r="I7" s="483" t="s">
        <v>429</v>
      </c>
      <c r="J7" s="483" t="s">
        <v>480</v>
      </c>
      <c r="K7" s="483" t="s">
        <v>479</v>
      </c>
      <c r="L7" s="487" t="s">
        <v>559</v>
      </c>
      <c r="M7" s="487" t="s">
        <v>662</v>
      </c>
      <c r="N7" s="488" t="s">
        <v>504</v>
      </c>
      <c r="O7" s="489" t="s">
        <v>502</v>
      </c>
      <c r="AF7" s="490"/>
      <c r="AG7" s="490"/>
      <c r="AH7" s="490"/>
      <c r="AI7" s="490"/>
      <c r="AJ7" s="490"/>
      <c r="AK7" s="490"/>
      <c r="AL7" s="490"/>
      <c r="AM7" s="490"/>
      <c r="AN7" s="490"/>
      <c r="AO7" s="490"/>
      <c r="AP7" s="490"/>
      <c r="AQ7" s="490"/>
      <c r="AR7" s="490"/>
      <c r="AS7" s="490"/>
      <c r="AT7" s="490"/>
      <c r="AU7" s="490"/>
      <c r="AV7" s="490"/>
      <c r="AW7" s="490"/>
      <c r="AX7" s="490"/>
      <c r="AY7" s="490"/>
      <c r="AZ7" s="490"/>
      <c r="BA7" s="490"/>
      <c r="BB7" s="490"/>
      <c r="BC7" s="490"/>
      <c r="BD7" s="490"/>
      <c r="BE7" s="490"/>
      <c r="BF7" s="490"/>
      <c r="BG7" s="490"/>
      <c r="BH7" s="490"/>
      <c r="BI7" s="490"/>
    </row>
    <row r="8" spans="1:61" s="474" customFormat="1" ht="12.75" x14ac:dyDescent="0.2">
      <c r="A8" s="491">
        <v>31</v>
      </c>
      <c r="B8" s="492" t="s">
        <v>131</v>
      </c>
      <c r="C8" s="493">
        <f>'SOTE laskennallinen rahoitus'!C22*'SOTE laskennallinen rahoitus'!B$17</f>
        <v>290348097.24173623</v>
      </c>
      <c r="D8" s="493">
        <f>'SOTE laskennallinen rahoitus'!D22*'SOTE laskennallinen rahoitus'!$D$17*'SOTE laskennallinen rahoitus'!C22</f>
        <v>1054181621.869656</v>
      </c>
      <c r="E8" s="493">
        <f>'SOTE laskennallinen rahoitus'!E22*'SOTE laskennallinen rahoitus'!$E$17*'SOTE laskennallinen rahoitus'!C22</f>
        <v>293744821.62351114</v>
      </c>
      <c r="F8" s="493">
        <f>'SOTE laskennallinen rahoitus'!F22*'SOTE laskennallinen rahoitus'!$F$17*'SOTE laskennallinen rahoitus'!C22</f>
        <v>353425363.11514169</v>
      </c>
      <c r="G8" s="493">
        <f>'SOTE laskennallinen rahoitus'!G22*'SOTE laskennallinen rahoitus'!G$17</f>
        <v>105407476.02193861</v>
      </c>
      <c r="H8" s="493">
        <f>'SOTE laskennallinen rahoitus'!H22*'SOTE laskennallinen rahoitus'!$H$17</f>
        <v>15126416.57507835</v>
      </c>
      <c r="I8" s="493">
        <f>'SOTE laskennallinen rahoitus'!I22*'SOTE laskennallinen rahoitus'!$I$17*'SOTE laskennallinen rahoitus'!$C22</f>
        <v>220557.01718032992</v>
      </c>
      <c r="J8" s="493">
        <f>'SOTE laskennallinen rahoitus'!J22*'SOTE laskennallinen rahoitus'!$J$17</f>
        <v>0</v>
      </c>
      <c r="K8" s="493">
        <f>'SOTE laskennallinen rahoitus'!K22*'SOTE laskennallinen rahoitus'!K$17*'SOTE laskennallinen rahoitus'!$C22</f>
        <v>21641660.298997354</v>
      </c>
      <c r="L8" s="493">
        <f>'SOTE laskennallinen rahoitus'!$L$17*'SOTE laskennallinen rahoitus'!L22</f>
        <v>0</v>
      </c>
      <c r="M8" s="493">
        <f>'SOTE laskennallinen rahoitus'!$M$17*'SOTE laskennallinen rahoitus'!M22</f>
        <v>68776391.790914163</v>
      </c>
      <c r="N8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2202872405.5541539</v>
      </c>
      <c r="O8" s="493">
        <f>N8/'SOTE laskennallinen rahoitus'!C22</f>
        <v>3353.3343566250896</v>
      </c>
      <c r="AF8" s="490"/>
      <c r="AG8" s="490"/>
      <c r="AH8" s="490"/>
      <c r="AI8" s="490"/>
      <c r="AJ8" s="490"/>
      <c r="AK8" s="490"/>
      <c r="AL8" s="490"/>
      <c r="AM8" s="490"/>
      <c r="AN8" s="490"/>
      <c r="AO8" s="490"/>
      <c r="AP8" s="490"/>
      <c r="AQ8" s="490"/>
      <c r="AR8" s="490"/>
      <c r="AS8" s="490"/>
      <c r="AT8" s="490"/>
    </row>
    <row r="9" spans="1:61" s="474" customFormat="1" ht="12.75" x14ac:dyDescent="0.2">
      <c r="A9" s="491">
        <v>32</v>
      </c>
      <c r="B9" s="492" t="s">
        <v>130</v>
      </c>
      <c r="C9" s="493">
        <f>'SOTE laskennallinen rahoitus'!C23*'SOTE laskennallinen rahoitus'!B$17</f>
        <v>121252109.24451828</v>
      </c>
      <c r="D9" s="493">
        <f>'SOTE laskennallinen rahoitus'!D23*'SOTE laskennallinen rahoitus'!$D$17*'SOTE laskennallinen rahoitus'!C23</f>
        <v>428214439.57022524</v>
      </c>
      <c r="E9" s="493">
        <f>'SOTE laskennallinen rahoitus'!E23*'SOTE laskennallinen rahoitus'!$E$17*'SOTE laskennallinen rahoitus'!C23</f>
        <v>91553171.681956589</v>
      </c>
      <c r="F9" s="493">
        <f>'SOTE laskennallinen rahoitus'!F23*'SOTE laskennallinen rahoitus'!$F$17*'SOTE laskennallinen rahoitus'!C23</f>
        <v>146743566.4938913</v>
      </c>
      <c r="G9" s="493">
        <f>'SOTE laskennallinen rahoitus'!G23*'SOTE laskennallinen rahoitus'!G$17</f>
        <v>53841228.75940749</v>
      </c>
      <c r="H9" s="493">
        <f>'SOTE laskennallinen rahoitus'!H23*'SOTE laskennallinen rahoitus'!$H$17</f>
        <v>2482931.686277621</v>
      </c>
      <c r="I9" s="493">
        <f>'SOTE laskennallinen rahoitus'!I23*'SOTE laskennallinen rahoitus'!$I$17*'SOTE laskennallinen rahoitus'!$C23</f>
        <v>276867.03822627629</v>
      </c>
      <c r="J9" s="493">
        <f>'SOTE laskennallinen rahoitus'!J23*'SOTE laskennallinen rahoitus'!$J$17</f>
        <v>0</v>
      </c>
      <c r="K9" s="493">
        <f>'SOTE laskennallinen rahoitus'!K23*'SOTE laskennallinen rahoitus'!K$17*'SOTE laskennallinen rahoitus'!$C23</f>
        <v>9800389.1854750309</v>
      </c>
      <c r="L9" s="493">
        <f>'SOTE laskennallinen rahoitus'!$L$17*'SOTE laskennallinen rahoitus'!L23</f>
        <v>0</v>
      </c>
      <c r="M9" s="493">
        <f>'SOTE laskennallinen rahoitus'!$M$17*'SOTE laskennallinen rahoitus'!M23</f>
        <v>28721671.159885876</v>
      </c>
      <c r="N9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882886374.81986356</v>
      </c>
      <c r="O9" s="493">
        <f>N9/'SOTE laskennallinen rahoitus'!C23</f>
        <v>3218.266559328209</v>
      </c>
      <c r="AF9" s="490"/>
      <c r="AG9" s="490"/>
      <c r="AH9" s="490"/>
      <c r="AI9" s="490"/>
      <c r="AJ9" s="490"/>
      <c r="AK9" s="490"/>
      <c r="AL9" s="490"/>
      <c r="AM9" s="490"/>
      <c r="AN9" s="490"/>
      <c r="AO9" s="490"/>
      <c r="AP9" s="490"/>
      <c r="AQ9" s="490"/>
      <c r="AR9" s="490"/>
      <c r="AS9" s="490"/>
      <c r="AT9" s="490"/>
    </row>
    <row r="10" spans="1:61" s="474" customFormat="1" ht="12.75" x14ac:dyDescent="0.2">
      <c r="A10" s="534">
        <v>33</v>
      </c>
      <c r="B10" s="492" t="s">
        <v>129</v>
      </c>
      <c r="C10" s="493">
        <f>'SOTE laskennallinen rahoitus'!C24*'SOTE laskennallinen rahoitus'!B$17</f>
        <v>209428791.4827221</v>
      </c>
      <c r="D10" s="493">
        <f>'SOTE laskennallinen rahoitus'!D24*'SOTE laskennallinen rahoitus'!$D$17*'SOTE laskennallinen rahoitus'!C24</f>
        <v>724987133.6727699</v>
      </c>
      <c r="E10" s="493">
        <f>'SOTE laskennallinen rahoitus'!E24*'SOTE laskennallinen rahoitus'!$E$17*'SOTE laskennallinen rahoitus'!C24</f>
        <v>175695983.25112286</v>
      </c>
      <c r="F10" s="493">
        <f>'SOTE laskennallinen rahoitus'!F24*'SOTE laskennallinen rahoitus'!$F$17*'SOTE laskennallinen rahoitus'!C24</f>
        <v>236580101.60791332</v>
      </c>
      <c r="G10" s="493">
        <f>'SOTE laskennallinen rahoitus'!G24*'SOTE laskennallinen rahoitus'!G$17</f>
        <v>64818641.597176522</v>
      </c>
      <c r="H10" s="493">
        <f>'SOTE laskennallinen rahoitus'!H24*'SOTE laskennallinen rahoitus'!$H$17</f>
        <v>23611104.067917641</v>
      </c>
      <c r="I10" s="493">
        <f>'SOTE laskennallinen rahoitus'!I24*'SOTE laskennallinen rahoitus'!$I$17*'SOTE laskennallinen rahoitus'!$C24</f>
        <v>4369208.8821295043</v>
      </c>
      <c r="J10" s="493">
        <f>'SOTE laskennallinen rahoitus'!J24*'SOTE laskennallinen rahoitus'!$J$17</f>
        <v>0</v>
      </c>
      <c r="K10" s="493">
        <f>'SOTE laskennallinen rahoitus'!K24*'SOTE laskennallinen rahoitus'!K$17*'SOTE laskennallinen rahoitus'!$C24</f>
        <v>15762026.63936951</v>
      </c>
      <c r="L10" s="493">
        <f>'SOTE laskennallinen rahoitus'!$L$17*'SOTE laskennallinen rahoitus'!L24</f>
        <v>0</v>
      </c>
      <c r="M10" s="493">
        <f>'SOTE laskennallinen rahoitus'!$M$17*'SOTE laskennallinen rahoitus'!M24</f>
        <v>49608579.329938479</v>
      </c>
      <c r="N10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1504861570.5310597</v>
      </c>
      <c r="O10" s="493">
        <f>N10/'SOTE laskennallinen rahoitus'!C24</f>
        <v>3175.8988737312325</v>
      </c>
      <c r="AF10" s="490"/>
      <c r="AG10" s="490"/>
      <c r="AH10" s="490"/>
      <c r="AI10" s="490"/>
      <c r="AJ10" s="490"/>
      <c r="AK10" s="490"/>
      <c r="AL10" s="490"/>
      <c r="AM10" s="490"/>
      <c r="AN10" s="490"/>
      <c r="AO10" s="490"/>
      <c r="AP10" s="490"/>
      <c r="AQ10" s="490"/>
      <c r="AR10" s="490"/>
      <c r="AS10" s="490"/>
      <c r="AT10" s="490"/>
    </row>
    <row r="11" spans="1:61" s="474" customFormat="1" ht="12.75" x14ac:dyDescent="0.2">
      <c r="A11" s="491">
        <v>34</v>
      </c>
      <c r="B11" s="492" t="s">
        <v>128</v>
      </c>
      <c r="C11" s="493">
        <f>'SOTE laskennallinen rahoitus'!C25*'SOTE laskennallinen rahoitus'!B$17</f>
        <v>43426691.144111231</v>
      </c>
      <c r="D11" s="493">
        <f>'SOTE laskennallinen rahoitus'!D25*'SOTE laskennallinen rahoitus'!$D$17*'SOTE laskennallinen rahoitus'!C25</f>
        <v>169900154.6559402</v>
      </c>
      <c r="E11" s="493">
        <f>'SOTE laskennallinen rahoitus'!E25*'SOTE laskennallinen rahoitus'!$E$17*'SOTE laskennallinen rahoitus'!C25</f>
        <v>53486899.399953999</v>
      </c>
      <c r="F11" s="493">
        <f>'SOTE laskennallinen rahoitus'!F25*'SOTE laskennallinen rahoitus'!$F$17*'SOTE laskennallinen rahoitus'!C25</f>
        <v>54636913.481484793</v>
      </c>
      <c r="G11" s="493">
        <f>'SOTE laskennallinen rahoitus'!G25*'SOTE laskennallinen rahoitus'!G$17</f>
        <v>5808052.8461390007</v>
      </c>
      <c r="H11" s="493">
        <f>'SOTE laskennallinen rahoitus'!H25*'SOTE laskennallinen rahoitus'!$H$17</f>
        <v>11560263.24148054</v>
      </c>
      <c r="I11" s="493">
        <f>'SOTE laskennallinen rahoitus'!I25*'SOTE laskennallinen rahoitus'!$I$17*'SOTE laskennallinen rahoitus'!$C25</f>
        <v>2780928.6961113685</v>
      </c>
      <c r="J11" s="493">
        <f>'SOTE laskennallinen rahoitus'!J25*'SOTE laskennallinen rahoitus'!$J$17</f>
        <v>0</v>
      </c>
      <c r="K11" s="493">
        <f>'SOTE laskennallinen rahoitus'!K25*'SOTE laskennallinen rahoitus'!K$17*'SOTE laskennallinen rahoitus'!$C25</f>
        <v>3598849.4295548578</v>
      </c>
      <c r="L11" s="493">
        <f>'SOTE laskennallinen rahoitus'!$L$17*'SOTE laskennallinen rahoitus'!L25</f>
        <v>0</v>
      </c>
      <c r="M11" s="493">
        <f>'SOTE laskennallinen rahoitus'!$M$17*'SOTE laskennallinen rahoitus'!M25</f>
        <v>10286725.322755404</v>
      </c>
      <c r="N11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355485478.21753144</v>
      </c>
      <c r="O11" s="493">
        <f>N11/'SOTE laskennallinen rahoitus'!C25</f>
        <v>3618.0255075369087</v>
      </c>
      <c r="AF11" s="490"/>
      <c r="AG11" s="490"/>
      <c r="AH11" s="490"/>
      <c r="AI11" s="490"/>
      <c r="AJ11" s="490"/>
      <c r="AK11" s="490"/>
      <c r="AL11" s="490"/>
      <c r="AM11" s="490"/>
      <c r="AN11" s="490"/>
      <c r="AO11" s="490"/>
      <c r="AP11" s="490"/>
      <c r="AQ11" s="490"/>
      <c r="AR11" s="490"/>
      <c r="AS11" s="490"/>
      <c r="AT11" s="490"/>
    </row>
    <row r="12" spans="1:61" s="474" customFormat="1" ht="12.75" x14ac:dyDescent="0.2">
      <c r="A12" s="496">
        <v>35</v>
      </c>
      <c r="B12" s="497" t="s">
        <v>127</v>
      </c>
      <c r="C12" s="498">
        <f>'SOTE laskennallinen rahoitus'!C26*'SOTE laskennallinen rahoitus'!B$17</f>
        <v>88100660.998592332</v>
      </c>
      <c r="D12" s="498">
        <f>'SOTE laskennallinen rahoitus'!D26*'SOTE laskennallinen rahoitus'!$D$17*'SOTE laskennallinen rahoitus'!C26</f>
        <v>323100425.45200145</v>
      </c>
      <c r="E12" s="498">
        <f>'SOTE laskennallinen rahoitus'!E26*'SOTE laskennallinen rahoitus'!$E$17*'SOTE laskennallinen rahoitus'!C26</f>
        <v>85764693.748648524</v>
      </c>
      <c r="F12" s="498">
        <f>'SOTE laskennallinen rahoitus'!F26*'SOTE laskennallinen rahoitus'!$F$17*'SOTE laskennallinen rahoitus'!C26</f>
        <v>109703834.52618186</v>
      </c>
      <c r="G12" s="498">
        <f>'SOTE laskennallinen rahoitus'!G26*'SOTE laskennallinen rahoitus'!G$17</f>
        <v>11480069.90302458</v>
      </c>
      <c r="H12" s="498">
        <f>'SOTE laskennallinen rahoitus'!H26*'SOTE laskennallinen rahoitus'!$H$17</f>
        <v>0</v>
      </c>
      <c r="I12" s="498">
        <f>'SOTE laskennallinen rahoitus'!I26*'SOTE laskennallinen rahoitus'!$I$17*'SOTE laskennallinen rahoitus'!$C26</f>
        <v>1717821.0240521836</v>
      </c>
      <c r="J12" s="493">
        <f>'SOTE laskennallinen rahoitus'!J26*'SOTE laskennallinen rahoitus'!$J$17</f>
        <v>0</v>
      </c>
      <c r="K12" s="498">
        <f>'SOTE laskennallinen rahoitus'!K26*'SOTE laskennallinen rahoitus'!K$17*'SOTE laskennallinen rahoitus'!$C26</f>
        <v>7809426.4845173694</v>
      </c>
      <c r="L12" s="498">
        <f>'SOTE laskennallinen rahoitus'!$L$17*'SOTE laskennallinen rahoitus'!L26</f>
        <v>0</v>
      </c>
      <c r="M12" s="493">
        <f>'SOTE laskennallinen rahoitus'!$M$17*'SOTE laskennallinen rahoitus'!M26</f>
        <v>20868900.590152409</v>
      </c>
      <c r="N12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648545832.72717059</v>
      </c>
      <c r="O12" s="498">
        <f>N12/'SOTE laskennallinen rahoitus'!C26</f>
        <v>3253.6288201834677</v>
      </c>
      <c r="AF12" s="490"/>
      <c r="AG12" s="490"/>
      <c r="AH12" s="490"/>
      <c r="AI12" s="490"/>
      <c r="AJ12" s="490"/>
      <c r="AK12" s="490"/>
      <c r="AL12" s="490"/>
      <c r="AM12" s="490"/>
      <c r="AN12" s="490"/>
      <c r="AO12" s="490"/>
      <c r="AP12" s="490"/>
      <c r="AQ12" s="490"/>
      <c r="AR12" s="490"/>
      <c r="AS12" s="490"/>
      <c r="AT12" s="490"/>
    </row>
    <row r="13" spans="1:61" s="474" customFormat="1" ht="12.75" x14ac:dyDescent="0.2">
      <c r="A13" s="499">
        <v>2</v>
      </c>
      <c r="B13" s="500" t="s">
        <v>126</v>
      </c>
      <c r="C13" s="493">
        <f>'SOTE laskennallinen rahoitus'!C27*'SOTE laskennallinen rahoitus'!B$17</f>
        <v>212772400.07377389</v>
      </c>
      <c r="D13" s="493">
        <f>'SOTE laskennallinen rahoitus'!D27*'SOTE laskennallinen rahoitus'!$D$17*'SOTE laskennallinen rahoitus'!C27</f>
        <v>882430758.97459769</v>
      </c>
      <c r="E13" s="493">
        <f>'SOTE laskennallinen rahoitus'!E27*'SOTE laskennallinen rahoitus'!$E$17*'SOTE laskennallinen rahoitus'!C27</f>
        <v>312636930.02627546</v>
      </c>
      <c r="F13" s="493">
        <f>'SOTE laskennallinen rahoitus'!F27*'SOTE laskennallinen rahoitus'!$F$17*'SOTE laskennallinen rahoitus'!C27</f>
        <v>318995701.04302794</v>
      </c>
      <c r="G13" s="493">
        <f>'SOTE laskennallinen rahoitus'!G27*'SOTE laskennallinen rahoitus'!G$17</f>
        <v>36525127.018127955</v>
      </c>
      <c r="H13" s="493">
        <f>'SOTE laskennallinen rahoitus'!H27*'SOTE laskennallinen rahoitus'!$H$17</f>
        <v>11257356.276272463</v>
      </c>
      <c r="I13" s="493">
        <f>'SOTE laskennallinen rahoitus'!I27*'SOTE laskennallinen rahoitus'!$I$17*'SOTE laskennallinen rahoitus'!$C27</f>
        <v>10977994.207225859</v>
      </c>
      <c r="J13" s="493">
        <f>'SOTE laskennallinen rahoitus'!J27*'SOTE laskennallinen rahoitus'!$J$17</f>
        <v>15145837.49705955</v>
      </c>
      <c r="K13" s="493">
        <f>'SOTE laskennallinen rahoitus'!K27*'SOTE laskennallinen rahoitus'!K$17*'SOTE laskennallinen rahoitus'!$C27</f>
        <v>16588181.004383171</v>
      </c>
      <c r="L13" s="493">
        <f>'SOTE laskennallinen rahoitus'!$L$17*'SOTE laskennallinen rahoitus'!L27</f>
        <v>0</v>
      </c>
      <c r="M13" s="493">
        <f>'SOTE laskennallinen rahoitus'!$M$17*'SOTE laskennallinen rahoitus'!M27</f>
        <v>50400598.759851202</v>
      </c>
      <c r="N13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1867730884.880595</v>
      </c>
      <c r="O13" s="532">
        <f>N13/'SOTE laskennallinen rahoitus'!C27</f>
        <v>3879.7657781122989</v>
      </c>
      <c r="AF13" s="490"/>
      <c r="AG13" s="490"/>
      <c r="AH13" s="490"/>
      <c r="AI13" s="490"/>
      <c r="AJ13" s="490"/>
      <c r="AK13" s="490"/>
      <c r="AL13" s="490"/>
      <c r="AM13" s="490"/>
      <c r="AN13" s="490"/>
      <c r="AO13" s="490"/>
      <c r="AP13" s="490"/>
      <c r="AQ13" s="490"/>
      <c r="AR13" s="490"/>
      <c r="AS13" s="490"/>
      <c r="AT13" s="490"/>
    </row>
    <row r="14" spans="1:61" s="474" customFormat="1" ht="12.75" x14ac:dyDescent="0.2">
      <c r="A14" s="499">
        <v>4</v>
      </c>
      <c r="B14" s="500" t="s">
        <v>125</v>
      </c>
      <c r="C14" s="493">
        <f>'SOTE laskennallinen rahoitus'!C28*'SOTE laskennallinen rahoitus'!B$17</f>
        <v>95210414.838071376</v>
      </c>
      <c r="D14" s="493">
        <f>'SOTE laskennallinen rahoitus'!D28*'SOTE laskennallinen rahoitus'!$D$17*'SOTE laskennallinen rahoitus'!C28</f>
        <v>413105627.51574987</v>
      </c>
      <c r="E14" s="493">
        <f>'SOTE laskennallinen rahoitus'!E28*'SOTE laskennallinen rahoitus'!$E$17*'SOTE laskennallinen rahoitus'!C28</f>
        <v>153332196.28354979</v>
      </c>
      <c r="F14" s="493">
        <f>'SOTE laskennallinen rahoitus'!F28*'SOTE laskennallinen rahoitus'!$F$17*'SOTE laskennallinen rahoitus'!C28</f>
        <v>155516936.75086698</v>
      </c>
      <c r="G14" s="493">
        <f>'SOTE laskennallinen rahoitus'!G28*'SOTE laskennallinen rahoitus'!G$17</f>
        <v>8242225.1602268247</v>
      </c>
      <c r="H14" s="493">
        <f>'SOTE laskennallinen rahoitus'!H28*'SOTE laskennallinen rahoitus'!$H$17</f>
        <v>0</v>
      </c>
      <c r="I14" s="493">
        <f>'SOTE laskennallinen rahoitus'!I28*'SOTE laskennallinen rahoitus'!$I$17*'SOTE laskennallinen rahoitus'!$C28</f>
        <v>8049873.1128366506</v>
      </c>
      <c r="J14" s="493">
        <f>'SOTE laskennallinen rahoitus'!J28*'SOTE laskennallinen rahoitus'!$J$17</f>
        <v>0</v>
      </c>
      <c r="K14" s="493">
        <f>'SOTE laskennallinen rahoitus'!K28*'SOTE laskennallinen rahoitus'!K$17*'SOTE laskennallinen rahoitus'!$C28</f>
        <v>9232309.6371164396</v>
      </c>
      <c r="L14" s="493">
        <f>'SOTE laskennallinen rahoitus'!$L$17*'SOTE laskennallinen rahoitus'!L28</f>
        <v>0</v>
      </c>
      <c r="M14" s="493">
        <f>'SOTE laskennallinen rahoitus'!$M$17*'SOTE laskennallinen rahoitus'!M28</f>
        <v>0</v>
      </c>
      <c r="N14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842689583.29841793</v>
      </c>
      <c r="O14" s="532">
        <f>N14/'SOTE laskennallinen rahoitus'!C28</f>
        <v>3911.9173287890312</v>
      </c>
      <c r="AF14" s="490"/>
      <c r="AG14" s="490"/>
      <c r="AH14" s="490"/>
      <c r="AI14" s="490"/>
      <c r="AJ14" s="490"/>
      <c r="AK14" s="490"/>
      <c r="AL14" s="490"/>
      <c r="AM14" s="490"/>
      <c r="AN14" s="490"/>
      <c r="AO14" s="490"/>
      <c r="AP14" s="490"/>
      <c r="AQ14" s="490"/>
      <c r="AR14" s="490"/>
      <c r="AS14" s="490"/>
      <c r="AT14" s="490"/>
    </row>
    <row r="15" spans="1:61" s="474" customFormat="1" ht="12.75" x14ac:dyDescent="0.2">
      <c r="A15" s="499">
        <v>5</v>
      </c>
      <c r="B15" s="500" t="s">
        <v>124</v>
      </c>
      <c r="C15" s="493">
        <f>'SOTE laskennallinen rahoitus'!C29*'SOTE laskennallinen rahoitus'!B$17</f>
        <v>75392296.448888198</v>
      </c>
      <c r="D15" s="493">
        <f>'SOTE laskennallinen rahoitus'!D29*'SOTE laskennallinen rahoitus'!$D$17*'SOTE laskennallinen rahoitus'!C29</f>
        <v>323921042.48205793</v>
      </c>
      <c r="E15" s="493">
        <f>'SOTE laskennallinen rahoitus'!E29*'SOTE laskennallinen rahoitus'!$E$17*'SOTE laskennallinen rahoitus'!C29</f>
        <v>115387092.53379388</v>
      </c>
      <c r="F15" s="493">
        <f>'SOTE laskennallinen rahoitus'!F29*'SOTE laskennallinen rahoitus'!$F$17*'SOTE laskennallinen rahoitus'!C29</f>
        <v>113540107.10175636</v>
      </c>
      <c r="G15" s="493">
        <f>'SOTE laskennallinen rahoitus'!G29*'SOTE laskennallinen rahoitus'!G$17</f>
        <v>7283221.0856317803</v>
      </c>
      <c r="H15" s="493">
        <f>'SOTE laskennallinen rahoitus'!H29*'SOTE laskennallinen rahoitus'!$H$17</f>
        <v>0</v>
      </c>
      <c r="I15" s="493">
        <f>'SOTE laskennallinen rahoitus'!I29*'SOTE laskennallinen rahoitus'!$I$17*'SOTE laskennallinen rahoitus'!$C29</f>
        <v>5351201.7167068552</v>
      </c>
      <c r="J15" s="493">
        <f>'SOTE laskennallinen rahoitus'!J29*'SOTE laskennallinen rahoitus'!$J$17</f>
        <v>0</v>
      </c>
      <c r="K15" s="493">
        <f>'SOTE laskennallinen rahoitus'!K29*'SOTE laskennallinen rahoitus'!K$17*'SOTE laskennallinen rahoitus'!$C29</f>
        <v>5727074.1721462179</v>
      </c>
      <c r="L15" s="493">
        <f>'SOTE laskennallinen rahoitus'!$L$17*'SOTE laskennallinen rahoitus'!L29</f>
        <v>0</v>
      </c>
      <c r="M15" s="493">
        <f>'SOTE laskennallinen rahoitus'!$M$17*'SOTE laskennallinen rahoitus'!M29</f>
        <v>0</v>
      </c>
      <c r="N15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646602035.54098117</v>
      </c>
      <c r="O15" s="532">
        <f>N15/'SOTE laskennallinen rahoitus'!C29</f>
        <v>3790.6753873088469</v>
      </c>
      <c r="AF15" s="490"/>
      <c r="AG15" s="490"/>
      <c r="AH15" s="490"/>
      <c r="AI15" s="490"/>
      <c r="AJ15" s="490"/>
      <c r="AK15" s="490"/>
      <c r="AL15" s="490"/>
      <c r="AM15" s="490"/>
      <c r="AN15" s="490"/>
      <c r="AO15" s="490"/>
      <c r="AP15" s="490"/>
      <c r="AQ15" s="490"/>
      <c r="AR15" s="490"/>
      <c r="AS15" s="490"/>
      <c r="AT15" s="490"/>
    </row>
    <row r="16" spans="1:61" s="474" customFormat="1" ht="12.75" x14ac:dyDescent="0.2">
      <c r="A16" s="499">
        <v>6</v>
      </c>
      <c r="B16" s="500" t="s">
        <v>123</v>
      </c>
      <c r="C16" s="493">
        <f>'SOTE laskennallinen rahoitus'!C30*'SOTE laskennallinen rahoitus'!B$17</f>
        <v>231092192.86828879</v>
      </c>
      <c r="D16" s="493">
        <f>'SOTE laskennallinen rahoitus'!D30*'SOTE laskennallinen rahoitus'!$D$17*'SOTE laskennallinen rahoitus'!C30</f>
        <v>957246926.17513776</v>
      </c>
      <c r="E16" s="493">
        <f>'SOTE laskennallinen rahoitus'!E30*'SOTE laskennallinen rahoitus'!$E$17*'SOTE laskennallinen rahoitus'!C30</f>
        <v>318286609.94554603</v>
      </c>
      <c r="F16" s="493">
        <f>'SOTE laskennallinen rahoitus'!F30*'SOTE laskennallinen rahoitus'!$F$17*'SOTE laskennallinen rahoitus'!C30</f>
        <v>327398614.13661885</v>
      </c>
      <c r="G16" s="493">
        <f>'SOTE laskennallinen rahoitus'!G30*'SOTE laskennallinen rahoitus'!G$17</f>
        <v>25973187.819087714</v>
      </c>
      <c r="H16" s="493">
        <f>'SOTE laskennallinen rahoitus'!H30*'SOTE laskennallinen rahoitus'!$H$17</f>
        <v>0</v>
      </c>
      <c r="I16" s="493">
        <f>'SOTE laskennallinen rahoitus'!I30*'SOTE laskennallinen rahoitus'!$I$17*'SOTE laskennallinen rahoitus'!$C30</f>
        <v>13636175.08557193</v>
      </c>
      <c r="J16" s="493">
        <f>'SOTE laskennallinen rahoitus'!J30*'SOTE laskennallinen rahoitus'!$J$17</f>
        <v>0</v>
      </c>
      <c r="K16" s="493">
        <f>'SOTE laskennallinen rahoitus'!K30*'SOTE laskennallinen rahoitus'!K$17*'SOTE laskennallinen rahoitus'!$C30</f>
        <v>23543215.507792939</v>
      </c>
      <c r="L16" s="493">
        <f>'SOTE laskennallinen rahoitus'!$L$17*'SOTE laskennallinen rahoitus'!L30</f>
        <v>0</v>
      </c>
      <c r="M16" s="493">
        <f>'SOTE laskennallinen rahoitus'!$M$17*'SOTE laskennallinen rahoitus'!M30</f>
        <v>54740111.430102684</v>
      </c>
      <c r="N16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1951917032.9681468</v>
      </c>
      <c r="O16" s="532">
        <f>N16/'SOTE laskennallinen rahoitus'!C30</f>
        <v>3733.211373329636</v>
      </c>
      <c r="AF16" s="490"/>
      <c r="AG16" s="490"/>
      <c r="AH16" s="490"/>
      <c r="AI16" s="490"/>
      <c r="AJ16" s="490"/>
      <c r="AK16" s="490"/>
      <c r="AL16" s="490"/>
      <c r="AM16" s="490"/>
      <c r="AN16" s="490"/>
      <c r="AO16" s="490"/>
      <c r="AP16" s="490"/>
      <c r="AQ16" s="490"/>
      <c r="AR16" s="490"/>
      <c r="AS16" s="490"/>
      <c r="AT16" s="490"/>
    </row>
    <row r="17" spans="1:46" s="474" customFormat="1" ht="12.75" x14ac:dyDescent="0.2">
      <c r="A17" s="499">
        <v>7</v>
      </c>
      <c r="B17" s="500" t="s">
        <v>122</v>
      </c>
      <c r="C17" s="493">
        <f>'SOTE laskennallinen rahoitus'!C31*'SOTE laskennallinen rahoitus'!B$17</f>
        <v>90947479.628462061</v>
      </c>
      <c r="D17" s="493">
        <f>'SOTE laskennallinen rahoitus'!D31*'SOTE laskennallinen rahoitus'!$D$17*'SOTE laskennallinen rahoitus'!C31</f>
        <v>406173358.35851407</v>
      </c>
      <c r="E17" s="493">
        <f>'SOTE laskennallinen rahoitus'!E31*'SOTE laskennallinen rahoitus'!$E$17*'SOTE laskennallinen rahoitus'!C31</f>
        <v>143368917.89997748</v>
      </c>
      <c r="F17" s="493">
        <f>'SOTE laskennallinen rahoitus'!F31*'SOTE laskennallinen rahoitus'!$F$17*'SOTE laskennallinen rahoitus'!C31</f>
        <v>144802352.66327655</v>
      </c>
      <c r="G17" s="493">
        <f>'SOTE laskennallinen rahoitus'!G31*'SOTE laskennallinen rahoitus'!G$17</f>
        <v>11104765.491538189</v>
      </c>
      <c r="H17" s="493">
        <f>'SOTE laskennallinen rahoitus'!H31*'SOTE laskennallinen rahoitus'!$H$17</f>
        <v>0</v>
      </c>
      <c r="I17" s="493">
        <f>'SOTE laskennallinen rahoitus'!I31*'SOTE laskennallinen rahoitus'!$I$17*'SOTE laskennallinen rahoitus'!$C31</f>
        <v>5880820.5712053506</v>
      </c>
      <c r="J17" s="493">
        <f>'SOTE laskennallinen rahoitus'!J31*'SOTE laskennallinen rahoitus'!$J$17</f>
        <v>0</v>
      </c>
      <c r="K17" s="493">
        <f>'SOTE laskennallinen rahoitus'!K31*'SOTE laskennallinen rahoitus'!K$17*'SOTE laskennallinen rahoitus'!$C31</f>
        <v>7504980.145289667</v>
      </c>
      <c r="L17" s="493">
        <f>'SOTE laskennallinen rahoitus'!$L$17*'SOTE laskennallinen rahoitus'!L31</f>
        <v>0</v>
      </c>
      <c r="M17" s="493">
        <f>'SOTE laskennallinen rahoitus'!$M$17*'SOTE laskennallinen rahoitus'!M31</f>
        <v>0</v>
      </c>
      <c r="N17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809782674.75826335</v>
      </c>
      <c r="O17" s="532">
        <f>N17/'SOTE laskennallinen rahoitus'!C31</f>
        <v>3935.3586013493805</v>
      </c>
      <c r="AF17" s="490"/>
      <c r="AG17" s="490"/>
      <c r="AH17" s="490"/>
      <c r="AI17" s="490"/>
      <c r="AJ17" s="490"/>
      <c r="AK17" s="490"/>
      <c r="AL17" s="490"/>
      <c r="AM17" s="490"/>
      <c r="AN17" s="490"/>
      <c r="AO17" s="490"/>
      <c r="AP17" s="490"/>
      <c r="AQ17" s="490"/>
      <c r="AR17" s="490"/>
      <c r="AS17" s="490"/>
      <c r="AT17" s="490"/>
    </row>
    <row r="18" spans="1:46" s="474" customFormat="1" ht="12.75" x14ac:dyDescent="0.2">
      <c r="A18" s="499">
        <v>8</v>
      </c>
      <c r="B18" s="500" t="s">
        <v>121</v>
      </c>
      <c r="C18" s="493">
        <f>'SOTE laskennallinen rahoitus'!C32*'SOTE laskennallinen rahoitus'!B$17</f>
        <v>71960291.067590505</v>
      </c>
      <c r="D18" s="493">
        <f>'SOTE laskennallinen rahoitus'!D32*'SOTE laskennallinen rahoitus'!$D$17*'SOTE laskennallinen rahoitus'!C32</f>
        <v>329772532.57749641</v>
      </c>
      <c r="E18" s="493">
        <f>'SOTE laskennallinen rahoitus'!E32*'SOTE laskennallinen rahoitus'!$E$17*'SOTE laskennallinen rahoitus'!C32</f>
        <v>138612548.79077274</v>
      </c>
      <c r="F18" s="493">
        <f>'SOTE laskennallinen rahoitus'!F32*'SOTE laskennallinen rahoitus'!$F$17*'SOTE laskennallinen rahoitus'!C32</f>
        <v>124476922.72667748</v>
      </c>
      <c r="G18" s="493">
        <f>'SOTE laskennallinen rahoitus'!G32*'SOTE laskennallinen rahoitus'!G$17</f>
        <v>9797471.2047411222</v>
      </c>
      <c r="H18" s="493">
        <f>'SOTE laskennallinen rahoitus'!H32*'SOTE laskennallinen rahoitus'!$H$17</f>
        <v>509097.71190542303</v>
      </c>
      <c r="I18" s="493">
        <f>'SOTE laskennallinen rahoitus'!I32*'SOTE laskennallinen rahoitus'!$I$17*'SOTE laskennallinen rahoitus'!$C32</f>
        <v>4691856.7599851657</v>
      </c>
      <c r="J18" s="493">
        <f>'SOTE laskennallinen rahoitus'!J32*'SOTE laskennallinen rahoitus'!$J$17</f>
        <v>0</v>
      </c>
      <c r="K18" s="493">
        <f>'SOTE laskennallinen rahoitus'!K32*'SOTE laskennallinen rahoitus'!K$17*'SOTE laskennallinen rahoitus'!$C32</f>
        <v>6453675.6037933975</v>
      </c>
      <c r="L18" s="493">
        <f>'SOTE laskennallinen rahoitus'!$L$17*'SOTE laskennallinen rahoitus'!L32</f>
        <v>0</v>
      </c>
      <c r="M18" s="493">
        <f>'SOTE laskennallinen rahoitus'!$M$17*'SOTE laskennallinen rahoitus'!M32</f>
        <v>0</v>
      </c>
      <c r="N18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686274396.44296229</v>
      </c>
      <c r="O18" s="532">
        <f>N18/'SOTE laskennallinen rahoitus'!C32</f>
        <v>4215.1339977579191</v>
      </c>
      <c r="AF18" s="490"/>
      <c r="AG18" s="490"/>
      <c r="AH18" s="490"/>
      <c r="AI18" s="490"/>
      <c r="AJ18" s="490"/>
      <c r="AK18" s="490"/>
      <c r="AL18" s="490"/>
      <c r="AM18" s="490"/>
      <c r="AN18" s="490"/>
      <c r="AO18" s="490"/>
      <c r="AP18" s="490"/>
      <c r="AQ18" s="490"/>
      <c r="AR18" s="490"/>
      <c r="AS18" s="490"/>
      <c r="AT18" s="490"/>
    </row>
    <row r="19" spans="1:46" s="474" customFormat="1" ht="12.75" x14ac:dyDescent="0.2">
      <c r="A19" s="499">
        <v>9</v>
      </c>
      <c r="B19" s="500" t="s">
        <v>120</v>
      </c>
      <c r="C19" s="493">
        <f>'SOTE laskennallinen rahoitus'!C33*'SOTE laskennallinen rahoitus'!B$17</f>
        <v>56097045.07400962</v>
      </c>
      <c r="D19" s="493">
        <f>'SOTE laskennallinen rahoitus'!D33*'SOTE laskennallinen rahoitus'!$D$17*'SOTE laskennallinen rahoitus'!C33</f>
        <v>236862184.79016876</v>
      </c>
      <c r="E19" s="493">
        <f>'SOTE laskennallinen rahoitus'!E33*'SOTE laskennallinen rahoitus'!$E$17*'SOTE laskennallinen rahoitus'!C33</f>
        <v>93212263.680331513</v>
      </c>
      <c r="F19" s="493">
        <f>'SOTE laskennallinen rahoitus'!F33*'SOTE laskennallinen rahoitus'!$F$17*'SOTE laskennallinen rahoitus'!C33</f>
        <v>83594064.090084404</v>
      </c>
      <c r="G19" s="493">
        <f>'SOTE laskennallinen rahoitus'!G33*'SOTE laskennallinen rahoitus'!G$17</f>
        <v>7980766.3028674116</v>
      </c>
      <c r="H19" s="493">
        <f>'SOTE laskennallinen rahoitus'!H33*'SOTE laskennallinen rahoitus'!$H$17</f>
        <v>0</v>
      </c>
      <c r="I19" s="493">
        <f>'SOTE laskennallinen rahoitus'!I33*'SOTE laskennallinen rahoitus'!$I$17*'SOTE laskennallinen rahoitus'!$C33</f>
        <v>5482142.328614465</v>
      </c>
      <c r="J19" s="493">
        <f>'SOTE laskennallinen rahoitus'!J33*'SOTE laskennallinen rahoitus'!$J$17</f>
        <v>0</v>
      </c>
      <c r="K19" s="493">
        <f>'SOTE laskennallinen rahoitus'!K33*'SOTE laskennallinen rahoitus'!K$17*'SOTE laskennallinen rahoitus'!$C33</f>
        <v>5504398.8001519218</v>
      </c>
      <c r="L19" s="493">
        <f>'SOTE laskennallinen rahoitus'!$L$17*'SOTE laskennallinen rahoitus'!L33</f>
        <v>0</v>
      </c>
      <c r="M19" s="493">
        <f>'SOTE laskennallinen rahoitus'!$M$17*'SOTE laskennallinen rahoitus'!M33</f>
        <v>0</v>
      </c>
      <c r="N19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488732865.06622815</v>
      </c>
      <c r="O19" s="532">
        <f>N19/'SOTE laskennallinen rahoitus'!C33</f>
        <v>3850.6855844677252</v>
      </c>
      <c r="AF19" s="490"/>
      <c r="AG19" s="490"/>
      <c r="AH19" s="490"/>
      <c r="AI19" s="490"/>
      <c r="AJ19" s="490"/>
      <c r="AK19" s="490"/>
      <c r="AL19" s="490"/>
      <c r="AM19" s="490"/>
      <c r="AN19" s="490"/>
      <c r="AO19" s="490"/>
      <c r="AP19" s="490"/>
      <c r="AQ19" s="490"/>
      <c r="AR19" s="490"/>
      <c r="AS19" s="490"/>
      <c r="AT19" s="490"/>
    </row>
    <row r="20" spans="1:46" s="474" customFormat="1" ht="12.75" x14ac:dyDescent="0.2">
      <c r="A20" s="499">
        <v>10</v>
      </c>
      <c r="B20" s="500" t="s">
        <v>119</v>
      </c>
      <c r="C20" s="493">
        <f>'SOTE laskennallinen rahoitus'!C34*'SOTE laskennallinen rahoitus'!B$17</f>
        <v>58652154.296067826</v>
      </c>
      <c r="D20" s="493">
        <f>'SOTE laskennallinen rahoitus'!D34*'SOTE laskennallinen rahoitus'!$D$17*'SOTE laskennallinen rahoitus'!C34</f>
        <v>273328987.35122341</v>
      </c>
      <c r="E20" s="493">
        <f>'SOTE laskennallinen rahoitus'!E34*'SOTE laskennallinen rahoitus'!$E$17*'SOTE laskennallinen rahoitus'!C34</f>
        <v>117523128.08807623</v>
      </c>
      <c r="F20" s="493">
        <f>'SOTE laskennallinen rahoitus'!F34*'SOTE laskennallinen rahoitus'!$F$17*'SOTE laskennallinen rahoitus'!C34</f>
        <v>106241344.27726954</v>
      </c>
      <c r="G20" s="493">
        <f>'SOTE laskennallinen rahoitus'!G34*'SOTE laskennallinen rahoitus'!G$17</f>
        <v>4492075.4238576721</v>
      </c>
      <c r="H20" s="493">
        <f>'SOTE laskennallinen rahoitus'!H34*'SOTE laskennallinen rahoitus'!$H$17</f>
        <v>0</v>
      </c>
      <c r="I20" s="493">
        <f>'SOTE laskennallinen rahoitus'!I34*'SOTE laskennallinen rahoitus'!$I$17*'SOTE laskennallinen rahoitus'!$C34</f>
        <v>13021540.553164549</v>
      </c>
      <c r="J20" s="493">
        <f>'SOTE laskennallinen rahoitus'!J34*'SOTE laskennallinen rahoitus'!$J$17</f>
        <v>4003629.4195465147</v>
      </c>
      <c r="K20" s="493">
        <f>'SOTE laskennallinen rahoitus'!K34*'SOTE laskennallinen rahoitus'!K$17*'SOTE laskennallinen rahoitus'!$C34</f>
        <v>5586910.2824617727</v>
      </c>
      <c r="L20" s="493">
        <f>'SOTE laskennallinen rahoitus'!$L$17*'SOTE laskennallinen rahoitus'!L34</f>
        <v>0</v>
      </c>
      <c r="M20" s="493">
        <f>'SOTE laskennallinen rahoitus'!$M$17*'SOTE laskennallinen rahoitus'!M34</f>
        <v>0</v>
      </c>
      <c r="N20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582849769.69166756</v>
      </c>
      <c r="O20" s="532">
        <f>N20/'SOTE laskennallinen rahoitus'!C34</f>
        <v>4392.1701985777727</v>
      </c>
      <c r="AF20" s="490"/>
      <c r="AG20" s="490"/>
      <c r="AH20" s="490"/>
      <c r="AI20" s="490"/>
      <c r="AJ20" s="490"/>
      <c r="AK20" s="490"/>
      <c r="AL20" s="490"/>
      <c r="AM20" s="490"/>
      <c r="AN20" s="490"/>
      <c r="AO20" s="490"/>
      <c r="AP20" s="490"/>
      <c r="AQ20" s="490"/>
      <c r="AR20" s="490"/>
      <c r="AS20" s="490"/>
      <c r="AT20" s="490"/>
    </row>
    <row r="21" spans="1:46" s="474" customFormat="1" ht="12.75" x14ac:dyDescent="0.2">
      <c r="A21" s="499">
        <v>11</v>
      </c>
      <c r="B21" s="500" t="s">
        <v>118</v>
      </c>
      <c r="C21" s="493">
        <f>'SOTE laskennallinen rahoitus'!C35*'SOTE laskennallinen rahoitus'!B$17</f>
        <v>109729145.65201187</v>
      </c>
      <c r="D21" s="493">
        <f>'SOTE laskennallinen rahoitus'!D35*'SOTE laskennallinen rahoitus'!$D$17*'SOTE laskennallinen rahoitus'!C35</f>
        <v>510337075.19085717</v>
      </c>
      <c r="E21" s="493">
        <f>'SOTE laskennallinen rahoitus'!E35*'SOTE laskennallinen rahoitus'!$E$17*'SOTE laskennallinen rahoitus'!C35</f>
        <v>191804475.69828498</v>
      </c>
      <c r="F21" s="493">
        <f>'SOTE laskennallinen rahoitus'!F35*'SOTE laskennallinen rahoitus'!$F$17*'SOTE laskennallinen rahoitus'!C35</f>
        <v>196397772.42833987</v>
      </c>
      <c r="G21" s="493">
        <f>'SOTE laskennallinen rahoitus'!G35*'SOTE laskennallinen rahoitus'!G$17</f>
        <v>7710624.3100237371</v>
      </c>
      <c r="H21" s="493">
        <f>'SOTE laskennallinen rahoitus'!H35*'SOTE laskennallinen rahoitus'!$H$17</f>
        <v>0</v>
      </c>
      <c r="I21" s="493">
        <f>'SOTE laskennallinen rahoitus'!I35*'SOTE laskennallinen rahoitus'!$I$17*'SOTE laskennallinen rahoitus'!$C35</f>
        <v>17851655.860528659</v>
      </c>
      <c r="J21" s="493">
        <f>'SOTE laskennallinen rahoitus'!J35*'SOTE laskennallinen rahoitus'!$J$17</f>
        <v>0</v>
      </c>
      <c r="K21" s="493">
        <f>'SOTE laskennallinen rahoitus'!K35*'SOTE laskennallinen rahoitus'!K$17*'SOTE laskennallinen rahoitus'!$C35</f>
        <v>9820218.5713171996</v>
      </c>
      <c r="L21" s="493">
        <f>'SOTE laskennallinen rahoitus'!$L$17*'SOTE laskennallinen rahoitus'!L35</f>
        <v>0</v>
      </c>
      <c r="M21" s="493">
        <f>'SOTE laskennallinen rahoitus'!$M$17*'SOTE laskennallinen rahoitus'!M35</f>
        <v>25992161.766990356</v>
      </c>
      <c r="N21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1069643129.4783539</v>
      </c>
      <c r="O21" s="532">
        <f>N21/'SOTE laskennallinen rahoitus'!C35</f>
        <v>4308.4733227734632</v>
      </c>
      <c r="AF21" s="490"/>
      <c r="AG21" s="490"/>
      <c r="AH21" s="490"/>
      <c r="AI21" s="490"/>
      <c r="AJ21" s="490"/>
      <c r="AK21" s="490"/>
      <c r="AL21" s="490"/>
      <c r="AM21" s="490"/>
      <c r="AN21" s="490"/>
      <c r="AO21" s="490"/>
      <c r="AP21" s="490"/>
      <c r="AQ21" s="490"/>
      <c r="AR21" s="490"/>
      <c r="AS21" s="490"/>
      <c r="AT21" s="490"/>
    </row>
    <row r="22" spans="1:46" s="474" customFormat="1" ht="12.75" x14ac:dyDescent="0.2">
      <c r="A22" s="499">
        <v>12</v>
      </c>
      <c r="B22" s="500" t="s">
        <v>117</v>
      </c>
      <c r="C22" s="493">
        <f>'SOTE laskennallinen rahoitus'!C36*'SOTE laskennallinen rahoitus'!B$17</f>
        <v>72280729.432231948</v>
      </c>
      <c r="D22" s="493">
        <f>'SOTE laskennallinen rahoitus'!D36*'SOTE laskennallinen rahoitus'!$D$17*'SOTE laskennallinen rahoitus'!C36</f>
        <v>351214538.32178986</v>
      </c>
      <c r="E22" s="493">
        <f>'SOTE laskennallinen rahoitus'!E36*'SOTE laskennallinen rahoitus'!$E$17*'SOTE laskennallinen rahoitus'!C36</f>
        <v>132440635.86381873</v>
      </c>
      <c r="F22" s="493">
        <f>'SOTE laskennallinen rahoitus'!F36*'SOTE laskennallinen rahoitus'!$F$17*'SOTE laskennallinen rahoitus'!C36</f>
        <v>136169042.03712532</v>
      </c>
      <c r="G22" s="493">
        <f>'SOTE laskennallinen rahoitus'!G36*'SOTE laskennallinen rahoitus'!G$17</f>
        <v>6326146.5966999056</v>
      </c>
      <c r="H22" s="493">
        <f>'SOTE laskennallinen rahoitus'!H36*'SOTE laskennallinen rahoitus'!$H$17</f>
        <v>0</v>
      </c>
      <c r="I22" s="493">
        <f>'SOTE laskennallinen rahoitus'!I36*'SOTE laskennallinen rahoitus'!$I$17*'SOTE laskennallinen rahoitus'!$C36</f>
        <v>19340624.148708675</v>
      </c>
      <c r="J22" s="493">
        <f>'SOTE laskennallinen rahoitus'!J36*'SOTE laskennallinen rahoitus'!$J$17</f>
        <v>0</v>
      </c>
      <c r="K22" s="493">
        <f>'SOTE laskennallinen rahoitus'!K36*'SOTE laskennallinen rahoitus'!K$17*'SOTE laskennallinen rahoitus'!$C36</f>
        <v>5759913.7284189574</v>
      </c>
      <c r="L22" s="493">
        <f>'SOTE laskennallinen rahoitus'!$L$17*'SOTE laskennallinen rahoitus'!L36</f>
        <v>0</v>
      </c>
      <c r="M22" s="493">
        <f>'SOTE laskennallinen rahoitus'!$M$17*'SOTE laskennallinen rahoitus'!M36</f>
        <v>0</v>
      </c>
      <c r="N22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723531630.12879348</v>
      </c>
      <c r="O22" s="532">
        <f>N22/'SOTE laskennallinen rahoitus'!C36</f>
        <v>4424.2686983911499</v>
      </c>
      <c r="AF22" s="490"/>
      <c r="AG22" s="490"/>
      <c r="AH22" s="490"/>
      <c r="AI22" s="490"/>
      <c r="AJ22" s="490"/>
      <c r="AK22" s="490"/>
      <c r="AL22" s="490"/>
      <c r="AM22" s="490"/>
      <c r="AN22" s="490"/>
      <c r="AO22" s="490"/>
      <c r="AP22" s="490"/>
      <c r="AQ22" s="490"/>
      <c r="AR22" s="490"/>
      <c r="AS22" s="490"/>
      <c r="AT22" s="490"/>
    </row>
    <row r="23" spans="1:46" s="474" customFormat="1" ht="12.75" x14ac:dyDescent="0.2">
      <c r="A23" s="499">
        <v>13</v>
      </c>
      <c r="B23" s="500" t="s">
        <v>116</v>
      </c>
      <c r="C23" s="493">
        <f>'SOTE laskennallinen rahoitus'!C37*'SOTE laskennallinen rahoitus'!B$17</f>
        <v>120492338.83235462</v>
      </c>
      <c r="D23" s="493">
        <f>'SOTE laskennallinen rahoitus'!D37*'SOTE laskennallinen rahoitus'!$D$17*'SOTE laskennallinen rahoitus'!C37</f>
        <v>490619835.76302332</v>
      </c>
      <c r="E23" s="493">
        <f>'SOTE laskennallinen rahoitus'!E37*'SOTE laskennallinen rahoitus'!$E$17*'SOTE laskennallinen rahoitus'!C37</f>
        <v>170762721.72580138</v>
      </c>
      <c r="F23" s="493">
        <f>'SOTE laskennallinen rahoitus'!F37*'SOTE laskennallinen rahoitus'!$F$17*'SOTE laskennallinen rahoitus'!C37</f>
        <v>187550326.2662617</v>
      </c>
      <c r="G23" s="493">
        <f>'SOTE laskennallinen rahoitus'!G37*'SOTE laskennallinen rahoitus'!G$17</f>
        <v>9486807.9129708968</v>
      </c>
      <c r="H23" s="493">
        <f>'SOTE laskennallinen rahoitus'!H37*'SOTE laskennallinen rahoitus'!$H$17</f>
        <v>0</v>
      </c>
      <c r="I23" s="493">
        <f>'SOTE laskennallinen rahoitus'!I37*'SOTE laskennallinen rahoitus'!$I$17*'SOTE laskennallinen rahoitus'!$C37</f>
        <v>16511547.348328816</v>
      </c>
      <c r="J23" s="493">
        <f>'SOTE laskennallinen rahoitus'!J37*'SOTE laskennallinen rahoitus'!$J$17</f>
        <v>0</v>
      </c>
      <c r="K23" s="493">
        <f>'SOTE laskennallinen rahoitus'!K37*'SOTE laskennallinen rahoitus'!K$17*'SOTE laskennallinen rahoitus'!$C37</f>
        <v>10267210.231919955</v>
      </c>
      <c r="L23" s="493">
        <f>'SOTE laskennallinen rahoitus'!$L$17*'SOTE laskennallinen rahoitus'!L37</f>
        <v>0</v>
      </c>
      <c r="M23" s="493">
        <f>'SOTE laskennallinen rahoitus'!$M$17*'SOTE laskennallinen rahoitus'!M37</f>
        <v>0</v>
      </c>
      <c r="N23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1005690788.0806607</v>
      </c>
      <c r="O23" s="532">
        <f>N23/'SOTE laskennallinen rahoitus'!C37</f>
        <v>3689.0244851959369</v>
      </c>
      <c r="AF23" s="490"/>
      <c r="AG23" s="490"/>
      <c r="AH23" s="490"/>
      <c r="AI23" s="490"/>
      <c r="AJ23" s="490"/>
      <c r="AK23" s="490"/>
      <c r="AL23" s="490"/>
      <c r="AM23" s="490"/>
      <c r="AN23" s="490"/>
      <c r="AO23" s="490"/>
      <c r="AP23" s="490"/>
      <c r="AQ23" s="490"/>
      <c r="AR23" s="490"/>
      <c r="AS23" s="490"/>
      <c r="AT23" s="490"/>
    </row>
    <row r="24" spans="1:46" s="474" customFormat="1" ht="12.75" x14ac:dyDescent="0.2">
      <c r="A24" s="499">
        <v>14</v>
      </c>
      <c r="B24" s="500" t="s">
        <v>132</v>
      </c>
      <c r="C24" s="493">
        <f>'SOTE laskennallinen rahoitus'!C38*'SOTE laskennallinen rahoitus'!B$17</f>
        <v>84927216.228763953</v>
      </c>
      <c r="D24" s="493">
        <f>'SOTE laskennallinen rahoitus'!D38*'SOTE laskennallinen rahoitus'!$D$17*'SOTE laskennallinen rahoitus'!C38</f>
        <v>382217731.13726842</v>
      </c>
      <c r="E24" s="493">
        <f>'SOTE laskennallinen rahoitus'!E38*'SOTE laskennallinen rahoitus'!$E$17*'SOTE laskennallinen rahoitus'!C38</f>
        <v>151937521.43370986</v>
      </c>
      <c r="F24" s="493">
        <f>'SOTE laskennallinen rahoitus'!F38*'SOTE laskennallinen rahoitus'!$F$17*'SOTE laskennallinen rahoitus'!C38</f>
        <v>139028855.24763942</v>
      </c>
      <c r="G24" s="493">
        <f>'SOTE laskennallinen rahoitus'!G38*'SOTE laskennallinen rahoitus'!G$17</f>
        <v>4440941.4037836911</v>
      </c>
      <c r="H24" s="493">
        <f>'SOTE laskennallinen rahoitus'!H38*'SOTE laskennallinen rahoitus'!$H$17</f>
        <v>0</v>
      </c>
      <c r="I24" s="493">
        <f>'SOTE laskennallinen rahoitus'!I38*'SOTE laskennallinen rahoitus'!$I$17*'SOTE laskennallinen rahoitus'!$C38</f>
        <v>14201724.900310123</v>
      </c>
      <c r="J24" s="493">
        <f>'SOTE laskennallinen rahoitus'!J38*'SOTE laskennallinen rahoitus'!$J$17</f>
        <v>0</v>
      </c>
      <c r="K24" s="493">
        <f>'SOTE laskennallinen rahoitus'!K38*'SOTE laskennallinen rahoitus'!K$17*'SOTE laskennallinen rahoitus'!$C38</f>
        <v>8246342.4772376074</v>
      </c>
      <c r="L24" s="493">
        <f>'SOTE laskennallinen rahoitus'!$L$17*'SOTE laskennallinen rahoitus'!L38</f>
        <v>0</v>
      </c>
      <c r="M24" s="493">
        <f>'SOTE laskennallinen rahoitus'!$M$17*'SOTE laskennallinen rahoitus'!M38</f>
        <v>0</v>
      </c>
      <c r="N24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785000332.82871306</v>
      </c>
      <c r="O24" s="532">
        <f>N24/'SOTE laskennallinen rahoitus'!C38</f>
        <v>4085.3517191189853</v>
      </c>
      <c r="AF24" s="490"/>
      <c r="AG24" s="490"/>
      <c r="AH24" s="490"/>
      <c r="AI24" s="490"/>
      <c r="AJ24" s="490"/>
      <c r="AK24" s="490"/>
      <c r="AL24" s="490"/>
      <c r="AM24" s="490"/>
      <c r="AN24" s="490"/>
      <c r="AO24" s="490"/>
      <c r="AP24" s="490"/>
      <c r="AQ24" s="490"/>
      <c r="AR24" s="490"/>
      <c r="AS24" s="490"/>
      <c r="AT24" s="490"/>
    </row>
    <row r="25" spans="1:46" s="474" customFormat="1" ht="12.75" x14ac:dyDescent="0.2">
      <c r="A25" s="499">
        <v>15</v>
      </c>
      <c r="B25" s="500" t="s">
        <v>114</v>
      </c>
      <c r="C25" s="493">
        <f>'SOTE laskennallinen rahoitus'!C39*'SOTE laskennallinen rahoitus'!B$17</f>
        <v>77707850.369379967</v>
      </c>
      <c r="D25" s="493">
        <f>'SOTE laskennallinen rahoitus'!D39*'SOTE laskennallinen rahoitus'!$D$17*'SOTE laskennallinen rahoitus'!C39</f>
        <v>310228264.83362007</v>
      </c>
      <c r="E25" s="493">
        <f>'SOTE laskennallinen rahoitus'!E39*'SOTE laskennallinen rahoitus'!$E$17*'SOTE laskennallinen rahoitus'!C39</f>
        <v>107265361.34642635</v>
      </c>
      <c r="F25" s="493">
        <f>'SOTE laskennallinen rahoitus'!F39*'SOTE laskennallinen rahoitus'!$F$17*'SOTE laskennallinen rahoitus'!C39</f>
        <v>100222453.36193472</v>
      </c>
      <c r="G25" s="493">
        <f>'SOTE laskennallinen rahoitus'!G39*'SOTE laskennallinen rahoitus'!G$17</f>
        <v>12651328.400568226</v>
      </c>
      <c r="H25" s="493">
        <f>'SOTE laskennallinen rahoitus'!H39*'SOTE laskennallinen rahoitus'!$H$17</f>
        <v>36663677.98309993</v>
      </c>
      <c r="I25" s="493">
        <f>'SOTE laskennallinen rahoitus'!I39*'SOTE laskennallinen rahoitus'!$I$17*'SOTE laskennallinen rahoitus'!$C39</f>
        <v>7617795.853924416</v>
      </c>
      <c r="J25" s="493">
        <f>'SOTE laskennallinen rahoitus'!J39*'SOTE laskennallinen rahoitus'!$J$17</f>
        <v>3662506.9533965248</v>
      </c>
      <c r="K25" s="493">
        <f>'SOTE laskennallinen rahoitus'!K39*'SOTE laskennallinen rahoitus'!K$17*'SOTE laskennallinen rahoitus'!$C39</f>
        <v>7287016.4775532587</v>
      </c>
      <c r="L25" s="493">
        <f>'SOTE laskennallinen rahoitus'!$L$17*'SOTE laskennallinen rahoitus'!L39</f>
        <v>0</v>
      </c>
      <c r="M25" s="493">
        <f>'SOTE laskennallinen rahoitus'!$M$17*'SOTE laskennallinen rahoitus'!M39</f>
        <v>0</v>
      </c>
      <c r="N25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663306255.5799036</v>
      </c>
      <c r="O25" s="532">
        <f>N25/'SOTE laskennallinen rahoitus'!C39</f>
        <v>3772.7297605445669</v>
      </c>
      <c r="AF25" s="490"/>
      <c r="AG25" s="490"/>
      <c r="AH25" s="490"/>
      <c r="AI25" s="490"/>
      <c r="AJ25" s="490"/>
      <c r="AK25" s="490"/>
      <c r="AL25" s="490"/>
      <c r="AM25" s="490"/>
      <c r="AN25" s="490"/>
      <c r="AO25" s="490"/>
      <c r="AP25" s="490"/>
      <c r="AQ25" s="490"/>
      <c r="AR25" s="490"/>
      <c r="AS25" s="490"/>
      <c r="AT25" s="490"/>
    </row>
    <row r="26" spans="1:46" s="474" customFormat="1" ht="12.75" x14ac:dyDescent="0.2">
      <c r="A26" s="499">
        <v>16</v>
      </c>
      <c r="B26" s="500" t="s">
        <v>113</v>
      </c>
      <c r="C26" s="493">
        <f>'SOTE laskennallinen rahoitus'!C40*'SOTE laskennallinen rahoitus'!B$17</f>
        <v>30049604.876196738</v>
      </c>
      <c r="D26" s="493">
        <f>'SOTE laskennallinen rahoitus'!D40*'SOTE laskennallinen rahoitus'!$D$17*'SOTE laskennallinen rahoitus'!C40</f>
        <v>139208831.09733817</v>
      </c>
      <c r="E26" s="493">
        <f>'SOTE laskennallinen rahoitus'!E40*'SOTE laskennallinen rahoitus'!$E$17*'SOTE laskennallinen rahoitus'!C40</f>
        <v>50853108.010770902</v>
      </c>
      <c r="F26" s="493">
        <f>'SOTE laskennallinen rahoitus'!F40*'SOTE laskennallinen rahoitus'!$F$17*'SOTE laskennallinen rahoitus'!C40</f>
        <v>51886830.535924062</v>
      </c>
      <c r="G26" s="493">
        <f>'SOTE laskennallinen rahoitus'!G40*'SOTE laskennallinen rahoitus'!G$17</f>
        <v>2063691.8667593561</v>
      </c>
      <c r="H26" s="493">
        <f>'SOTE laskennallinen rahoitus'!H40*'SOTE laskennallinen rahoitus'!$H$17</f>
        <v>2530672.4579680245</v>
      </c>
      <c r="I26" s="493">
        <f>'SOTE laskennallinen rahoitus'!I40*'SOTE laskennallinen rahoitus'!$I$17*'SOTE laskennallinen rahoitus'!$C40</f>
        <v>5166791.8013202334</v>
      </c>
      <c r="J26" s="493">
        <f>'SOTE laskennallinen rahoitus'!J40*'SOTE laskennallinen rahoitus'!$J$17</f>
        <v>0</v>
      </c>
      <c r="K26" s="493">
        <f>'SOTE laskennallinen rahoitus'!K40*'SOTE laskennallinen rahoitus'!K$17*'SOTE laskennallinen rahoitus'!$C40</f>
        <v>1861220.4581942044</v>
      </c>
      <c r="L26" s="493">
        <f>'SOTE laskennallinen rahoitus'!$L$17*'SOTE laskennallinen rahoitus'!L40</f>
        <v>0</v>
      </c>
      <c r="M26" s="493">
        <f>'SOTE laskennallinen rahoitus'!$M$17*'SOTE laskennallinen rahoitus'!M40</f>
        <v>0</v>
      </c>
      <c r="N26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283620751.10447168</v>
      </c>
      <c r="O26" s="532">
        <f>N26/'SOTE laskennallinen rahoitus'!C40</f>
        <v>4171.629568519028</v>
      </c>
      <c r="AF26" s="490"/>
      <c r="AG26" s="490"/>
      <c r="AH26" s="490"/>
      <c r="AI26" s="490"/>
      <c r="AJ26" s="490"/>
      <c r="AK26" s="490"/>
      <c r="AL26" s="490"/>
      <c r="AM26" s="490"/>
      <c r="AN26" s="490"/>
      <c r="AO26" s="490"/>
      <c r="AP26" s="490"/>
      <c r="AQ26" s="490"/>
      <c r="AR26" s="490"/>
      <c r="AS26" s="490"/>
      <c r="AT26" s="490"/>
    </row>
    <row r="27" spans="1:46" s="474" customFormat="1" ht="12.75" x14ac:dyDescent="0.2">
      <c r="A27" s="499">
        <v>17</v>
      </c>
      <c r="B27" s="500" t="s">
        <v>112</v>
      </c>
      <c r="C27" s="493">
        <f>'SOTE laskennallinen rahoitus'!C41*'SOTE laskennallinen rahoitus'!B$17</f>
        <v>182906218.53733742</v>
      </c>
      <c r="D27" s="493">
        <f>'SOTE laskennallinen rahoitus'!D41*'SOTE laskennallinen rahoitus'!$D$17*'SOTE laskennallinen rahoitus'!C41</f>
        <v>742918371.31042457</v>
      </c>
      <c r="E27" s="493">
        <f>'SOTE laskennallinen rahoitus'!E41*'SOTE laskennallinen rahoitus'!$E$17*'SOTE laskennallinen rahoitus'!C41</f>
        <v>248895565.0467056</v>
      </c>
      <c r="F27" s="493">
        <f>'SOTE laskennallinen rahoitus'!F41*'SOTE laskennallinen rahoitus'!$F$17*'SOTE laskennallinen rahoitus'!C41</f>
        <v>316457229.76553732</v>
      </c>
      <c r="G27" s="493">
        <f>'SOTE laskennallinen rahoitus'!G41*'SOTE laskennallinen rahoitus'!G$17</f>
        <v>12402411.850019412</v>
      </c>
      <c r="H27" s="493">
        <f>'SOTE laskennallinen rahoitus'!H41*'SOTE laskennallinen rahoitus'!$H$17</f>
        <v>0</v>
      </c>
      <c r="I27" s="493">
        <f>'SOTE laskennallinen rahoitus'!I41*'SOTE laskennallinen rahoitus'!$I$17*'SOTE laskennallinen rahoitus'!$C41</f>
        <v>37905382.458176717</v>
      </c>
      <c r="J27" s="493">
        <f>'SOTE laskennallinen rahoitus'!J41*'SOTE laskennallinen rahoitus'!$J$17</f>
        <v>633609.64999740687</v>
      </c>
      <c r="K27" s="493">
        <f>'SOTE laskennallinen rahoitus'!K41*'SOTE laskennallinen rahoitus'!K$17*'SOTE laskennallinen rahoitus'!$C41</f>
        <v>14348631.379311496</v>
      </c>
      <c r="L27" s="493">
        <f>'SOTE laskennallinen rahoitus'!$L$17*'SOTE laskennallinen rahoitus'!L41</f>
        <v>0</v>
      </c>
      <c r="M27" s="493">
        <f>'SOTE laskennallinen rahoitus'!$M$17*'SOTE laskennallinen rahoitus'!M41</f>
        <v>43326027.849409379</v>
      </c>
      <c r="N27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1599793447.8469193</v>
      </c>
      <c r="O27" s="532">
        <f>N27/'SOTE laskennallinen rahoitus'!C41</f>
        <v>3865.8227964307066</v>
      </c>
      <c r="AF27" s="490"/>
      <c r="AG27" s="490"/>
      <c r="AH27" s="490"/>
      <c r="AI27" s="490"/>
      <c r="AJ27" s="490"/>
      <c r="AK27" s="490"/>
      <c r="AL27" s="490"/>
      <c r="AM27" s="490"/>
      <c r="AN27" s="490"/>
      <c r="AO27" s="490"/>
      <c r="AP27" s="490"/>
      <c r="AQ27" s="490"/>
      <c r="AR27" s="490"/>
      <c r="AS27" s="490"/>
      <c r="AT27" s="490"/>
    </row>
    <row r="28" spans="1:46" s="474" customFormat="1" ht="12.75" x14ac:dyDescent="0.2">
      <c r="A28" s="499">
        <v>18</v>
      </c>
      <c r="B28" s="500" t="s">
        <v>111</v>
      </c>
      <c r="C28" s="493">
        <f>'SOTE laskennallinen rahoitus'!C42*'SOTE laskennallinen rahoitus'!B$17</f>
        <v>31674337.880916677</v>
      </c>
      <c r="D28" s="493">
        <f>'SOTE laskennallinen rahoitus'!D42*'SOTE laskennallinen rahoitus'!$D$17*'SOTE laskennallinen rahoitus'!C42</f>
        <v>147842446.02260751</v>
      </c>
      <c r="E28" s="493">
        <f>'SOTE laskennallinen rahoitus'!E42*'SOTE laskennallinen rahoitus'!$E$17*'SOTE laskennallinen rahoitus'!C42</f>
        <v>60919923.753168881</v>
      </c>
      <c r="F28" s="493">
        <f>'SOTE laskennallinen rahoitus'!F42*'SOTE laskennallinen rahoitus'!$F$17*'SOTE laskennallinen rahoitus'!C42</f>
        <v>60378615.693306573</v>
      </c>
      <c r="G28" s="493">
        <f>'SOTE laskennallinen rahoitus'!G42*'SOTE laskennallinen rahoitus'!G$17</f>
        <v>2158241.564254642</v>
      </c>
      <c r="H28" s="493">
        <f>'SOTE laskennallinen rahoitus'!H42*'SOTE laskennallinen rahoitus'!$H$17</f>
        <v>0</v>
      </c>
      <c r="I28" s="493">
        <f>'SOTE laskennallinen rahoitus'!I42*'SOTE laskennallinen rahoitus'!$I$17*'SOTE laskennallinen rahoitus'!$C42</f>
        <v>20787938.871695325</v>
      </c>
      <c r="J28" s="493">
        <f>'SOTE laskennallinen rahoitus'!J42*'SOTE laskennallinen rahoitus'!$J$17</f>
        <v>0</v>
      </c>
      <c r="K28" s="493">
        <f>'SOTE laskennallinen rahoitus'!K42*'SOTE laskennallinen rahoitus'!K$17*'SOTE laskennallinen rahoitus'!$C42</f>
        <v>2564579.0721433721</v>
      </c>
      <c r="L28" s="493">
        <f>'SOTE laskennallinen rahoitus'!$L$17*'SOTE laskennallinen rahoitus'!L42</f>
        <v>0</v>
      </c>
      <c r="M28" s="493">
        <f>'SOTE laskennallinen rahoitus'!$M$17*'SOTE laskennallinen rahoitus'!M42</f>
        <v>0</v>
      </c>
      <c r="N28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326326082.85809302</v>
      </c>
      <c r="O28" s="532">
        <f>N28/'SOTE laskennallinen rahoitus'!C42</f>
        <v>4553.556637336641</v>
      </c>
      <c r="AF28" s="490"/>
      <c r="AG28" s="490"/>
      <c r="AH28" s="490"/>
      <c r="AI28" s="490"/>
      <c r="AJ28" s="490"/>
      <c r="AK28" s="490"/>
      <c r="AL28" s="490"/>
      <c r="AM28" s="490"/>
      <c r="AN28" s="490"/>
      <c r="AO28" s="490"/>
      <c r="AP28" s="490"/>
      <c r="AQ28" s="490"/>
      <c r="AR28" s="490"/>
      <c r="AS28" s="490"/>
      <c r="AT28" s="490"/>
    </row>
    <row r="29" spans="1:46" s="474" customFormat="1" ht="12.75" x14ac:dyDescent="0.2">
      <c r="A29" s="502">
        <v>19</v>
      </c>
      <c r="B29" s="503" t="s">
        <v>110</v>
      </c>
      <c r="C29" s="504">
        <f>'SOTE laskennallinen rahoitus'!C43*'SOTE laskennallinen rahoitus'!B$17</f>
        <v>78083094.743973896</v>
      </c>
      <c r="D29" s="504">
        <f>'SOTE laskennallinen rahoitus'!D43*'SOTE laskennallinen rahoitus'!$D$17*'SOTE laskennallinen rahoitus'!C43</f>
        <v>349130212.76059681</v>
      </c>
      <c r="E29" s="504">
        <f>'SOTE laskennallinen rahoitus'!E43*'SOTE laskennallinen rahoitus'!$E$17*'SOTE laskennallinen rahoitus'!C43</f>
        <v>129433472.07676814</v>
      </c>
      <c r="F29" s="504">
        <f>'SOTE laskennallinen rahoitus'!F43*'SOTE laskennallinen rahoitus'!$F$17*'SOTE laskennallinen rahoitus'!C43</f>
        <v>151886118.85770643</v>
      </c>
      <c r="G29" s="504">
        <f>'SOTE laskennallinen rahoitus'!G43*'SOTE laskennallinen rahoitus'!G$17</f>
        <v>4971577.4611551948</v>
      </c>
      <c r="H29" s="504">
        <f>'SOTE laskennallinen rahoitus'!H43*'SOTE laskennallinen rahoitus'!$H$17</f>
        <v>0</v>
      </c>
      <c r="I29" s="504">
        <f>'SOTE laskennallinen rahoitus'!I43*'SOTE laskennallinen rahoitus'!$I$17*'SOTE laskennallinen rahoitus'!$C43</f>
        <v>95384111.763996452</v>
      </c>
      <c r="J29" s="504">
        <f>'SOTE laskennallinen rahoitus'!J43*'SOTE laskennallinen rahoitus'!$J$17</f>
        <v>0</v>
      </c>
      <c r="K29" s="504">
        <f>'SOTE laskennallinen rahoitus'!K43*'SOTE laskennallinen rahoitus'!K$17*'SOTE laskennallinen rahoitus'!$C43</f>
        <v>8574810.41285423</v>
      </c>
      <c r="L29" s="504">
        <f>'SOTE laskennallinen rahoitus'!$L$17*'SOTE laskennallinen rahoitus'!L43</f>
        <v>2697279.5199992419</v>
      </c>
      <c r="M29" s="493">
        <f>'SOTE laskennallinen rahoitus'!$M$17*'SOTE laskennallinen rahoitus'!M43</f>
        <v>0</v>
      </c>
      <c r="N29" s="531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820160677.59705043</v>
      </c>
      <c r="O29" s="533">
        <f>N29/'SOTE laskennallinen rahoitus'!C43</f>
        <v>4642.4627266128009</v>
      </c>
      <c r="AF29" s="490"/>
      <c r="AG29" s="490"/>
      <c r="AH29" s="490"/>
      <c r="AI29" s="490"/>
      <c r="AJ29" s="490"/>
      <c r="AK29" s="490"/>
      <c r="AL29" s="490"/>
      <c r="AM29" s="490"/>
      <c r="AN29" s="490"/>
      <c r="AO29" s="490"/>
      <c r="AP29" s="490"/>
      <c r="AQ29" s="490"/>
      <c r="AR29" s="490"/>
      <c r="AS29" s="490"/>
      <c r="AT29" s="490"/>
    </row>
    <row r="30" spans="1:46" s="474" customFormat="1" ht="12.75" x14ac:dyDescent="0.2">
      <c r="A30" s="499"/>
      <c r="B30" s="500" t="s">
        <v>109</v>
      </c>
      <c r="C30" s="501">
        <f t="shared" ref="C30:K30" si="0">SUM(C8:C29)</f>
        <v>2432531160.9599991</v>
      </c>
      <c r="D30" s="501">
        <f t="shared" si="0"/>
        <v>9946942499.8830643</v>
      </c>
      <c r="E30" s="501">
        <f t="shared" si="0"/>
        <v>3336918041.9089708</v>
      </c>
      <c r="F30" s="501">
        <f t="shared" si="0"/>
        <v>3615633066.2079659</v>
      </c>
      <c r="G30" s="501">
        <f t="shared" si="0"/>
        <v>414966079.99999988</v>
      </c>
      <c r="H30" s="501">
        <f t="shared" si="0"/>
        <v>103741520</v>
      </c>
      <c r="I30" s="501">
        <f t="shared" si="0"/>
        <v>311224559.99999988</v>
      </c>
      <c r="J30" s="501">
        <f t="shared" si="0"/>
        <v>23445583.519999996</v>
      </c>
      <c r="K30" s="501">
        <f t="shared" si="0"/>
        <v>207483039.99999988</v>
      </c>
      <c r="L30" s="501">
        <f>L29</f>
        <v>2697279.5199992419</v>
      </c>
      <c r="M30" s="495">
        <f>'SOTE laskennallinen rahoitus'!$M$17*'SOTE laskennallinen rahoitus'!M44</f>
        <v>352721167.99999994</v>
      </c>
      <c r="N30" s="494">
        <f>SUM(N8:N29)</f>
        <v>20748304000</v>
      </c>
      <c r="O30" s="501">
        <f>N30/'SOTE laskennallinen rahoitus'!C44</f>
        <v>3769.9074652813106</v>
      </c>
      <c r="AF30" s="490"/>
      <c r="AG30" s="490"/>
      <c r="AH30" s="490"/>
      <c r="AI30" s="490"/>
      <c r="AJ30" s="490"/>
      <c r="AK30" s="490"/>
      <c r="AL30" s="490"/>
      <c r="AM30" s="490"/>
      <c r="AN30" s="490"/>
      <c r="AO30" s="490"/>
      <c r="AP30" s="490"/>
      <c r="AQ30" s="490"/>
      <c r="AR30" s="490"/>
      <c r="AS30" s="490"/>
      <c r="AT30" s="490"/>
    </row>
    <row r="31" spans="1:46" s="474" customFormat="1" ht="12.75" x14ac:dyDescent="0.2">
      <c r="A31" s="499"/>
      <c r="B31" s="500" t="s">
        <v>522</v>
      </c>
      <c r="C31" s="505">
        <f t="shared" ref="C31:M31" si="1">C30/$N$30</f>
        <v>0.11723999999999996</v>
      </c>
      <c r="D31" s="505">
        <f t="shared" si="1"/>
        <v>0.47940990742583417</v>
      </c>
      <c r="E31" s="505">
        <f t="shared" si="1"/>
        <v>0.1608284726264359</v>
      </c>
      <c r="F31" s="505">
        <f t="shared" si="1"/>
        <v>0.17426161994772998</v>
      </c>
      <c r="G31" s="505">
        <f t="shared" si="1"/>
        <v>1.9999999999999993E-2</v>
      </c>
      <c r="H31" s="505">
        <f t="shared" si="1"/>
        <v>5.0000000000000001E-3</v>
      </c>
      <c r="I31" s="505">
        <f t="shared" si="1"/>
        <v>1.4999999999999994E-2</v>
      </c>
      <c r="J31" s="505">
        <f t="shared" si="1"/>
        <v>1.1299999999999997E-3</v>
      </c>
      <c r="K31" s="505">
        <f t="shared" si="1"/>
        <v>9.999999999999995E-3</v>
      </c>
      <c r="L31" s="505">
        <f t="shared" si="1"/>
        <v>1.2999999999996345E-4</v>
      </c>
      <c r="M31" s="505">
        <f t="shared" si="1"/>
        <v>1.6999999999999998E-2</v>
      </c>
      <c r="N31" s="506">
        <f>Taulukko7[[#This Row],[Asukasperusteisuus]]+Taulukko7[[#This Row],[Terveydenhuollon palvelutarve]]+Taulukko7[[#This Row],[Vanhustenhuollon palvelutarve]]+Taulukko7[[#This Row],[Sosiaalihuollon palvelutarve]]+Taulukko7[[#This Row],[Vieraskielisyys]]+Taulukko7[[#This Row],[Kaksikielisyys]]+Taulukko7[[#This Row],[Asukastiheys]]+Taulukko7[[#This Row],[Saaristoisuus]]+Taulukko7[[#This Row],[Hyte-kriteeri]]+Taulukko7[[#This Row],[Saamenkielisyys]]+Taulukko7[[#This Row],[YO-lisä]]</f>
        <v>1</v>
      </c>
      <c r="O31" s="501"/>
      <c r="AF31" s="490"/>
      <c r="AG31" s="490"/>
      <c r="AH31" s="490"/>
      <c r="AI31" s="490"/>
      <c r="AJ31" s="490"/>
      <c r="AK31" s="490"/>
      <c r="AL31" s="490"/>
      <c r="AM31" s="490"/>
      <c r="AN31" s="490"/>
      <c r="AO31" s="490"/>
      <c r="AP31" s="490"/>
      <c r="AQ31" s="490"/>
      <c r="AR31" s="490"/>
      <c r="AS31" s="490"/>
      <c r="AT31" s="490"/>
    </row>
    <row r="32" spans="1:46" s="474" customFormat="1" ht="12.75" x14ac:dyDescent="0.2">
      <c r="A32" s="499"/>
      <c r="B32" s="499"/>
      <c r="C32" s="499"/>
      <c r="D32" s="499"/>
      <c r="E32" s="507"/>
      <c r="F32" s="507"/>
      <c r="G32" s="507"/>
      <c r="H32" s="507"/>
      <c r="I32" s="507"/>
      <c r="J32" s="507"/>
      <c r="K32" s="507"/>
      <c r="L32" s="507"/>
      <c r="M32" s="507"/>
      <c r="N32" s="507"/>
      <c r="AF32" s="490"/>
      <c r="AG32" s="490"/>
      <c r="AH32" s="490"/>
      <c r="AI32" s="490"/>
      <c r="AJ32" s="490"/>
      <c r="AK32" s="490"/>
      <c r="AL32" s="490"/>
      <c r="AM32" s="490"/>
      <c r="AN32" s="490"/>
      <c r="AO32" s="490"/>
      <c r="AP32" s="490"/>
      <c r="AQ32" s="490"/>
      <c r="AR32" s="490"/>
      <c r="AS32" s="490"/>
      <c r="AT32" s="490"/>
    </row>
    <row r="33" spans="1:47" s="474" customFormat="1" ht="12.75" x14ac:dyDescent="0.2">
      <c r="A33" s="481" t="s">
        <v>686</v>
      </c>
      <c r="B33" s="481"/>
      <c r="C33" s="481"/>
      <c r="D33" s="481"/>
      <c r="E33" s="482"/>
      <c r="F33" s="482"/>
      <c r="G33" s="482"/>
      <c r="H33" s="482"/>
      <c r="I33" s="482"/>
      <c r="J33" s="482"/>
      <c r="K33" s="482"/>
      <c r="L33" s="482"/>
      <c r="M33" s="482"/>
      <c r="N33" s="482"/>
      <c r="AF33" s="490"/>
      <c r="AG33" s="490"/>
      <c r="AH33" s="490"/>
      <c r="AI33" s="490"/>
      <c r="AJ33" s="490"/>
      <c r="AK33" s="490"/>
      <c r="AL33" s="490"/>
      <c r="AM33" s="490"/>
      <c r="AN33" s="490"/>
      <c r="AO33" s="490"/>
      <c r="AP33" s="490"/>
      <c r="AQ33" s="490"/>
      <c r="AR33" s="490"/>
      <c r="AS33" s="490"/>
      <c r="AT33" s="490"/>
    </row>
    <row r="34" spans="1:47" s="474" customFormat="1" ht="25.5" x14ac:dyDescent="0.2">
      <c r="A34" s="508" t="s">
        <v>469</v>
      </c>
      <c r="B34" s="508" t="s">
        <v>134</v>
      </c>
      <c r="C34" s="509" t="s">
        <v>431</v>
      </c>
      <c r="D34" s="510" t="s">
        <v>542</v>
      </c>
      <c r="E34" s="510" t="s">
        <v>543</v>
      </c>
      <c r="F34" s="510" t="s">
        <v>544</v>
      </c>
      <c r="G34" s="511" t="s">
        <v>433</v>
      </c>
      <c r="H34" s="512" t="s">
        <v>430</v>
      </c>
      <c r="I34" s="512" t="s">
        <v>429</v>
      </c>
      <c r="J34" s="512" t="s">
        <v>480</v>
      </c>
      <c r="K34" s="512" t="s">
        <v>479</v>
      </c>
      <c r="L34" s="513" t="s">
        <v>559</v>
      </c>
      <c r="M34" s="514" t="s">
        <v>662</v>
      </c>
      <c r="N34" s="515" t="s">
        <v>502</v>
      </c>
      <c r="O34" s="516" t="s">
        <v>503</v>
      </c>
      <c r="AG34" s="490"/>
      <c r="AH34" s="490"/>
      <c r="AI34" s="490"/>
      <c r="AJ34" s="490"/>
      <c r="AK34" s="490"/>
      <c r="AL34" s="490"/>
      <c r="AM34" s="490"/>
      <c r="AN34" s="490"/>
      <c r="AO34" s="490"/>
      <c r="AP34" s="490"/>
      <c r="AQ34" s="490"/>
      <c r="AR34" s="490"/>
      <c r="AS34" s="490"/>
      <c r="AT34" s="490"/>
      <c r="AU34" s="490"/>
    </row>
    <row r="35" spans="1:47" s="474" customFormat="1" ht="12.75" x14ac:dyDescent="0.2">
      <c r="A35" s="517">
        <v>31</v>
      </c>
      <c r="B35" s="518" t="s">
        <v>131</v>
      </c>
      <c r="C35" s="519">
        <f>C8/'SOTE laskennallinen rahoitus'!$C22</f>
        <v>441.98395122958084</v>
      </c>
      <c r="D35" s="519">
        <f>D8/'SOTE laskennallinen rahoitus'!$C22</f>
        <v>1604.733638600828</v>
      </c>
      <c r="E35" s="519">
        <f>E8/'SOTE laskennallinen rahoitus'!$C22</f>
        <v>447.15463317224493</v>
      </c>
      <c r="F35" s="519">
        <f>F8/'SOTE laskennallinen rahoitus'!$C22</f>
        <v>538.00365815493774</v>
      </c>
      <c r="G35" s="519">
        <f>G8/'SOTE laskennallinen rahoitus'!$C22</f>
        <v>160.45709678794771</v>
      </c>
      <c r="H35" s="519">
        <f>H8/'SOTE laskennallinen rahoitus'!$C22</f>
        <v>23.026268914142285</v>
      </c>
      <c r="I35" s="519">
        <f>I8/'SOTE laskennallinen rahoitus'!$C22</f>
        <v>0.33574410457944637</v>
      </c>
      <c r="J35" s="519">
        <f>J8/'SOTE laskennallinen rahoitus'!$C22</f>
        <v>0</v>
      </c>
      <c r="K35" s="519">
        <f>K8/'SOTE laskennallinen rahoitus'!$C22</f>
        <v>32.944133682940624</v>
      </c>
      <c r="L35" s="519">
        <f>L8/'SOTE laskennallinen rahoitus'!$C22</f>
        <v>0</v>
      </c>
      <c r="M35" s="519">
        <f>M8/'SOTE laskennallinen rahoitus'!$C22</f>
        <v>104.69523197788797</v>
      </c>
      <c r="N35" s="520">
        <f>N8/'SOTE laskennallinen rahoitus'!$C22</f>
        <v>3353.3343566250896</v>
      </c>
      <c r="O35" s="521">
        <f>SUM('Arvio hyten vaikutuksesta'!$C35:$M35)</f>
        <v>3353.3343566250896</v>
      </c>
    </row>
    <row r="36" spans="1:47" s="474" customFormat="1" ht="12.75" x14ac:dyDescent="0.2">
      <c r="A36" s="522">
        <v>32</v>
      </c>
      <c r="B36" s="523" t="s">
        <v>130</v>
      </c>
      <c r="C36" s="524">
        <f>C9/'SOTE laskennallinen rahoitus'!$C23</f>
        <v>441.98395122958078</v>
      </c>
      <c r="D36" s="524">
        <f>D9/'SOTE laskennallinen rahoitus'!$C23</f>
        <v>1560.9123103428833</v>
      </c>
      <c r="E36" s="524">
        <f>E9/'SOTE laskennallinen rahoitus'!$C23</f>
        <v>333.72642191311598</v>
      </c>
      <c r="F36" s="524">
        <f>F9/'SOTE laskennallinen rahoitus'!$C23</f>
        <v>534.90452034691509</v>
      </c>
      <c r="G36" s="524">
        <f>G9/'SOTE laskennallinen rahoitus'!$C23</f>
        <v>196.26016548833363</v>
      </c>
      <c r="H36" s="524">
        <f>H9/'SOTE laskennallinen rahoitus'!$C23</f>
        <v>9.0506958119882945</v>
      </c>
      <c r="I36" s="524">
        <f>I9/'SOTE laskennallinen rahoitus'!$C23</f>
        <v>1.0092260520904157</v>
      </c>
      <c r="J36" s="524">
        <f>J9/'SOTE laskennallinen rahoitus'!$C23</f>
        <v>0</v>
      </c>
      <c r="K36" s="524">
        <f>K9/'SOTE laskennallinen rahoitus'!$C23</f>
        <v>35.724036165414056</v>
      </c>
      <c r="L36" s="524">
        <f>L9/'SOTE laskennallinen rahoitus'!$C23</f>
        <v>0</v>
      </c>
      <c r="M36" s="524">
        <f>M9/'SOTE laskennallinen rahoitus'!$C23</f>
        <v>104.69523197788797</v>
      </c>
      <c r="N36" s="525">
        <f>N9/'SOTE laskennallinen rahoitus'!$C23</f>
        <v>3218.266559328209</v>
      </c>
      <c r="O36" s="521">
        <f>SUM('Arvio hyten vaikutuksesta'!$C36:$M36)</f>
        <v>3218.2665593282095</v>
      </c>
    </row>
    <row r="37" spans="1:47" s="474" customFormat="1" ht="12.75" x14ac:dyDescent="0.2">
      <c r="A37" s="522">
        <v>33</v>
      </c>
      <c r="B37" s="523" t="s">
        <v>129</v>
      </c>
      <c r="C37" s="524">
        <f>C10/'SOTE laskennallinen rahoitus'!$C24</f>
        <v>441.98395122958078</v>
      </c>
      <c r="D37" s="524">
        <f>D10/'SOTE laskennallinen rahoitus'!$C24</f>
        <v>1530.031643035742</v>
      </c>
      <c r="E37" s="524">
        <f>E10/'SOTE laskennallinen rahoitus'!$C24</f>
        <v>370.79335817541619</v>
      </c>
      <c r="F37" s="524">
        <f>F10/'SOTE laskennallinen rahoitus'!$C24</f>
        <v>499.28478004700617</v>
      </c>
      <c r="G37" s="524">
        <f>G10/'SOTE laskennallinen rahoitus'!$C24</f>
        <v>136.79494172518145</v>
      </c>
      <c r="H37" s="524">
        <f>H10/'SOTE laskennallinen rahoitus'!$C24</f>
        <v>49.829486170205094</v>
      </c>
      <c r="I37" s="524">
        <f>I10/'SOTE laskennallinen rahoitus'!$C24</f>
        <v>9.2208917016564822</v>
      </c>
      <c r="J37" s="524">
        <f>J10/'SOTE laskennallinen rahoitus'!$C24</f>
        <v>0</v>
      </c>
      <c r="K37" s="524">
        <f>K10/'SOTE laskennallinen rahoitus'!$C24</f>
        <v>33.264589668556575</v>
      </c>
      <c r="L37" s="524">
        <f>L10/'SOTE laskennallinen rahoitus'!$C24</f>
        <v>0</v>
      </c>
      <c r="M37" s="524">
        <f>M10/'SOTE laskennallinen rahoitus'!$C24</f>
        <v>104.69523197788797</v>
      </c>
      <c r="N37" s="525">
        <f>N10/'SOTE laskennallinen rahoitus'!$C24</f>
        <v>3175.8988737312325</v>
      </c>
      <c r="O37" s="521">
        <f>SUM('Arvio hyten vaikutuksesta'!$C37:$M37)</f>
        <v>3175.8988737312329</v>
      </c>
    </row>
    <row r="38" spans="1:47" s="474" customFormat="1" ht="12.75" x14ac:dyDescent="0.2">
      <c r="A38" s="522">
        <v>34</v>
      </c>
      <c r="B38" s="523" t="s">
        <v>128</v>
      </c>
      <c r="C38" s="524">
        <f>C11/'SOTE laskennallinen rahoitus'!$C25</f>
        <v>441.98395122958078</v>
      </c>
      <c r="D38" s="524">
        <f>D11/'SOTE laskennallinen rahoitus'!$C25</f>
        <v>1729.1932608946222</v>
      </c>
      <c r="E38" s="524">
        <f>E11/'SOTE laskennallinen rahoitus'!$C25</f>
        <v>544.37375984645917</v>
      </c>
      <c r="F38" s="524">
        <f>F11/'SOTE laskennallinen rahoitus'!$C25</f>
        <v>556.07826125638439</v>
      </c>
      <c r="G38" s="524">
        <f>G11/'SOTE laskennallinen rahoitus'!$C25</f>
        <v>59.112635069707096</v>
      </c>
      <c r="H38" s="524">
        <f>H11/'SOTE laskennallinen rahoitus'!$C25</f>
        <v>117.65692227777537</v>
      </c>
      <c r="I38" s="524">
        <f>I11/'SOTE laskennallinen rahoitus'!$C25</f>
        <v>28.30346546818825</v>
      </c>
      <c r="J38" s="524">
        <f>J11/'SOTE laskennallinen rahoitus'!$C25</f>
        <v>0</v>
      </c>
      <c r="K38" s="524">
        <f>K11/'SOTE laskennallinen rahoitus'!$C25</f>
        <v>36.628019516303233</v>
      </c>
      <c r="L38" s="524">
        <f>L11/'SOTE laskennallinen rahoitus'!$C25</f>
        <v>0</v>
      </c>
      <c r="M38" s="524">
        <f>M11/'SOTE laskennallinen rahoitus'!$C25</f>
        <v>104.69523197788796</v>
      </c>
      <c r="N38" s="525">
        <f>N11/'SOTE laskennallinen rahoitus'!$C25</f>
        <v>3618.0255075369087</v>
      </c>
      <c r="O38" s="521">
        <f>SUM('Arvio hyten vaikutuksesta'!$C38:$M38)</f>
        <v>3618.0255075369082</v>
      </c>
    </row>
    <row r="39" spans="1:47" s="474" customFormat="1" ht="12.75" x14ac:dyDescent="0.2">
      <c r="A39" s="522">
        <v>35</v>
      </c>
      <c r="B39" s="523" t="s">
        <v>127</v>
      </c>
      <c r="C39" s="524">
        <f>C12/'SOTE laskennallinen rahoitus'!$C26</f>
        <v>441.98395122958078</v>
      </c>
      <c r="D39" s="524">
        <f>D12/'SOTE laskennallinen rahoitus'!$C26</f>
        <v>1620.9322502985074</v>
      </c>
      <c r="E39" s="524">
        <f>E12/'SOTE laskennallinen rahoitus'!$C26</f>
        <v>430.26485601087904</v>
      </c>
      <c r="F39" s="524">
        <f>F12/'SOTE laskennallinen rahoitus'!$C26</f>
        <v>550.36288830673686</v>
      </c>
      <c r="G39" s="524">
        <f>G12/'SOTE laskennallinen rahoitus'!$C26</f>
        <v>57.593287026662217</v>
      </c>
      <c r="H39" s="524">
        <f>H12/'SOTE laskennallinen rahoitus'!$C26</f>
        <v>0</v>
      </c>
      <c r="I39" s="524">
        <f>I12/'SOTE laskennallinen rahoitus'!$C26</f>
        <v>8.6179753376420187</v>
      </c>
      <c r="J39" s="524">
        <f>J12/'SOTE laskennallinen rahoitus'!$C26</f>
        <v>0</v>
      </c>
      <c r="K39" s="524">
        <f>K12/'SOTE laskennallinen rahoitus'!$C26</f>
        <v>39.178379995572016</v>
      </c>
      <c r="L39" s="524">
        <f>L12/'SOTE laskennallinen rahoitus'!$C26</f>
        <v>0</v>
      </c>
      <c r="M39" s="524">
        <f>M12/'SOTE laskennallinen rahoitus'!$C26</f>
        <v>104.69523197788797</v>
      </c>
      <c r="N39" s="525">
        <f>N12/'SOTE laskennallinen rahoitus'!$C26</f>
        <v>3253.6288201834677</v>
      </c>
      <c r="O39" s="521">
        <f>SUM('Arvio hyten vaikutuksesta'!$C39:$M39)</f>
        <v>3253.6288201834682</v>
      </c>
    </row>
    <row r="40" spans="1:47" s="474" customFormat="1" ht="12.75" x14ac:dyDescent="0.2">
      <c r="A40" s="526">
        <v>2</v>
      </c>
      <c r="B40" s="523" t="s">
        <v>126</v>
      </c>
      <c r="C40" s="524">
        <f>C13/'SOTE laskennallinen rahoitus'!$C27</f>
        <v>441.98395122958078</v>
      </c>
      <c r="D40" s="524">
        <f>D13/'SOTE laskennallinen rahoitus'!$C27</f>
        <v>1833.0395925546738</v>
      </c>
      <c r="E40" s="524">
        <f>E13/'SOTE laskennallinen rahoitus'!$C27</f>
        <v>649.42871154993941</v>
      </c>
      <c r="F40" s="524">
        <f>F13/'SOTE laskennallinen rahoitus'!$C27</f>
        <v>662.63754285500488</v>
      </c>
      <c r="G40" s="524">
        <f>G13/'SOTE laskennallinen rahoitus'!$C27</f>
        <v>75.872246367654455</v>
      </c>
      <c r="H40" s="524">
        <f>H13/'SOTE laskennallinen rahoitus'!$C27</f>
        <v>23.384474704711984</v>
      </c>
      <c r="I40" s="524">
        <f>I13/'SOTE laskennallinen rahoitus'!$C27</f>
        <v>22.804166586468842</v>
      </c>
      <c r="J40" s="524">
        <f>J13/'SOTE laskennallinen rahoitus'!$C27</f>
        <v>31.461867701405165</v>
      </c>
      <c r="K40" s="524">
        <f>K13/'SOTE laskennallinen rahoitus'!$C27</f>
        <v>34.457992584971784</v>
      </c>
      <c r="L40" s="524">
        <f>L13/'SOTE laskennallinen rahoitus'!$C27</f>
        <v>0</v>
      </c>
      <c r="M40" s="524">
        <f>M13/'SOTE laskennallinen rahoitus'!$C27</f>
        <v>104.69523197788797</v>
      </c>
      <c r="N40" s="525">
        <f>N13/'SOTE laskennallinen rahoitus'!$C27</f>
        <v>3879.7657781122989</v>
      </c>
      <c r="O40" s="521">
        <f>SUM('Arvio hyten vaikutuksesta'!$C40:$M40)</f>
        <v>3879.7657781122989</v>
      </c>
    </row>
    <row r="41" spans="1:47" s="474" customFormat="1" ht="12.75" x14ac:dyDescent="0.2">
      <c r="A41" s="526">
        <v>4</v>
      </c>
      <c r="B41" s="523" t="s">
        <v>125</v>
      </c>
      <c r="C41" s="524">
        <f>C14/'SOTE laskennallinen rahoitus'!$C28</f>
        <v>441.98395122958078</v>
      </c>
      <c r="D41" s="524">
        <f>D14/'SOTE laskennallinen rahoitus'!$C28</f>
        <v>1917.7109755809684</v>
      </c>
      <c r="E41" s="524">
        <f>E14/'SOTE laskennallinen rahoitus'!$C28</f>
        <v>711.79576393373657</v>
      </c>
      <c r="F41" s="524">
        <f>F14/'SOTE laskennallinen rahoitus'!$C28</f>
        <v>721.93772398924398</v>
      </c>
      <c r="G41" s="524">
        <f>G14/'SOTE laskennallinen rahoitus'!$C28</f>
        <v>38.26189865296368</v>
      </c>
      <c r="H41" s="524">
        <f>H14/'SOTE laskennallinen rahoitus'!$C28</f>
        <v>0</v>
      </c>
      <c r="I41" s="524">
        <f>I14/'SOTE laskennallinen rahoitus'!$C28</f>
        <v>37.368965688884067</v>
      </c>
      <c r="J41" s="524">
        <f>J14/'SOTE laskennallinen rahoitus'!$C28</f>
        <v>0</v>
      </c>
      <c r="K41" s="524">
        <f>K14/'SOTE laskennallinen rahoitus'!$C28</f>
        <v>42.858049713653763</v>
      </c>
      <c r="L41" s="524">
        <f>L14/'SOTE laskennallinen rahoitus'!$C28</f>
        <v>0</v>
      </c>
      <c r="M41" s="524">
        <f>M14/'SOTE laskennallinen rahoitus'!$C28</f>
        <v>0</v>
      </c>
      <c r="N41" s="525">
        <f>N14/'SOTE laskennallinen rahoitus'!$C28</f>
        <v>3911.9173287890312</v>
      </c>
      <c r="O41" s="521">
        <f>SUM('Arvio hyten vaikutuksesta'!$C41:$M41)</f>
        <v>3911.9173287890308</v>
      </c>
    </row>
    <row r="42" spans="1:47" s="474" customFormat="1" ht="12.75" x14ac:dyDescent="0.2">
      <c r="A42" s="526">
        <v>5</v>
      </c>
      <c r="B42" s="523" t="s">
        <v>124</v>
      </c>
      <c r="C42" s="524">
        <f>C15/'SOTE laskennallinen rahoitus'!$C29</f>
        <v>441.98395122958078</v>
      </c>
      <c r="D42" s="524">
        <f>D15/'SOTE laskennallinen rahoitus'!$C29</f>
        <v>1898.9725606738184</v>
      </c>
      <c r="E42" s="524">
        <f>E15/'SOTE laskennallinen rahoitus'!$C29</f>
        <v>676.45164666862399</v>
      </c>
      <c r="F42" s="524">
        <f>F15/'SOTE laskennallinen rahoitus'!$C29</f>
        <v>665.62377754185127</v>
      </c>
      <c r="G42" s="524">
        <f>G15/'SOTE laskennallinen rahoitus'!$C29</f>
        <v>42.697556444490054</v>
      </c>
      <c r="H42" s="524">
        <f>H15/'SOTE laskennallinen rahoitus'!$C29</f>
        <v>0</v>
      </c>
      <c r="I42" s="524">
        <f>I15/'SOTE laskennallinen rahoitus'!$C29</f>
        <v>31.371179682529622</v>
      </c>
      <c r="J42" s="524">
        <f>J15/'SOTE laskennallinen rahoitus'!$C29</f>
        <v>0</v>
      </c>
      <c r="K42" s="524">
        <f>K15/'SOTE laskennallinen rahoitus'!$C29</f>
        <v>33.574715067952994</v>
      </c>
      <c r="L42" s="524">
        <f>L15/'SOTE laskennallinen rahoitus'!$C29</f>
        <v>0</v>
      </c>
      <c r="M42" s="524">
        <f>M15/'SOTE laskennallinen rahoitus'!$C29</f>
        <v>0</v>
      </c>
      <c r="N42" s="525">
        <f>N15/'SOTE laskennallinen rahoitus'!$C29</f>
        <v>3790.6753873088469</v>
      </c>
      <c r="O42" s="521">
        <f>SUM('Arvio hyten vaikutuksesta'!$C42:$M42)</f>
        <v>3790.6753873088473</v>
      </c>
    </row>
    <row r="43" spans="1:47" s="474" customFormat="1" ht="12.75" x14ac:dyDescent="0.2">
      <c r="A43" s="526">
        <v>6</v>
      </c>
      <c r="B43" s="523" t="s">
        <v>123</v>
      </c>
      <c r="C43" s="524">
        <f>C16/'SOTE laskennallinen rahoitus'!$C30</f>
        <v>441.98395122958078</v>
      </c>
      <c r="D43" s="524">
        <f>D16/'SOTE laskennallinen rahoitus'!$C30</f>
        <v>1830.8181400762314</v>
      </c>
      <c r="E43" s="524">
        <f>E16/'SOTE laskennallinen rahoitus'!$C30</f>
        <v>608.75087012299093</v>
      </c>
      <c r="F43" s="524">
        <f>F16/'SOTE laskennallinen rahoitus'!$C30</f>
        <v>626.17837196112635</v>
      </c>
      <c r="G43" s="524">
        <f>G16/'SOTE laskennallinen rahoitus'!$C30</f>
        <v>49.675984445096724</v>
      </c>
      <c r="H43" s="524">
        <f>H16/'SOTE laskennallinen rahoitus'!$C30</f>
        <v>0</v>
      </c>
      <c r="I43" s="524">
        <f>I16/'SOTE laskennallinen rahoitus'!$C30</f>
        <v>26.080372812137909</v>
      </c>
      <c r="J43" s="524">
        <f>J16/'SOTE laskennallinen rahoitus'!$C30</f>
        <v>0</v>
      </c>
      <c r="K43" s="524">
        <f>K16/'SOTE laskennallinen rahoitus'!$C30</f>
        <v>45.028450704583591</v>
      </c>
      <c r="L43" s="524">
        <f>L16/'SOTE laskennallinen rahoitus'!$C30</f>
        <v>0</v>
      </c>
      <c r="M43" s="524">
        <f>M16/'SOTE laskennallinen rahoitus'!$C30</f>
        <v>104.69523197788797</v>
      </c>
      <c r="N43" s="525">
        <f>N16/'SOTE laskennallinen rahoitus'!$C30</f>
        <v>3733.211373329636</v>
      </c>
      <c r="O43" s="521">
        <f>SUM('Arvio hyten vaikutuksesta'!$C43:$M43)</f>
        <v>3733.2113733296351</v>
      </c>
    </row>
    <row r="44" spans="1:47" s="474" customFormat="1" ht="12.75" x14ac:dyDescent="0.2">
      <c r="A44" s="526">
        <v>7</v>
      </c>
      <c r="B44" s="523" t="s">
        <v>122</v>
      </c>
      <c r="C44" s="524">
        <f>C17/'SOTE laskennallinen rahoitus'!$C31</f>
        <v>441.98395122958078</v>
      </c>
      <c r="D44" s="524">
        <f>D17/'SOTE laskennallinen rahoitus'!$C31</f>
        <v>1973.9096294352171</v>
      </c>
      <c r="E44" s="524">
        <f>E17/'SOTE laskennallinen rahoitus'!$C31</f>
        <v>696.74015240231847</v>
      </c>
      <c r="F44" s="524">
        <f>F17/'SOTE laskennallinen rahoitus'!$C31</f>
        <v>703.70631752422139</v>
      </c>
      <c r="G44" s="524">
        <f>G17/'SOTE laskennallinen rahoitus'!$C31</f>
        <v>53.966620619709239</v>
      </c>
      <c r="H44" s="524">
        <f>H17/'SOTE laskennallinen rahoitus'!$C31</f>
        <v>0</v>
      </c>
      <c r="I44" s="524">
        <f>I17/'SOTE laskennallinen rahoitus'!$C31</f>
        <v>28.579443027469132</v>
      </c>
      <c r="J44" s="524">
        <f>J17/'SOTE laskennallinen rahoitus'!$C31</f>
        <v>0</v>
      </c>
      <c r="K44" s="524">
        <f>K17/'SOTE laskennallinen rahoitus'!$C31</f>
        <v>36.472487110864343</v>
      </c>
      <c r="L44" s="524">
        <f>L17/'SOTE laskennallinen rahoitus'!$C31</f>
        <v>0</v>
      </c>
      <c r="M44" s="524">
        <f>M17/'SOTE laskennallinen rahoitus'!$C31</f>
        <v>0</v>
      </c>
      <c r="N44" s="525">
        <f>N17/'SOTE laskennallinen rahoitus'!$C31</f>
        <v>3935.3586013493805</v>
      </c>
      <c r="O44" s="521">
        <f>SUM('Arvio hyten vaikutuksesta'!$C44:$M44)</f>
        <v>3935.3586013493805</v>
      </c>
    </row>
    <row r="45" spans="1:47" s="474" customFormat="1" ht="12.75" x14ac:dyDescent="0.2">
      <c r="A45" s="526">
        <v>8</v>
      </c>
      <c r="B45" s="523" t="s">
        <v>121</v>
      </c>
      <c r="C45" s="524">
        <f>C18/'SOTE laskennallinen rahoitus'!$C32</f>
        <v>441.98395122958078</v>
      </c>
      <c r="D45" s="524">
        <f>D18/'SOTE laskennallinen rahoitus'!$C32</f>
        <v>2025.4805086694864</v>
      </c>
      <c r="E45" s="524">
        <f>E18/'SOTE laskennallinen rahoitus'!$C32</f>
        <v>851.36567814886337</v>
      </c>
      <c r="F45" s="524">
        <f>F18/'SOTE laskennallinen rahoitus'!$C32</f>
        <v>764.54390786107581</v>
      </c>
      <c r="G45" s="524">
        <f>G18/'SOTE laskennallinen rahoitus'!$C32</f>
        <v>60.176591435159089</v>
      </c>
      <c r="H45" s="524">
        <f>H18/'SOTE laskennallinen rahoitus'!$C32</f>
        <v>3.1269053380919285</v>
      </c>
      <c r="I45" s="524">
        <f>I18/'SOTE laskennallinen rahoitus'!$C32</f>
        <v>28.817634817981265</v>
      </c>
      <c r="J45" s="524">
        <f>J18/'SOTE laskennallinen rahoitus'!$C32</f>
        <v>0</v>
      </c>
      <c r="K45" s="524">
        <f>K18/'SOTE laskennallinen rahoitus'!$C32</f>
        <v>39.63882025768001</v>
      </c>
      <c r="L45" s="524">
        <f>L18/'SOTE laskennallinen rahoitus'!$C32</f>
        <v>0</v>
      </c>
      <c r="M45" s="524">
        <f>M18/'SOTE laskennallinen rahoitus'!$C32</f>
        <v>0</v>
      </c>
      <c r="N45" s="525">
        <f>N18/'SOTE laskennallinen rahoitus'!$C32</f>
        <v>4215.1339977579191</v>
      </c>
      <c r="O45" s="521">
        <f>SUM('Arvio hyten vaikutuksesta'!$C45:$M45)</f>
        <v>4215.1339977579191</v>
      </c>
    </row>
    <row r="46" spans="1:47" s="474" customFormat="1" ht="12.75" x14ac:dyDescent="0.2">
      <c r="A46" s="526">
        <v>9</v>
      </c>
      <c r="B46" s="523" t="s">
        <v>120</v>
      </c>
      <c r="C46" s="524">
        <f>C19/'SOTE laskennallinen rahoitus'!$C33</f>
        <v>441.98395122958078</v>
      </c>
      <c r="D46" s="524">
        <f>D19/'SOTE laskennallinen rahoitus'!$C33</f>
        <v>1866.2174485717003</v>
      </c>
      <c r="E46" s="524">
        <f>E19/'SOTE laskennallinen rahoitus'!$C33</f>
        <v>734.41167088449913</v>
      </c>
      <c r="F46" s="524">
        <f>F19/'SOTE laskennallinen rahoitus'!$C33</f>
        <v>658.63067648446201</v>
      </c>
      <c r="G46" s="524">
        <f>G19/'SOTE laskennallinen rahoitus'!$C33</f>
        <v>62.8797937525501</v>
      </c>
      <c r="H46" s="524">
        <f>H19/'SOTE laskennallinen rahoitus'!$C33</f>
        <v>0</v>
      </c>
      <c r="I46" s="524">
        <f>I19/'SOTE laskennallinen rahoitus'!$C33</f>
        <v>43.193343328641163</v>
      </c>
      <c r="J46" s="524">
        <f>J19/'SOTE laskennallinen rahoitus'!$C33</f>
        <v>0</v>
      </c>
      <c r="K46" s="524">
        <f>K19/'SOTE laskennallinen rahoitus'!$C33</f>
        <v>43.368700216291408</v>
      </c>
      <c r="L46" s="524">
        <f>L19/'SOTE laskennallinen rahoitus'!$C33</f>
        <v>0</v>
      </c>
      <c r="M46" s="524">
        <f>M19/'SOTE laskennallinen rahoitus'!$C33</f>
        <v>0</v>
      </c>
      <c r="N46" s="525">
        <f>N19/'SOTE laskennallinen rahoitus'!$C33</f>
        <v>3850.6855844677252</v>
      </c>
      <c r="O46" s="521">
        <f>SUM('Arvio hyten vaikutuksesta'!$C46:$M46)</f>
        <v>3850.6855844677252</v>
      </c>
    </row>
    <row r="47" spans="1:47" s="474" customFormat="1" ht="12.75" x14ac:dyDescent="0.2">
      <c r="A47" s="526">
        <v>10</v>
      </c>
      <c r="B47" s="523" t="s">
        <v>119</v>
      </c>
      <c r="C47" s="524">
        <f>C20/'SOTE laskennallinen rahoitus'!$C34</f>
        <v>441.98395122958078</v>
      </c>
      <c r="D47" s="524">
        <f>D20/'SOTE laskennallinen rahoitus'!$C34</f>
        <v>2059.7201801873625</v>
      </c>
      <c r="E47" s="524">
        <f>E20/'SOTE laskennallinen rahoitus'!$C34</f>
        <v>885.61685647598551</v>
      </c>
      <c r="F47" s="524">
        <f>F20/'SOTE laskennallinen rahoitus'!$C34</f>
        <v>800.60092747109718</v>
      </c>
      <c r="G47" s="524">
        <f>G20/'SOTE laskennallinen rahoitus'!$C34</f>
        <v>33.85084945108342</v>
      </c>
      <c r="H47" s="524">
        <f>H20/'SOTE laskennallinen rahoitus'!$C34</f>
        <v>0</v>
      </c>
      <c r="I47" s="524">
        <f>I20/'SOTE laskennallinen rahoitus'!$C34</f>
        <v>98.126181618698652</v>
      </c>
      <c r="J47" s="524">
        <f>J20/'SOTE laskennallinen rahoitus'!$C34</f>
        <v>30.170075956251711</v>
      </c>
      <c r="K47" s="524">
        <f>K20/'SOTE laskennallinen rahoitus'!$C34</f>
        <v>42.101176187712113</v>
      </c>
      <c r="L47" s="524">
        <f>L20/'SOTE laskennallinen rahoitus'!$C34</f>
        <v>0</v>
      </c>
      <c r="M47" s="524">
        <f>M20/'SOTE laskennallinen rahoitus'!$C34</f>
        <v>0</v>
      </c>
      <c r="N47" s="525">
        <f>N20/'SOTE laskennallinen rahoitus'!$C34</f>
        <v>4392.1701985777727</v>
      </c>
      <c r="O47" s="521">
        <f>SUM('Arvio hyten vaikutuksesta'!$C47:$M47)</f>
        <v>4392.1701985777727</v>
      </c>
    </row>
    <row r="48" spans="1:47" s="474" customFormat="1" ht="12.75" x14ac:dyDescent="0.2">
      <c r="A48" s="526">
        <v>11</v>
      </c>
      <c r="B48" s="523" t="s">
        <v>118</v>
      </c>
      <c r="C48" s="524">
        <f>C21/'SOTE laskennallinen rahoitus'!$C35</f>
        <v>441.98395122958078</v>
      </c>
      <c r="D48" s="524">
        <f>D21/'SOTE laskennallinen rahoitus'!$C35</f>
        <v>2055.6142637538806</v>
      </c>
      <c r="E48" s="524">
        <f>E21/'SOTE laskennallinen rahoitus'!$C35</f>
        <v>772.57960525359988</v>
      </c>
      <c r="F48" s="524">
        <f>F21/'SOTE laskennallinen rahoitus'!$C35</f>
        <v>791.08119319412674</v>
      </c>
      <c r="G48" s="524">
        <f>G21/'SOTE laskennallinen rahoitus'!$C35</f>
        <v>31.058040037958381</v>
      </c>
      <c r="H48" s="524">
        <f>H21/'SOTE laskennallinen rahoitus'!$C35</f>
        <v>0</v>
      </c>
      <c r="I48" s="524">
        <f>I21/'SOTE laskennallinen rahoitus'!$C35</f>
        <v>71.905648643701923</v>
      </c>
      <c r="J48" s="524">
        <f>J21/'SOTE laskennallinen rahoitus'!$C35</f>
        <v>0</v>
      </c>
      <c r="K48" s="524">
        <f>K21/'SOTE laskennallinen rahoitus'!$C35</f>
        <v>39.555388682726921</v>
      </c>
      <c r="L48" s="524">
        <f>L21/'SOTE laskennallinen rahoitus'!$C35</f>
        <v>0</v>
      </c>
      <c r="M48" s="524">
        <f>M21/'SOTE laskennallinen rahoitus'!$C35</f>
        <v>104.69523197788797</v>
      </c>
      <c r="N48" s="525">
        <f>N21/'SOTE laskennallinen rahoitus'!$C35</f>
        <v>4308.4733227734632</v>
      </c>
      <c r="O48" s="521">
        <f>SUM('Arvio hyten vaikutuksesta'!$C48:$M48)</f>
        <v>4308.4733227734632</v>
      </c>
    </row>
    <row r="49" spans="1:15" s="474" customFormat="1" ht="12.75" x14ac:dyDescent="0.2">
      <c r="A49" s="526">
        <v>12</v>
      </c>
      <c r="B49" s="523" t="s">
        <v>117</v>
      </c>
      <c r="C49" s="524">
        <f>C22/'SOTE laskennallinen rahoitus'!$C36</f>
        <v>441.98395122958078</v>
      </c>
      <c r="D49" s="524">
        <f>D22/'SOTE laskennallinen rahoitus'!$C36</f>
        <v>2147.6151471641883</v>
      </c>
      <c r="E49" s="524">
        <f>E22/'SOTE laskennallinen rahoitus'!$C36</f>
        <v>809.8512010359658</v>
      </c>
      <c r="F49" s="524">
        <f>F22/'SOTE laskennallinen rahoitus'!$C36</f>
        <v>832.64974921348266</v>
      </c>
      <c r="G49" s="524">
        <f>G22/'SOTE laskennallinen rahoitus'!$C36</f>
        <v>38.683274101273142</v>
      </c>
      <c r="H49" s="524">
        <f>H22/'SOTE laskennallinen rahoitus'!$C36</f>
        <v>0</v>
      </c>
      <c r="I49" s="524">
        <f>I22/'SOTE laskennallinen rahoitus'!$C36</f>
        <v>118.26451597319674</v>
      </c>
      <c r="J49" s="524">
        <f>J22/'SOTE laskennallinen rahoitus'!$C36</f>
        <v>0</v>
      </c>
      <c r="K49" s="524">
        <f>K22/'SOTE laskennallinen rahoitus'!$C36</f>
        <v>35.220859673462016</v>
      </c>
      <c r="L49" s="524">
        <f>L22/'SOTE laskennallinen rahoitus'!$C36</f>
        <v>0</v>
      </c>
      <c r="M49" s="524">
        <f>M22/'SOTE laskennallinen rahoitus'!$C36</f>
        <v>0</v>
      </c>
      <c r="N49" s="525">
        <f>N22/'SOTE laskennallinen rahoitus'!$C36</f>
        <v>4424.2686983911499</v>
      </c>
      <c r="O49" s="521">
        <f>SUM('Arvio hyten vaikutuksesta'!$C49:$M49)</f>
        <v>4424.268698391149</v>
      </c>
    </row>
    <row r="50" spans="1:15" s="474" customFormat="1" ht="12.75" x14ac:dyDescent="0.2">
      <c r="A50" s="526">
        <v>13</v>
      </c>
      <c r="B50" s="523" t="s">
        <v>116</v>
      </c>
      <c r="C50" s="524">
        <f>C23/'SOTE laskennallinen rahoitus'!$C37</f>
        <v>441.98395122958078</v>
      </c>
      <c r="D50" s="524">
        <f>D23/'SOTE laskennallinen rahoitus'!$C37</f>
        <v>1799.6670631802981</v>
      </c>
      <c r="E50" s="524">
        <f>E23/'SOTE laskennallinen rahoitus'!$C37</f>
        <v>626.38324728759164</v>
      </c>
      <c r="F50" s="524">
        <f>F23/'SOTE laskennallinen rahoitus'!$C37</f>
        <v>687.96269589299891</v>
      </c>
      <c r="G50" s="524">
        <f>G23/'SOTE laskennallinen rahoitus'!$C37</f>
        <v>34.799032756471156</v>
      </c>
      <c r="H50" s="524">
        <f>H23/'SOTE laskennallinen rahoitus'!$C37</f>
        <v>0</v>
      </c>
      <c r="I50" s="524">
        <f>I23/'SOTE laskennallinen rahoitus'!$C37</f>
        <v>60.566829465252773</v>
      </c>
      <c r="J50" s="524">
        <f>J23/'SOTE laskennallinen rahoitus'!$C37</f>
        <v>0</v>
      </c>
      <c r="K50" s="524">
        <f>K23/'SOTE laskennallinen rahoitus'!$C37</f>
        <v>37.661665383743333</v>
      </c>
      <c r="L50" s="524">
        <f>L23/'SOTE laskennallinen rahoitus'!$C37</f>
        <v>0</v>
      </c>
      <c r="M50" s="524">
        <f>M23/'SOTE laskennallinen rahoitus'!$C37</f>
        <v>0</v>
      </c>
      <c r="N50" s="525">
        <f>N23/'SOTE laskennallinen rahoitus'!$C37</f>
        <v>3689.0244851959369</v>
      </c>
      <c r="O50" s="521">
        <f>SUM('Arvio hyten vaikutuksesta'!$C50:$M50)</f>
        <v>3689.0244851959364</v>
      </c>
    </row>
    <row r="51" spans="1:15" s="474" customFormat="1" ht="12.75" x14ac:dyDescent="0.2">
      <c r="A51" s="526">
        <v>14</v>
      </c>
      <c r="B51" s="523" t="s">
        <v>132</v>
      </c>
      <c r="C51" s="524">
        <f>C24/'SOTE laskennallinen rahoitus'!$C38</f>
        <v>441.98395122958084</v>
      </c>
      <c r="D51" s="524">
        <f>D24/'SOTE laskennallinen rahoitus'!$C38</f>
        <v>1989.1633158327786</v>
      </c>
      <c r="E51" s="524">
        <f>E24/'SOTE laskennallinen rahoitus'!$C38</f>
        <v>790.72350472916924</v>
      </c>
      <c r="F51" s="524">
        <f>F24/'SOTE laskennallinen rahoitus'!$C38</f>
        <v>723.54335283705132</v>
      </c>
      <c r="G51" s="524">
        <f>G24/'SOTE laskennallinen rahoitus'!$C38</f>
        <v>23.111847014226861</v>
      </c>
      <c r="H51" s="524">
        <f>H24/'SOTE laskennallinen rahoitus'!$C38</f>
        <v>0</v>
      </c>
      <c r="I51" s="524">
        <f>I24/'SOTE laskennallinen rahoitus'!$C38</f>
        <v>73.909575333386016</v>
      </c>
      <c r="J51" s="524">
        <f>J24/'SOTE laskennallinen rahoitus'!$C38</f>
        <v>0</v>
      </c>
      <c r="K51" s="524">
        <f>K24/'SOTE laskennallinen rahoitus'!$C38</f>
        <v>42.916172142792647</v>
      </c>
      <c r="L51" s="524">
        <f>L24/'SOTE laskennallinen rahoitus'!$C38</f>
        <v>0</v>
      </c>
      <c r="M51" s="524">
        <f>M24/'SOTE laskennallinen rahoitus'!$C38</f>
        <v>0</v>
      </c>
      <c r="N51" s="525">
        <f>N24/'SOTE laskennallinen rahoitus'!$C38</f>
        <v>4085.3517191189853</v>
      </c>
      <c r="O51" s="521">
        <f>SUM('Arvio hyten vaikutuksesta'!$C51:$M51)</f>
        <v>4085.3517191189853</v>
      </c>
    </row>
    <row r="52" spans="1:15" s="474" customFormat="1" ht="12.75" x14ac:dyDescent="0.2">
      <c r="A52" s="526">
        <v>15</v>
      </c>
      <c r="B52" s="523" t="s">
        <v>114</v>
      </c>
      <c r="C52" s="524">
        <f>C25/'SOTE laskennallinen rahoitus'!$C39</f>
        <v>441.98395122958073</v>
      </c>
      <c r="D52" s="524">
        <f>D25/'SOTE laskennallinen rahoitus'!$C39</f>
        <v>1764.5053057379309</v>
      </c>
      <c r="E52" s="524">
        <f>E25/'SOTE laskennallinen rahoitus'!$C39</f>
        <v>610.10011231302246</v>
      </c>
      <c r="F52" s="524">
        <f>F25/'SOTE laskennallinen rahoitus'!$C39</f>
        <v>570.04171043553902</v>
      </c>
      <c r="G52" s="524">
        <f>G25/'SOTE laskennallinen rahoitus'!$C39</f>
        <v>71.957776314830426</v>
      </c>
      <c r="H52" s="524">
        <f>H25/'SOTE laskennallinen rahoitus'!$C39</f>
        <v>208.53436537687088</v>
      </c>
      <c r="I52" s="524">
        <f>I25/'SOTE laskennallinen rahoitus'!$C39</f>
        <v>43.328228681828818</v>
      </c>
      <c r="J52" s="524">
        <f>J25/'SOTE laskennallinen rahoitus'!$C39</f>
        <v>20.831476961121428</v>
      </c>
      <c r="K52" s="524">
        <f>K25/'SOTE laskennallinen rahoitus'!$C39</f>
        <v>41.446833493841623</v>
      </c>
      <c r="L52" s="524">
        <f>L25/'SOTE laskennallinen rahoitus'!$C39</f>
        <v>0</v>
      </c>
      <c r="M52" s="524">
        <f>M25/'SOTE laskennallinen rahoitus'!$C39</f>
        <v>0</v>
      </c>
      <c r="N52" s="525">
        <f>N25/'SOTE laskennallinen rahoitus'!$C39</f>
        <v>3772.7297605445669</v>
      </c>
      <c r="O52" s="521">
        <f>SUM('Arvio hyten vaikutuksesta'!$C52:$M52)</f>
        <v>3772.7297605445665</v>
      </c>
    </row>
    <row r="53" spans="1:15" s="474" customFormat="1" ht="12.75" x14ac:dyDescent="0.2">
      <c r="A53" s="526">
        <v>16</v>
      </c>
      <c r="B53" s="523" t="s">
        <v>113</v>
      </c>
      <c r="C53" s="524">
        <f>C26/'SOTE laskennallinen rahoitus'!$C40</f>
        <v>441.98395122958078</v>
      </c>
      <c r="D53" s="524">
        <f>D26/'SOTE laskennallinen rahoitus'!$C40</f>
        <v>2047.5500249652612</v>
      </c>
      <c r="E53" s="524">
        <f>E26/'SOTE laskennallinen rahoitus'!$C40</f>
        <v>747.97181871463943</v>
      </c>
      <c r="F53" s="524">
        <f>F26/'SOTE laskennallinen rahoitus'!$C40</f>
        <v>763.17630369953611</v>
      </c>
      <c r="G53" s="524">
        <f>G26/'SOTE laskennallinen rahoitus'!$C40</f>
        <v>30.353766352287995</v>
      </c>
      <c r="H53" s="524">
        <f>H26/'SOTE laskennallinen rahoitus'!$C40</f>
        <v>37.222340088957239</v>
      </c>
      <c r="I53" s="524">
        <f>I26/'SOTE laskennallinen rahoitus'!$C40</f>
        <v>75.995643368244885</v>
      </c>
      <c r="J53" s="524">
        <f>J26/'SOTE laskennallinen rahoitus'!$C40</f>
        <v>0</v>
      </c>
      <c r="K53" s="524">
        <f>K26/'SOTE laskennallinen rahoitus'!$C40</f>
        <v>27.375720100520745</v>
      </c>
      <c r="L53" s="524">
        <f>L26/'SOTE laskennallinen rahoitus'!$C40</f>
        <v>0</v>
      </c>
      <c r="M53" s="524">
        <f>M26/'SOTE laskennallinen rahoitus'!$C40</f>
        <v>0</v>
      </c>
      <c r="N53" s="525">
        <f>N26/'SOTE laskennallinen rahoitus'!$C40</f>
        <v>4171.629568519028</v>
      </c>
      <c r="O53" s="521">
        <f>SUM('Arvio hyten vaikutuksesta'!$C53:$M53)</f>
        <v>4171.6295685190289</v>
      </c>
    </row>
    <row r="54" spans="1:15" s="474" customFormat="1" ht="12.75" x14ac:dyDescent="0.2">
      <c r="A54" s="526">
        <v>17</v>
      </c>
      <c r="B54" s="523" t="s">
        <v>112</v>
      </c>
      <c r="C54" s="524">
        <f>C27/'SOTE laskennallinen rahoitus'!$C41</f>
        <v>441.98395122958078</v>
      </c>
      <c r="D54" s="524">
        <f>D27/'SOTE laskennallinen rahoitus'!$C41</f>
        <v>1795.2259896827793</v>
      </c>
      <c r="E54" s="524">
        <f>E27/'SOTE laskennallinen rahoitus'!$C41</f>
        <v>601.44398677405115</v>
      </c>
      <c r="F54" s="524">
        <f>F27/'SOTE laskennallinen rahoitus'!$C41</f>
        <v>764.70345254219683</v>
      </c>
      <c r="G54" s="524">
        <f>G27/'SOTE laskennallinen rahoitus'!$C41</f>
        <v>29.969822994996527</v>
      </c>
      <c r="H54" s="524">
        <f>H27/'SOTE laskennallinen rahoitus'!$C41</f>
        <v>0</v>
      </c>
      <c r="I54" s="524">
        <f>I27/'SOTE laskennallinen rahoitus'!$C41</f>
        <v>91.596506918726817</v>
      </c>
      <c r="J54" s="524">
        <f>J27/'SOTE laskennallinen rahoitus'!$C41</f>
        <v>1.5310867989208294</v>
      </c>
      <c r="K54" s="524">
        <f>K27/'SOTE laskennallinen rahoitus'!$C41</f>
        <v>34.672767511566335</v>
      </c>
      <c r="L54" s="524">
        <f>L27/'SOTE laskennallinen rahoitus'!$C41</f>
        <v>0</v>
      </c>
      <c r="M54" s="524">
        <f>M27/'SOTE laskennallinen rahoitus'!$C41</f>
        <v>104.69523197788797</v>
      </c>
      <c r="N54" s="525">
        <f>N27/'SOTE laskennallinen rahoitus'!$C41</f>
        <v>3865.8227964307066</v>
      </c>
      <c r="O54" s="521">
        <f>SUM('Arvio hyten vaikutuksesta'!$C54:$M54)</f>
        <v>3865.8227964307066</v>
      </c>
    </row>
    <row r="55" spans="1:15" s="474" customFormat="1" ht="12.75" x14ac:dyDescent="0.2">
      <c r="A55" s="526">
        <v>18</v>
      </c>
      <c r="B55" s="523" t="s">
        <v>111</v>
      </c>
      <c r="C55" s="524">
        <f>C28/'SOTE laskennallinen rahoitus'!$C42</f>
        <v>441.98395122958078</v>
      </c>
      <c r="D55" s="524">
        <f>D28/'SOTE laskennallinen rahoitus'!$C42</f>
        <v>2062.9946140685352</v>
      </c>
      <c r="E55" s="524">
        <f>E28/'SOTE laskennallinen rahoitus'!$C42</f>
        <v>850.07707849364931</v>
      </c>
      <c r="F55" s="524">
        <f>F28/'SOTE laskennallinen rahoitus'!$C42</f>
        <v>842.52366171727192</v>
      </c>
      <c r="G55" s="524">
        <f>G28/'SOTE laskennallinen rahoitus'!$C42</f>
        <v>30.116119170778102</v>
      </c>
      <c r="H55" s="524">
        <f>H28/'SOTE laskennallinen rahoitus'!$C42</f>
        <v>0</v>
      </c>
      <c r="I55" s="524">
        <f>I28/'SOTE laskennallinen rahoitus'!$C42</f>
        <v>290.07505681646745</v>
      </c>
      <c r="J55" s="524">
        <f>J28/'SOTE laskennallinen rahoitus'!$C42</f>
        <v>0</v>
      </c>
      <c r="K55" s="524">
        <f>K28/'SOTE laskennallinen rahoitus'!$C42</f>
        <v>35.786155840357395</v>
      </c>
      <c r="L55" s="524">
        <f>L28/'SOTE laskennallinen rahoitus'!$C42</f>
        <v>0</v>
      </c>
      <c r="M55" s="524">
        <f>M28/'SOTE laskennallinen rahoitus'!$C42</f>
        <v>0</v>
      </c>
      <c r="N55" s="525">
        <f>N28/'SOTE laskennallinen rahoitus'!$C42</f>
        <v>4553.556637336641</v>
      </c>
      <c r="O55" s="521">
        <f>SUM('Arvio hyten vaikutuksesta'!$C55:$M55)</f>
        <v>4553.5566373366401</v>
      </c>
    </row>
    <row r="56" spans="1:15" s="474" customFormat="1" ht="12.75" x14ac:dyDescent="0.2">
      <c r="A56" s="526">
        <v>19</v>
      </c>
      <c r="B56" s="523" t="s">
        <v>110</v>
      </c>
      <c r="C56" s="524">
        <f>C29/'SOTE laskennallinen rahoitus'!$C43</f>
        <v>441.98395122958084</v>
      </c>
      <c r="D56" s="524">
        <f>D29/'SOTE laskennallinen rahoitus'!$C43</f>
        <v>1976.2273951297473</v>
      </c>
      <c r="E56" s="524">
        <f>E29/'SOTE laskennallinen rahoitus'!$C43</f>
        <v>732.64920655912681</v>
      </c>
      <c r="F56" s="524">
        <f>F29/'SOTE laskennallinen rahoitus'!$C43</f>
        <v>859.74085901398939</v>
      </c>
      <c r="G56" s="524">
        <f>G29/'SOTE laskennallinen rahoitus'!$C43</f>
        <v>28.141269980783939</v>
      </c>
      <c r="H56" s="524">
        <f>H29/'SOTE laskennallinen rahoitus'!$C43</f>
        <v>0</v>
      </c>
      <c r="I56" s="524">
        <f>I29/'SOTE laskennallinen rahoitus'!$C43</f>
        <v>539.91516012790566</v>
      </c>
      <c r="J56" s="524">
        <f>J29/'SOTE laskennallinen rahoitus'!$C43</f>
        <v>0</v>
      </c>
      <c r="K56" s="524">
        <f>K29/'SOTE laskennallinen rahoitus'!$C43</f>
        <v>48.53712061163349</v>
      </c>
      <c r="L56" s="524">
        <f>L29/'SOTE laskennallinen rahoitus'!$C43</f>
        <v>15.267763960033069</v>
      </c>
      <c r="M56" s="524">
        <f>M29/'SOTE laskennallinen rahoitus'!$C43</f>
        <v>0</v>
      </c>
      <c r="N56" s="525">
        <f>N29/'SOTE laskennallinen rahoitus'!$C43</f>
        <v>4642.4627266128009</v>
      </c>
      <c r="O56" s="521">
        <f>SUM('Arvio hyten vaikutuksesta'!$C56:$M56)</f>
        <v>4642.4627266128009</v>
      </c>
    </row>
    <row r="57" spans="1:15" s="474" customFormat="1" ht="12.75" x14ac:dyDescent="0.2">
      <c r="A57" s="527"/>
      <c r="B57" s="518" t="s">
        <v>109</v>
      </c>
      <c r="C57" s="525">
        <f>C30/'SOTE laskennallinen rahoitus'!$C44</f>
        <v>441.98395122958073</v>
      </c>
      <c r="D57" s="525">
        <f>D30/'SOTE laskennallinen rahoitus'!$C44</f>
        <v>1807.3309889344741</v>
      </c>
      <c r="E57" s="525">
        <f>E30/'SOTE laskennallinen rahoitus'!$C44</f>
        <v>606.30845958419172</v>
      </c>
      <c r="F57" s="525">
        <f>F30/'SOTE laskennallinen rahoitus'!$C44</f>
        <v>656.95018195296188</v>
      </c>
      <c r="G57" s="525">
        <f>G30/'SOTE laskennallinen rahoitus'!$C44</f>
        <v>75.398149305626191</v>
      </c>
      <c r="H57" s="525">
        <f>H30/'SOTE laskennallinen rahoitus'!$C44</f>
        <v>18.849537326406555</v>
      </c>
      <c r="I57" s="525">
        <f>I30/'SOTE laskennallinen rahoitus'!$C44</f>
        <v>56.548611979219643</v>
      </c>
      <c r="J57" s="525">
        <f>J30/'SOTE laskennallinen rahoitus'!$C44</f>
        <v>4.2599954357678804</v>
      </c>
      <c r="K57" s="525">
        <f>K30/'SOTE laskennallinen rahoitus'!$C44</f>
        <v>37.699074652813088</v>
      </c>
      <c r="L57" s="525">
        <f>L30/'SOTE laskennallinen rahoitus'!$C44</f>
        <v>0.49008797048643266</v>
      </c>
      <c r="M57" s="525">
        <f>M30/'SOTE laskennallinen rahoitus'!$C44</f>
        <v>64.088426909782271</v>
      </c>
      <c r="N57" s="525">
        <f>N30/'SOTE laskennallinen rahoitus'!$C44</f>
        <v>3769.9074652813106</v>
      </c>
      <c r="O57" s="528">
        <f>SUM('Arvio hyten vaikutuksesta'!$C57:$M57)</f>
        <v>3769.9074652813106</v>
      </c>
    </row>
    <row r="58" spans="1:15" s="474" customFormat="1" ht="12.75" x14ac:dyDescent="0.2">
      <c r="A58" s="526"/>
      <c r="B58" s="523" t="s">
        <v>522</v>
      </c>
      <c r="C58" s="529">
        <f t="shared" ref="C58:N58" si="2">C57/$O$57</f>
        <v>0.11723999999999997</v>
      </c>
      <c r="D58" s="529">
        <f t="shared" si="2"/>
        <v>0.47940990742583411</v>
      </c>
      <c r="E58" s="529">
        <f t="shared" si="2"/>
        <v>0.16082847262643593</v>
      </c>
      <c r="F58" s="529">
        <f t="shared" si="2"/>
        <v>0.17426161994773001</v>
      </c>
      <c r="G58" s="529">
        <f t="shared" si="2"/>
        <v>1.9999999999999993E-2</v>
      </c>
      <c r="H58" s="529">
        <f t="shared" si="2"/>
        <v>5.0000000000000001E-3</v>
      </c>
      <c r="I58" s="529">
        <f t="shared" si="2"/>
        <v>1.4999999999999996E-2</v>
      </c>
      <c r="J58" s="529">
        <f t="shared" si="2"/>
        <v>1.1299999999999999E-3</v>
      </c>
      <c r="K58" s="529">
        <f t="shared" si="2"/>
        <v>9.999999999999995E-3</v>
      </c>
      <c r="L58" s="529">
        <f t="shared" si="2"/>
        <v>1.2999999999996348E-4</v>
      </c>
      <c r="M58" s="529">
        <f t="shared" si="2"/>
        <v>1.6999999999999998E-2</v>
      </c>
      <c r="N58" s="529">
        <f t="shared" si="2"/>
        <v>1</v>
      </c>
      <c r="O58" s="530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E305"/>
  <sheetViews>
    <sheetView zoomScale="70" zoomScaleNormal="70" workbookViewId="0"/>
  </sheetViews>
  <sheetFormatPr defaultColWidth="8.375" defaultRowHeight="15.75" x14ac:dyDescent="0.25"/>
  <cols>
    <col min="1" max="1" width="18.875" style="7" customWidth="1"/>
    <col min="2" max="2" width="20.125" style="7" customWidth="1"/>
    <col min="3" max="3" width="20" style="7" customWidth="1"/>
    <col min="4" max="5" width="25.5" style="7" customWidth="1"/>
    <col min="6" max="6" width="24.875" style="7" customWidth="1"/>
    <col min="7" max="7" width="39.125" style="7" customWidth="1"/>
    <col min="8" max="8" width="32.125" style="7" customWidth="1"/>
    <col min="9" max="9" width="8.375" style="7"/>
    <col min="10" max="10" width="20" style="9" customWidth="1"/>
    <col min="11" max="11" width="23.875" style="7" customWidth="1"/>
    <col min="12" max="12" width="35.375" style="7" customWidth="1"/>
    <col min="13" max="13" width="12.125" style="7" customWidth="1"/>
    <col min="14" max="14" width="15.5" style="7" customWidth="1"/>
    <col min="15" max="15" width="12.125" style="7" customWidth="1"/>
    <col min="16" max="24" width="8.375" style="9"/>
    <col min="25" max="25" width="10.875" style="7" customWidth="1"/>
    <col min="26" max="26" width="12.125" style="7" bestFit="1" customWidth="1"/>
    <col min="27" max="27" width="18.875" style="7" customWidth="1"/>
    <col min="28" max="31" width="14.875" style="7" customWidth="1"/>
    <col min="32" max="16384" width="8.375" style="7"/>
  </cols>
  <sheetData>
    <row r="1" spans="1:31" ht="23.25" x14ac:dyDescent="0.35">
      <c r="A1" s="440" t="s">
        <v>133</v>
      </c>
      <c r="B1" s="8"/>
      <c r="C1" s="8"/>
    </row>
    <row r="2" spans="1:31" x14ac:dyDescent="0.25">
      <c r="A2" s="8" t="str">
        <f>INFO!A2</f>
        <v>VM/KAO 13.4.2021</v>
      </c>
      <c r="B2" s="8"/>
      <c r="C2" s="8"/>
    </row>
    <row r="3" spans="1:31" x14ac:dyDescent="0.25">
      <c r="A3" s="10" t="s">
        <v>476</v>
      </c>
      <c r="B3" s="8"/>
      <c r="C3" s="8"/>
    </row>
    <row r="4" spans="1:31" x14ac:dyDescent="0.25">
      <c r="A4" s="7" t="s">
        <v>666</v>
      </c>
      <c r="B4" s="8"/>
      <c r="C4" s="8"/>
    </row>
    <row r="5" spans="1:31" x14ac:dyDescent="0.25">
      <c r="A5" s="7" t="s">
        <v>667</v>
      </c>
      <c r="L5" s="13"/>
      <c r="M5" s="14"/>
      <c r="N5" s="13"/>
    </row>
    <row r="6" spans="1:31" x14ac:dyDescent="0.25">
      <c r="A6" s="433" t="s">
        <v>668</v>
      </c>
      <c r="B6" s="15"/>
      <c r="C6" s="15"/>
      <c r="D6" s="16"/>
      <c r="E6" s="16"/>
      <c r="F6" s="16"/>
      <c r="G6" s="17"/>
      <c r="H6" s="17"/>
    </row>
    <row r="7" spans="1:31" x14ac:dyDescent="0.25">
      <c r="A7" s="433" t="s">
        <v>672</v>
      </c>
      <c r="C7" s="11"/>
    </row>
    <row r="8" spans="1:31" x14ac:dyDescent="0.25">
      <c r="A8" s="19" t="s">
        <v>478</v>
      </c>
      <c r="B8" s="15"/>
      <c r="C8" s="15"/>
      <c r="D8" s="16"/>
      <c r="E8" s="16"/>
      <c r="F8" s="16"/>
      <c r="G8" s="17"/>
      <c r="H8" s="17"/>
      <c r="L8" s="18"/>
      <c r="M8" s="18"/>
      <c r="N8" s="18"/>
    </row>
    <row r="9" spans="1:31" x14ac:dyDescent="0.25">
      <c r="B9" s="15"/>
      <c r="C9" s="15"/>
      <c r="D9" s="16"/>
      <c r="E9" s="16"/>
      <c r="F9" s="16"/>
      <c r="G9" s="17"/>
      <c r="H9" s="17"/>
      <c r="M9" s="387"/>
      <c r="N9" s="387"/>
    </row>
    <row r="10" spans="1:31" x14ac:dyDescent="0.25">
      <c r="A10" s="20" t="s">
        <v>484</v>
      </c>
      <c r="B10" s="21"/>
      <c r="C10" s="22"/>
      <c r="D10" s="23"/>
      <c r="E10" s="23"/>
      <c r="F10" s="23"/>
      <c r="G10" s="23"/>
      <c r="H10" s="23"/>
      <c r="J10" s="20" t="s">
        <v>477</v>
      </c>
      <c r="K10" s="24"/>
      <c r="L10" s="24"/>
      <c r="M10" s="18"/>
      <c r="N10" s="18"/>
    </row>
    <row r="11" spans="1:31" ht="31.5" x14ac:dyDescent="0.25">
      <c r="A11" s="389" t="s">
        <v>475</v>
      </c>
      <c r="B11" s="390" t="s">
        <v>449</v>
      </c>
      <c r="C11" s="390" t="s">
        <v>469</v>
      </c>
      <c r="D11" s="391" t="s">
        <v>670</v>
      </c>
      <c r="E11" s="391" t="s">
        <v>671</v>
      </c>
      <c r="F11" s="391" t="s">
        <v>620</v>
      </c>
      <c r="G11" s="391" t="s">
        <v>621</v>
      </c>
      <c r="H11" s="391" t="s">
        <v>669</v>
      </c>
      <c r="J11" s="20"/>
      <c r="K11" s="24"/>
      <c r="L11" s="24"/>
      <c r="M11" s="25"/>
      <c r="N11" s="13"/>
      <c r="Y11" s="26"/>
      <c r="AC11" s="27"/>
      <c r="AD11" s="27"/>
      <c r="AE11" s="27"/>
    </row>
    <row r="12" spans="1:31" x14ac:dyDescent="0.25">
      <c r="C12" s="7" t="s">
        <v>625</v>
      </c>
      <c r="D12" s="89">
        <f>SUM(D13:D305)</f>
        <v>-20056211</v>
      </c>
      <c r="E12" s="89">
        <f>SUM(E13:E305)</f>
        <v>-20748304</v>
      </c>
      <c r="F12" s="89">
        <f>SUM(F13:F305)</f>
        <v>-20402257.5</v>
      </c>
      <c r="G12" s="7">
        <f>F12/F$12</f>
        <v>1</v>
      </c>
      <c r="H12" s="89">
        <f>G12*E$12</f>
        <v>-20748304</v>
      </c>
      <c r="J12" s="391" t="s">
        <v>469</v>
      </c>
      <c r="K12" s="391" t="s">
        <v>134</v>
      </c>
      <c r="L12" s="391" t="s">
        <v>638</v>
      </c>
      <c r="M12" s="25"/>
      <c r="N12" s="13"/>
      <c r="Y12" s="26"/>
      <c r="AC12" s="27"/>
      <c r="AD12" s="27"/>
      <c r="AE12" s="27"/>
    </row>
    <row r="13" spans="1:31" x14ac:dyDescent="0.25">
      <c r="A13" s="399">
        <v>5</v>
      </c>
      <c r="B13" s="399" t="s">
        <v>426</v>
      </c>
      <c r="C13" s="399">
        <v>14</v>
      </c>
      <c r="D13" s="89">
        <v>-38837</v>
      </c>
      <c r="E13" s="89">
        <v>-37152</v>
      </c>
      <c r="F13" s="89">
        <f>(D13+E13)/2</f>
        <v>-37994.5</v>
      </c>
      <c r="G13" s="400">
        <f>F13/F$12</f>
        <v>1.8622694081770119E-3</v>
      </c>
      <c r="H13" s="89">
        <f>G13*E$12</f>
        <v>-38638.931810756731</v>
      </c>
      <c r="J13" s="394"/>
      <c r="K13" s="41" t="s">
        <v>109</v>
      </c>
      <c r="L13" s="393">
        <f>SUM(L14:L35)</f>
        <v>20748303999.999996</v>
      </c>
      <c r="M13" s="25"/>
      <c r="N13" s="42"/>
      <c r="Y13" s="26"/>
      <c r="AC13" s="27"/>
      <c r="AD13" s="27"/>
      <c r="AE13" s="27"/>
    </row>
    <row r="14" spans="1:31" x14ac:dyDescent="0.25">
      <c r="A14" s="399">
        <v>9</v>
      </c>
      <c r="B14" s="399" t="s">
        <v>425</v>
      </c>
      <c r="C14" s="399">
        <v>17</v>
      </c>
      <c r="D14" s="89">
        <v>-10404</v>
      </c>
      <c r="E14" s="89">
        <v>-10825</v>
      </c>
      <c r="F14" s="89">
        <f t="shared" ref="F14:F77" si="0">(D14+E14)/2</f>
        <v>-10614.5</v>
      </c>
      <c r="G14" s="400">
        <f>F14/F$12</f>
        <v>5.2026105444458778E-4</v>
      </c>
      <c r="H14" s="89">
        <f>G14*E$12</f>
        <v>-10794.534516976859</v>
      </c>
      <c r="J14" s="395">
        <v>31</v>
      </c>
      <c r="K14" s="34" t="s">
        <v>131</v>
      </c>
      <c r="L14" s="36">
        <f>SUMIF($C$13:$C$305,Taulukko15[[#This Row],[Hyvinvointialuekoodi]],$H$13:$H$305)*(-1000)</f>
        <v>2421888489.9689164</v>
      </c>
      <c r="M14" s="25"/>
      <c r="N14" s="42"/>
      <c r="O14" s="36"/>
      <c r="Y14" s="26"/>
      <c r="AC14" s="27"/>
      <c r="AD14" s="27"/>
      <c r="AE14" s="27"/>
    </row>
    <row r="15" spans="1:31" x14ac:dyDescent="0.25">
      <c r="A15" s="399">
        <v>10</v>
      </c>
      <c r="B15" s="399" t="s">
        <v>424</v>
      </c>
      <c r="C15" s="399">
        <v>14</v>
      </c>
      <c r="D15" s="89">
        <v>-50038</v>
      </c>
      <c r="E15" s="89">
        <v>-49136</v>
      </c>
      <c r="F15" s="89">
        <f t="shared" si="0"/>
        <v>-49587</v>
      </c>
      <c r="G15" s="400">
        <f>F15/F$12</f>
        <v>2.4304663344240215E-3</v>
      </c>
      <c r="H15" s="89">
        <f>G15*E$12</f>
        <v>-50428.054368395264</v>
      </c>
      <c r="J15" s="395">
        <v>32</v>
      </c>
      <c r="K15" s="34" t="s">
        <v>130</v>
      </c>
      <c r="L15" s="36">
        <f>SUMIF($C$13:$C$305,Taulukko15[[#This Row],[Hyvinvointialuekoodi]],$H$13:$H$305)*(-1000)</f>
        <v>879510238.2084924</v>
      </c>
      <c r="N15" s="36"/>
      <c r="O15" s="36"/>
    </row>
    <row r="16" spans="1:31" x14ac:dyDescent="0.25">
      <c r="A16" s="399">
        <v>16</v>
      </c>
      <c r="B16" s="399" t="s">
        <v>423</v>
      </c>
      <c r="C16" s="399">
        <v>7</v>
      </c>
      <c r="D16" s="89">
        <v>-28000</v>
      </c>
      <c r="E16" s="89">
        <v>-29500</v>
      </c>
      <c r="F16" s="89">
        <f t="shared" si="0"/>
        <v>-28750</v>
      </c>
      <c r="G16" s="400">
        <f>F16/F$12</f>
        <v>1.4091577856028923E-3</v>
      </c>
      <c r="H16" s="89">
        <f>G16*E$12</f>
        <v>-29237.634119655631</v>
      </c>
      <c r="J16" s="395">
        <v>33</v>
      </c>
      <c r="K16" s="34" t="s">
        <v>129</v>
      </c>
      <c r="L16" s="36">
        <f>SUMIF($C$13:$C$305,Taulukko15[[#This Row],[Hyvinvointialuekoodi]],$H$13:$H$305)*(-1000)</f>
        <v>1504758315.0588114</v>
      </c>
      <c r="N16" s="36"/>
      <c r="O16" s="36"/>
    </row>
    <row r="17" spans="1:15" x14ac:dyDescent="0.25">
      <c r="A17" s="399">
        <v>18</v>
      </c>
      <c r="B17" s="399" t="s">
        <v>422</v>
      </c>
      <c r="C17" s="399">
        <v>34</v>
      </c>
      <c r="D17" s="89">
        <v>-16006</v>
      </c>
      <c r="E17" s="89">
        <v>-16604</v>
      </c>
      <c r="F17" s="89">
        <f t="shared" si="0"/>
        <v>-16305</v>
      </c>
      <c r="G17" s="400">
        <f>F17/F$12</f>
        <v>7.9917626762626638E-4</v>
      </c>
      <c r="H17" s="89">
        <f>G17*E$12</f>
        <v>-16581.552150295134</v>
      </c>
      <c r="J17" s="395">
        <v>34</v>
      </c>
      <c r="K17" s="34" t="s">
        <v>128</v>
      </c>
      <c r="L17" s="36">
        <f>SUMIF($C$13:$C$305,Taulukko15[[#This Row],[Hyvinvointialuekoodi]],$H$13:$H$305)*(-1000)</f>
        <v>326749629.30940366</v>
      </c>
      <c r="N17" s="36"/>
      <c r="O17" s="36"/>
    </row>
    <row r="18" spans="1:15" x14ac:dyDescent="0.25">
      <c r="A18" s="399">
        <v>19</v>
      </c>
      <c r="B18" s="399" t="s">
        <v>421</v>
      </c>
      <c r="C18" s="399">
        <v>2</v>
      </c>
      <c r="D18" s="89">
        <v>-12236</v>
      </c>
      <c r="E18" s="89">
        <v>-12708</v>
      </c>
      <c r="F18" s="89">
        <f t="shared" si="0"/>
        <v>-12472</v>
      </c>
      <c r="G18" s="400">
        <f>F18/F$12</f>
        <v>6.1130490094049637E-4</v>
      </c>
      <c r="H18" s="89">
        <f>G18*E$12</f>
        <v>-12683.539921403304</v>
      </c>
      <c r="J18" s="395">
        <v>35</v>
      </c>
      <c r="K18" s="34" t="s">
        <v>127</v>
      </c>
      <c r="L18" s="36">
        <f>SUMIF($C$13:$C$305,Taulukko15[[#This Row],[Hyvinvointialuekoodi]],$H$13:$H$305)*(-1000)</f>
        <v>683041981.0944941</v>
      </c>
      <c r="N18" s="36"/>
      <c r="O18" s="36"/>
    </row>
    <row r="19" spans="1:15" x14ac:dyDescent="0.25">
      <c r="A19" s="399">
        <v>20</v>
      </c>
      <c r="B19" s="399" t="s">
        <v>420</v>
      </c>
      <c r="C19" s="399">
        <v>6</v>
      </c>
      <c r="D19" s="89">
        <v>-60063</v>
      </c>
      <c r="E19" s="89">
        <v>-61383</v>
      </c>
      <c r="F19" s="89">
        <f t="shared" si="0"/>
        <v>-60723</v>
      </c>
      <c r="G19" s="400">
        <f>F19/F$12</f>
        <v>2.9762882857448498E-3</v>
      </c>
      <c r="H19" s="89">
        <f>G19*E$12</f>
        <v>-61752.934144273007</v>
      </c>
      <c r="J19" s="396">
        <v>2</v>
      </c>
      <c r="K19" s="37" t="s">
        <v>126</v>
      </c>
      <c r="L19" s="36">
        <f>SUMIF($C$13:$C$305,Taulukko15[[#This Row],[Hyvinvointialuekoodi]],$H$13:$H$305)*(-1000)</f>
        <v>1769494159.6795354</v>
      </c>
      <c r="N19" s="36"/>
      <c r="O19" s="36"/>
    </row>
    <row r="20" spans="1:15" x14ac:dyDescent="0.25">
      <c r="A20" s="399">
        <v>46</v>
      </c>
      <c r="B20" s="399" t="s">
        <v>419</v>
      </c>
      <c r="C20" s="399">
        <v>10</v>
      </c>
      <c r="D20" s="89">
        <v>-6481</v>
      </c>
      <c r="E20" s="89">
        <v>-6557</v>
      </c>
      <c r="F20" s="89">
        <f t="shared" si="0"/>
        <v>-6519</v>
      </c>
      <c r="G20" s="400">
        <f>F20/F$12</f>
        <v>3.1952346449896538E-4</v>
      </c>
      <c r="H20" s="89">
        <f>G20*E$12</f>
        <v>-6629.569976557741</v>
      </c>
      <c r="J20" s="396">
        <v>4</v>
      </c>
      <c r="K20" s="37" t="s">
        <v>125</v>
      </c>
      <c r="L20" s="36">
        <f>SUMIF($C$13:$C$305,Taulukko15[[#This Row],[Hyvinvointialuekoodi]],$H$13:$H$305)*(-1000)</f>
        <v>865467529.66096997</v>
      </c>
      <c r="N20" s="36"/>
      <c r="O20" s="36"/>
    </row>
    <row r="21" spans="1:15" x14ac:dyDescent="0.25">
      <c r="A21" s="399">
        <v>47</v>
      </c>
      <c r="B21" s="399" t="s">
        <v>418</v>
      </c>
      <c r="C21" s="399">
        <v>19</v>
      </c>
      <c r="D21" s="89">
        <v>-9005</v>
      </c>
      <c r="E21" s="89">
        <v>-9049</v>
      </c>
      <c r="F21" s="89">
        <f t="shared" si="0"/>
        <v>-9027</v>
      </c>
      <c r="G21" s="400">
        <f>F21/F$12</f>
        <v>4.4245103758738466E-4</v>
      </c>
      <c r="H21" s="89">
        <f>G21*E$12</f>
        <v>-9180.108632978483</v>
      </c>
      <c r="J21" s="396">
        <v>5</v>
      </c>
      <c r="K21" s="37" t="s">
        <v>124</v>
      </c>
      <c r="L21" s="36">
        <f>SUMIF($C$13:$C$305,Taulukko15[[#This Row],[Hyvinvointialuekoodi]],$H$13:$H$305)*(-1000)</f>
        <v>645229330.24798846</v>
      </c>
      <c r="N21" s="36"/>
      <c r="O21" s="36"/>
    </row>
    <row r="22" spans="1:15" x14ac:dyDescent="0.25">
      <c r="A22" s="399">
        <v>49</v>
      </c>
      <c r="B22" s="399" t="s">
        <v>417</v>
      </c>
      <c r="C22" s="399">
        <v>33</v>
      </c>
      <c r="D22" s="89">
        <v>-815973</v>
      </c>
      <c r="E22" s="89">
        <v>-859570</v>
      </c>
      <c r="F22" s="89">
        <f t="shared" si="0"/>
        <v>-837771.5</v>
      </c>
      <c r="G22" s="400">
        <f>F22/F$12</f>
        <v>4.1062686322824817E-2</v>
      </c>
      <c r="H22" s="89">
        <f>G22*E$12</f>
        <v>-851981.09888261138</v>
      </c>
      <c r="J22" s="396">
        <v>6</v>
      </c>
      <c r="K22" s="37" t="s">
        <v>123</v>
      </c>
      <c r="L22" s="36">
        <f>SUMIF($C$13:$C$305,Taulukko15[[#This Row],[Hyvinvointialuekoodi]],$H$13:$H$305)*(-1000)</f>
        <v>1914683165.9118116</v>
      </c>
      <c r="N22" s="36"/>
      <c r="O22" s="36"/>
    </row>
    <row r="23" spans="1:15" x14ac:dyDescent="0.25">
      <c r="A23" s="399">
        <v>50</v>
      </c>
      <c r="B23" s="399" t="s">
        <v>416</v>
      </c>
      <c r="C23" s="399">
        <v>4</v>
      </c>
      <c r="D23" s="89">
        <v>-42374</v>
      </c>
      <c r="E23" s="89">
        <v>-45741</v>
      </c>
      <c r="F23" s="89">
        <f t="shared" si="0"/>
        <v>-44057.5</v>
      </c>
      <c r="G23" s="400">
        <f>F23/F$12</f>
        <v>2.1594424048417193E-3</v>
      </c>
      <c r="H23" s="89">
        <f>G23*E$12</f>
        <v>-44804.767486147066</v>
      </c>
      <c r="J23" s="396">
        <v>7</v>
      </c>
      <c r="K23" s="37" t="s">
        <v>122</v>
      </c>
      <c r="L23" s="36">
        <f>SUMIF($C$13:$C$305,Taulukko15[[#This Row],[Hyvinvointialuekoodi]],$H$13:$H$305)*(-1000)</f>
        <v>766866532.35584331</v>
      </c>
      <c r="N23" s="36"/>
      <c r="O23" s="36"/>
    </row>
    <row r="24" spans="1:15" x14ac:dyDescent="0.25">
      <c r="A24" s="399">
        <v>51</v>
      </c>
      <c r="B24" s="399" t="s">
        <v>415</v>
      </c>
      <c r="C24" s="399">
        <v>4</v>
      </c>
      <c r="D24" s="89">
        <v>-38036</v>
      </c>
      <c r="E24" s="89">
        <v>-40451</v>
      </c>
      <c r="F24" s="89">
        <f t="shared" si="0"/>
        <v>-39243.5</v>
      </c>
      <c r="G24" s="400">
        <f>F24/F$12</f>
        <v>1.9234881238019861E-3</v>
      </c>
      <c r="H24" s="89">
        <f>G24*E$12</f>
        <v>-39909.116333033242</v>
      </c>
      <c r="J24" s="396">
        <v>8</v>
      </c>
      <c r="K24" s="37" t="s">
        <v>121</v>
      </c>
      <c r="L24" s="36">
        <f>SUMIF($C$13:$C$305,Taulukko15[[#This Row],[Hyvinvointialuekoodi]],$H$13:$H$305)*(-1000)</f>
        <v>704164264.9437201</v>
      </c>
      <c r="N24" s="36"/>
      <c r="O24" s="36"/>
    </row>
    <row r="25" spans="1:15" x14ac:dyDescent="0.25">
      <c r="A25" s="399">
        <v>52</v>
      </c>
      <c r="B25" s="399" t="s">
        <v>414</v>
      </c>
      <c r="C25" s="399">
        <v>14</v>
      </c>
      <c r="D25" s="89">
        <v>-10071</v>
      </c>
      <c r="E25" s="89">
        <v>-10317</v>
      </c>
      <c r="F25" s="89">
        <f t="shared" si="0"/>
        <v>-10194</v>
      </c>
      <c r="G25" s="400">
        <f>F25/F$12</f>
        <v>4.9965059013690031E-4</v>
      </c>
      <c r="H25" s="89">
        <f>G25*E$12</f>
        <v>-10366.90233793981</v>
      </c>
      <c r="J25" s="396">
        <v>9</v>
      </c>
      <c r="K25" s="37" t="s">
        <v>120</v>
      </c>
      <c r="L25" s="36">
        <f>SUMIF($C$13:$C$305,Taulukko15[[#This Row],[Hyvinvointialuekoodi]],$H$13:$H$305)*(-1000)</f>
        <v>505398692.508807</v>
      </c>
      <c r="N25" s="36"/>
      <c r="O25" s="36"/>
    </row>
    <row r="26" spans="1:15" x14ac:dyDescent="0.25">
      <c r="A26" s="399">
        <v>61</v>
      </c>
      <c r="B26" s="399" t="s">
        <v>413</v>
      </c>
      <c r="C26" s="399">
        <v>5</v>
      </c>
      <c r="D26" s="89">
        <v>-68996</v>
      </c>
      <c r="E26" s="89">
        <v>-71614</v>
      </c>
      <c r="F26" s="89">
        <f t="shared" si="0"/>
        <v>-70305</v>
      </c>
      <c r="G26" s="400">
        <f>F26/F$12</f>
        <v>3.4459421953673508E-3</v>
      </c>
      <c r="H26" s="89">
        <f>G26*E$12</f>
        <v>-71497.45623590918</v>
      </c>
      <c r="J26" s="396">
        <v>10</v>
      </c>
      <c r="K26" s="37" t="s">
        <v>119</v>
      </c>
      <c r="L26" s="36">
        <f>SUMIF($C$13:$C$305,Taulukko15[[#This Row],[Hyvinvointialuekoodi]],$H$13:$H$305)*(-1000)</f>
        <v>623852297.62147641</v>
      </c>
      <c r="N26" s="36"/>
      <c r="O26" s="36"/>
    </row>
    <row r="27" spans="1:15" x14ac:dyDescent="0.25">
      <c r="A27" s="399">
        <v>69</v>
      </c>
      <c r="B27" s="399" t="s">
        <v>412</v>
      </c>
      <c r="C27" s="399">
        <v>17</v>
      </c>
      <c r="D27" s="89">
        <v>-31882</v>
      </c>
      <c r="E27" s="89">
        <v>-31163</v>
      </c>
      <c r="F27" s="89">
        <f t="shared" si="0"/>
        <v>-31522.5</v>
      </c>
      <c r="G27" s="400">
        <f>F27/F$12</f>
        <v>1.5450496103188581E-3</v>
      </c>
      <c r="H27" s="89">
        <f>G27*E$12</f>
        <v>-32057.159009977204</v>
      </c>
      <c r="J27" s="396">
        <v>11</v>
      </c>
      <c r="K27" s="37" t="s">
        <v>118</v>
      </c>
      <c r="L27" s="36">
        <f>SUMIF($C$13:$C$305,Taulukko15[[#This Row],[Hyvinvointialuekoodi]],$H$13:$H$305)*(-1000)</f>
        <v>1070937927.200262</v>
      </c>
      <c r="N27" s="36"/>
      <c r="O27" s="36"/>
    </row>
    <row r="28" spans="1:15" x14ac:dyDescent="0.25">
      <c r="A28" s="399">
        <v>71</v>
      </c>
      <c r="B28" s="399" t="s">
        <v>411</v>
      </c>
      <c r="C28" s="399">
        <v>17</v>
      </c>
      <c r="D28" s="89">
        <v>-28234</v>
      </c>
      <c r="E28" s="89">
        <v>-29087</v>
      </c>
      <c r="F28" s="89">
        <f t="shared" si="0"/>
        <v>-28660.5</v>
      </c>
      <c r="G28" s="400">
        <f>F28/F$12</f>
        <v>1.4047710161485807E-3</v>
      </c>
      <c r="H28" s="89">
        <f>G28*E$12</f>
        <v>-29146.616093439661</v>
      </c>
      <c r="J28" s="396">
        <v>12</v>
      </c>
      <c r="K28" s="37" t="s">
        <v>117</v>
      </c>
      <c r="L28" s="36">
        <f>SUMIF($C$13:$C$305,Taulukko15[[#This Row],[Hyvinvointialuekoodi]],$H$13:$H$305)*(-1000)</f>
        <v>648873610.66078115</v>
      </c>
      <c r="N28" s="36"/>
      <c r="O28" s="36"/>
    </row>
    <row r="29" spans="1:15" x14ac:dyDescent="0.25">
      <c r="A29" s="399">
        <v>72</v>
      </c>
      <c r="B29" s="399" t="s">
        <v>410</v>
      </c>
      <c r="C29" s="399">
        <v>17</v>
      </c>
      <c r="D29" s="89">
        <v>-4452</v>
      </c>
      <c r="E29" s="89">
        <v>-4528</v>
      </c>
      <c r="F29" s="89">
        <f t="shared" si="0"/>
        <v>-4490</v>
      </c>
      <c r="G29" s="400">
        <f>F29/F$12</f>
        <v>2.2007368547328647E-4</v>
      </c>
      <c r="H29" s="89">
        <f>G29*E$12</f>
        <v>-4566.1557286001316</v>
      </c>
      <c r="J29" s="396">
        <v>13</v>
      </c>
      <c r="K29" s="37" t="s">
        <v>116</v>
      </c>
      <c r="L29" s="36">
        <f>SUMIF($C$13:$C$305,Taulukko15[[#This Row],[Hyvinvointialuekoodi]],$H$13:$H$305)*(-1000)</f>
        <v>999892510.21187246</v>
      </c>
      <c r="N29" s="36"/>
      <c r="O29" s="36"/>
    </row>
    <row r="30" spans="1:15" x14ac:dyDescent="0.25">
      <c r="A30" s="399">
        <v>74</v>
      </c>
      <c r="B30" s="399" t="s">
        <v>409</v>
      </c>
      <c r="C30" s="399">
        <v>16</v>
      </c>
      <c r="D30" s="89">
        <v>-4932</v>
      </c>
      <c r="E30" s="89">
        <v>-5294</v>
      </c>
      <c r="F30" s="89">
        <f t="shared" si="0"/>
        <v>-5113</v>
      </c>
      <c r="G30" s="400">
        <f>F30/F$12</f>
        <v>2.5060952201000304E-4</v>
      </c>
      <c r="H30" s="89">
        <f>G30*E$12</f>
        <v>-5199.7225479582339</v>
      </c>
      <c r="J30" s="396">
        <v>14</v>
      </c>
      <c r="K30" s="37" t="s">
        <v>132</v>
      </c>
      <c r="L30" s="36">
        <f>SUMIF($C$13:$C$305,Taulukko15[[#This Row],[Hyvinvointialuekoodi]],$H$13:$H$305)*(-1000)</f>
        <v>784518436.15521455</v>
      </c>
      <c r="N30" s="36"/>
      <c r="O30" s="36"/>
    </row>
    <row r="31" spans="1:15" x14ac:dyDescent="0.25">
      <c r="A31" s="399">
        <v>75</v>
      </c>
      <c r="B31" s="399" t="s">
        <v>408</v>
      </c>
      <c r="C31" s="399">
        <v>8</v>
      </c>
      <c r="D31" s="89">
        <v>-86927</v>
      </c>
      <c r="E31" s="89">
        <v>-86756</v>
      </c>
      <c r="F31" s="89">
        <f t="shared" si="0"/>
        <v>-86841.5</v>
      </c>
      <c r="G31" s="400">
        <f>F31/F$12</f>
        <v>4.2564652465542112E-3</v>
      </c>
      <c r="H31" s="89">
        <f>G31*E$12</f>
        <v>-88314.43490094172</v>
      </c>
      <c r="J31" s="396">
        <v>15</v>
      </c>
      <c r="K31" s="37" t="s">
        <v>114</v>
      </c>
      <c r="L31" s="36">
        <f>SUMIF($C$13:$C$305,Taulukko15[[#This Row],[Hyvinvointialuekoodi]],$H$13:$H$305)*(-1000)</f>
        <v>674944936.12542629</v>
      </c>
      <c r="N31" s="36"/>
      <c r="O31" s="36"/>
    </row>
    <row r="32" spans="1:15" x14ac:dyDescent="0.25">
      <c r="A32" s="399">
        <v>77</v>
      </c>
      <c r="B32" s="399" t="s">
        <v>407</v>
      </c>
      <c r="C32" s="399">
        <v>13</v>
      </c>
      <c r="D32" s="89">
        <v>-22532</v>
      </c>
      <c r="E32" s="89">
        <v>-22347</v>
      </c>
      <c r="F32" s="89">
        <f t="shared" si="0"/>
        <v>-22439.5</v>
      </c>
      <c r="G32" s="400">
        <f>F32/F$12</f>
        <v>1.0998537784360383E-3</v>
      </c>
      <c r="H32" s="89">
        <f>G32*E$12</f>
        <v>-22820.100550539566</v>
      </c>
      <c r="J32" s="396">
        <v>16</v>
      </c>
      <c r="K32" s="37" t="s">
        <v>113</v>
      </c>
      <c r="L32" s="36">
        <f>SUMIF($C$13:$C$305,Taulukko15[[#This Row],[Hyvinvointialuekoodi]],$H$13:$H$305)*(-1000)</f>
        <v>265057712.83633688</v>
      </c>
      <c r="N32" s="36"/>
      <c r="O32" s="36"/>
    </row>
    <row r="33" spans="1:15" x14ac:dyDescent="0.25">
      <c r="A33" s="399">
        <v>78</v>
      </c>
      <c r="B33" s="399" t="s">
        <v>406</v>
      </c>
      <c r="C33" s="399">
        <v>33</v>
      </c>
      <c r="D33" s="89">
        <v>-36362</v>
      </c>
      <c r="E33" s="89">
        <v>-37188</v>
      </c>
      <c r="F33" s="89">
        <f t="shared" si="0"/>
        <v>-36775</v>
      </c>
      <c r="G33" s="400">
        <f>F33/F$12</f>
        <v>1.8024966109755256E-3</v>
      </c>
      <c r="H33" s="89">
        <f>G33*E$12</f>
        <v>-37398.747643489944</v>
      </c>
      <c r="J33" s="396">
        <v>17</v>
      </c>
      <c r="K33" s="37" t="s">
        <v>112</v>
      </c>
      <c r="L33" s="36">
        <f>SUMIF($C$13:$C$305,Taulukko15[[#This Row],[Hyvinvointialuekoodi]],$H$13:$H$305)*(-1000)</f>
        <v>1545849140.2908719</v>
      </c>
      <c r="N33" s="36"/>
      <c r="O33" s="36"/>
    </row>
    <row r="34" spans="1:15" x14ac:dyDescent="0.25">
      <c r="A34" s="399">
        <v>79</v>
      </c>
      <c r="B34" s="399" t="s">
        <v>405</v>
      </c>
      <c r="C34" s="399">
        <v>4</v>
      </c>
      <c r="D34" s="89">
        <v>-31773</v>
      </c>
      <c r="E34" s="89">
        <v>-32070</v>
      </c>
      <c r="F34" s="89">
        <f t="shared" si="0"/>
        <v>-31921.5</v>
      </c>
      <c r="G34" s="400">
        <f>F34/F$12</f>
        <v>1.5646062696738339E-3</v>
      </c>
      <c r="H34" s="89">
        <f>G34*E$12</f>
        <v>-32462.926523498685</v>
      </c>
      <c r="J34" s="396">
        <v>18</v>
      </c>
      <c r="K34" s="37" t="s">
        <v>111</v>
      </c>
      <c r="L34" s="36">
        <f>SUMIF($C$13:$C$305,Taulukko15[[#This Row],[Hyvinvointialuekoodi]],$H$13:$H$305)*(-1000)</f>
        <v>343806102.33392066</v>
      </c>
      <c r="N34" s="36"/>
      <c r="O34" s="36"/>
    </row>
    <row r="35" spans="1:15" x14ac:dyDescent="0.25">
      <c r="A35" s="399">
        <v>81</v>
      </c>
      <c r="B35" s="399" t="s">
        <v>404</v>
      </c>
      <c r="C35" s="399">
        <v>7</v>
      </c>
      <c r="D35" s="89">
        <v>-13040</v>
      </c>
      <c r="E35" s="89">
        <v>-13495</v>
      </c>
      <c r="F35" s="89">
        <f t="shared" si="0"/>
        <v>-13267.5</v>
      </c>
      <c r="G35" s="400">
        <f>F35/F$12</f>
        <v>6.5029568419083035E-4</v>
      </c>
      <c r="H35" s="89">
        <f>G35*E$12</f>
        <v>-13492.532545479342</v>
      </c>
      <c r="J35" s="397">
        <v>19</v>
      </c>
      <c r="K35" s="398" t="s">
        <v>110</v>
      </c>
      <c r="L35" s="36">
        <f>SUMIF($C$13:$C$305,Taulukko15[[#This Row],[Hyvinvointialuekoodi]],$H$13:$H$305)*(-1000)</f>
        <v>803318997.61504352</v>
      </c>
      <c r="N35" s="36"/>
      <c r="O35" s="36"/>
    </row>
    <row r="36" spans="1:15" x14ac:dyDescent="0.25">
      <c r="A36" s="399">
        <v>82</v>
      </c>
      <c r="B36" s="399" t="s">
        <v>403</v>
      </c>
      <c r="C36" s="399">
        <v>5</v>
      </c>
      <c r="D36" s="89">
        <v>-30556</v>
      </c>
      <c r="E36" s="89">
        <v>-31987</v>
      </c>
      <c r="F36" s="89">
        <f t="shared" si="0"/>
        <v>-31271.5</v>
      </c>
      <c r="G36" s="400">
        <f>F36/F$12</f>
        <v>1.5327470501732467E-3</v>
      </c>
      <c r="H36" s="89">
        <f>G36*E$12</f>
        <v>-31801.901752097776</v>
      </c>
    </row>
    <row r="37" spans="1:15" x14ac:dyDescent="0.25">
      <c r="A37" s="399">
        <v>86</v>
      </c>
      <c r="B37" s="399" t="s">
        <v>402</v>
      </c>
      <c r="C37" s="399">
        <v>5</v>
      </c>
      <c r="D37" s="89">
        <v>-27336</v>
      </c>
      <c r="E37" s="89">
        <v>-28650</v>
      </c>
      <c r="F37" s="89">
        <f t="shared" si="0"/>
        <v>-27993</v>
      </c>
      <c r="G37" s="400">
        <f>F37/F$12</f>
        <v>1.37205404843067E-3</v>
      </c>
      <c r="H37" s="89">
        <f>G37*E$12</f>
        <v>-28467.794501270266</v>
      </c>
    </row>
    <row r="38" spans="1:15" x14ac:dyDescent="0.25">
      <c r="A38" s="399">
        <v>90</v>
      </c>
      <c r="B38" s="399" t="s">
        <v>401</v>
      </c>
      <c r="C38" s="399">
        <v>12</v>
      </c>
      <c r="D38" s="89">
        <v>-17597</v>
      </c>
      <c r="E38" s="89">
        <v>-18052</v>
      </c>
      <c r="F38" s="89">
        <f t="shared" si="0"/>
        <v>-17824.5</v>
      </c>
      <c r="G38" s="400">
        <f>F38/F$12</f>
        <v>8.7365331998186962E-4</v>
      </c>
      <c r="H38" s="89">
        <f>G38*E$12</f>
        <v>-18126.824673593106</v>
      </c>
    </row>
    <row r="39" spans="1:15" x14ac:dyDescent="0.25">
      <c r="A39" s="399">
        <v>91</v>
      </c>
      <c r="B39" s="399" t="s">
        <v>131</v>
      </c>
      <c r="C39" s="399">
        <v>31</v>
      </c>
      <c r="D39" s="89">
        <v>-2307908</v>
      </c>
      <c r="E39" s="89">
        <v>-2455083</v>
      </c>
      <c r="F39" s="89">
        <f t="shared" si="0"/>
        <v>-2381495.5</v>
      </c>
      <c r="G39" s="400">
        <f>F39/F$12</f>
        <v>0.11672705826793922</v>
      </c>
      <c r="H39" s="89">
        <f>G39*E$12</f>
        <v>-2421888.4899689164</v>
      </c>
    </row>
    <row r="40" spans="1:15" x14ac:dyDescent="0.25">
      <c r="A40" s="399">
        <v>92</v>
      </c>
      <c r="B40" s="399" t="s">
        <v>400</v>
      </c>
      <c r="C40" s="399">
        <v>32</v>
      </c>
      <c r="D40" s="89">
        <v>-712178</v>
      </c>
      <c r="E40" s="89">
        <v>-768716</v>
      </c>
      <c r="F40" s="89">
        <f t="shared" si="0"/>
        <v>-740447</v>
      </c>
      <c r="G40" s="400">
        <f>F40/F$12</f>
        <v>3.6292405387001903E-2</v>
      </c>
      <c r="H40" s="89">
        <f>G40*E$12</f>
        <v>-753005.85986075317</v>
      </c>
    </row>
    <row r="41" spans="1:15" x14ac:dyDescent="0.25">
      <c r="A41" s="399">
        <v>97</v>
      </c>
      <c r="B41" s="399" t="s">
        <v>399</v>
      </c>
      <c r="C41" s="399">
        <v>10</v>
      </c>
      <c r="D41" s="89">
        <v>-9409</v>
      </c>
      <c r="E41" s="89">
        <v>-10028</v>
      </c>
      <c r="F41" s="89">
        <f t="shared" si="0"/>
        <v>-9718.5</v>
      </c>
      <c r="G41" s="400">
        <f>F41/F$12</f>
        <v>4.7634434571762463E-4</v>
      </c>
      <c r="H41" s="89">
        <f>G41*E$12</f>
        <v>-9883.3372936303749</v>
      </c>
    </row>
    <row r="42" spans="1:15" x14ac:dyDescent="0.25">
      <c r="A42" s="399">
        <v>98</v>
      </c>
      <c r="B42" s="399" t="s">
        <v>398</v>
      </c>
      <c r="C42" s="399">
        <v>7</v>
      </c>
      <c r="D42" s="89">
        <v>-77795</v>
      </c>
      <c r="E42" s="89">
        <v>-82984</v>
      </c>
      <c r="F42" s="89">
        <f t="shared" si="0"/>
        <v>-80389.5</v>
      </c>
      <c r="G42" s="400">
        <f>F42/F$12</f>
        <v>3.9402257323729985E-3</v>
      </c>
      <c r="H42" s="89">
        <f>G42*E$12</f>
        <v>-81753.00132389761</v>
      </c>
    </row>
    <row r="43" spans="1:15" x14ac:dyDescent="0.25">
      <c r="A43" s="399">
        <v>102</v>
      </c>
      <c r="B43" s="399" t="s">
        <v>397</v>
      </c>
      <c r="C43" s="399">
        <v>4</v>
      </c>
      <c r="D43" s="89">
        <v>-37365</v>
      </c>
      <c r="E43" s="89">
        <v>-38834</v>
      </c>
      <c r="F43" s="89">
        <f t="shared" si="0"/>
        <v>-38099.5</v>
      </c>
      <c r="G43" s="400">
        <f>F43/F$12</f>
        <v>1.8674158974809527E-3</v>
      </c>
      <c r="H43" s="89">
        <f>G43*E$12</f>
        <v>-38745.712735367641</v>
      </c>
    </row>
    <row r="44" spans="1:15" x14ac:dyDescent="0.25">
      <c r="A44" s="399">
        <v>103</v>
      </c>
      <c r="B44" s="399" t="s">
        <v>396</v>
      </c>
      <c r="C44" s="399">
        <v>5</v>
      </c>
      <c r="D44" s="89">
        <v>-8021</v>
      </c>
      <c r="E44" s="89">
        <v>-8348</v>
      </c>
      <c r="F44" s="89">
        <f t="shared" si="0"/>
        <v>-8184.5</v>
      </c>
      <c r="G44" s="400">
        <f>F44/F$12</f>
        <v>4.0115658769623901E-4</v>
      </c>
      <c r="H44" s="89">
        <f>G44*E$12</f>
        <v>-8323.3188331242272</v>
      </c>
    </row>
    <row r="45" spans="1:15" x14ac:dyDescent="0.25">
      <c r="A45" s="399">
        <v>105</v>
      </c>
      <c r="B45" s="399" t="s">
        <v>395</v>
      </c>
      <c r="C45" s="399">
        <v>18</v>
      </c>
      <c r="D45" s="89">
        <v>-12736</v>
      </c>
      <c r="E45" s="89">
        <v>-13400</v>
      </c>
      <c r="F45" s="89">
        <f t="shared" si="0"/>
        <v>-13068</v>
      </c>
      <c r="G45" s="400">
        <f>F45/F$12</f>
        <v>6.4051735451334246E-4</v>
      </c>
      <c r="H45" s="89">
        <f>G45*E$12</f>
        <v>-13289.648788718601</v>
      </c>
    </row>
    <row r="46" spans="1:15" x14ac:dyDescent="0.25">
      <c r="A46" s="399">
        <v>106</v>
      </c>
      <c r="B46" s="399" t="s">
        <v>394</v>
      </c>
      <c r="C46" s="399">
        <v>35</v>
      </c>
      <c r="D46" s="89">
        <v>-177175</v>
      </c>
      <c r="E46" s="89">
        <v>-174210</v>
      </c>
      <c r="F46" s="89">
        <f t="shared" si="0"/>
        <v>-175692.5</v>
      </c>
      <c r="G46" s="400">
        <f>F46/F$12</f>
        <v>8.6114244955490839E-3</v>
      </c>
      <c r="H46" s="89">
        <f>G46*E$12</f>
        <v>-178672.45330669903</v>
      </c>
    </row>
    <row r="47" spans="1:15" x14ac:dyDescent="0.25">
      <c r="A47" s="399">
        <v>108</v>
      </c>
      <c r="B47" s="399" t="s">
        <v>393</v>
      </c>
      <c r="C47" s="399">
        <v>6</v>
      </c>
      <c r="D47" s="89">
        <v>-35749</v>
      </c>
      <c r="E47" s="89">
        <v>-37873</v>
      </c>
      <c r="F47" s="89">
        <f t="shared" si="0"/>
        <v>-36811</v>
      </c>
      <c r="G47" s="400">
        <f>F47/F$12</f>
        <v>1.8042611215940197E-3</v>
      </c>
      <c r="H47" s="89">
        <f>G47*E$12</f>
        <v>-37435.358246213684</v>
      </c>
    </row>
    <row r="48" spans="1:15" x14ac:dyDescent="0.25">
      <c r="A48" s="399">
        <v>109</v>
      </c>
      <c r="B48" s="399" t="s">
        <v>392</v>
      </c>
      <c r="C48" s="399">
        <v>5</v>
      </c>
      <c r="D48" s="89">
        <v>-252051</v>
      </c>
      <c r="E48" s="89">
        <v>-267007</v>
      </c>
      <c r="F48" s="89">
        <f t="shared" si="0"/>
        <v>-259529</v>
      </c>
      <c r="G48" s="400">
        <f>F48/F$12</f>
        <v>1.2720602119642887E-2</v>
      </c>
      <c r="H48" s="89">
        <f>G48*E$12</f>
        <v>-263930.91984139499</v>
      </c>
    </row>
    <row r="49" spans="1:8" x14ac:dyDescent="0.25">
      <c r="A49" s="399">
        <v>111</v>
      </c>
      <c r="B49" s="399" t="s">
        <v>391</v>
      </c>
      <c r="C49" s="399">
        <v>7</v>
      </c>
      <c r="D49" s="89">
        <v>-75115</v>
      </c>
      <c r="E49" s="89">
        <v>-79881</v>
      </c>
      <c r="F49" s="89">
        <f t="shared" si="0"/>
        <v>-77498</v>
      </c>
      <c r="G49" s="400">
        <f>F49/F$12</f>
        <v>3.7985012197792327E-3</v>
      </c>
      <c r="H49" s="89">
        <f>G49*E$12</f>
        <v>-78812.458052350339</v>
      </c>
    </row>
    <row r="50" spans="1:8" x14ac:dyDescent="0.25">
      <c r="A50" s="399">
        <v>139</v>
      </c>
      <c r="B50" s="399" t="s">
        <v>390</v>
      </c>
      <c r="C50" s="399">
        <v>17</v>
      </c>
      <c r="D50" s="89">
        <v>-36410</v>
      </c>
      <c r="E50" s="89">
        <v>-36082</v>
      </c>
      <c r="F50" s="89">
        <f t="shared" si="0"/>
        <v>-36246</v>
      </c>
      <c r="G50" s="400">
        <f>F50/F$12</f>
        <v>1.7765681077204325E-3</v>
      </c>
      <c r="H50" s="89">
        <f>G50*E$12</f>
        <v>-36860.775175688279</v>
      </c>
    </row>
    <row r="51" spans="1:8" x14ac:dyDescent="0.25">
      <c r="A51" s="399">
        <v>140</v>
      </c>
      <c r="B51" s="399" t="s">
        <v>389</v>
      </c>
      <c r="C51" s="399">
        <v>11</v>
      </c>
      <c r="D51" s="89">
        <v>-83182</v>
      </c>
      <c r="E51" s="89">
        <v>-85156</v>
      </c>
      <c r="F51" s="89">
        <f t="shared" si="0"/>
        <v>-84169</v>
      </c>
      <c r="G51" s="400">
        <f>F51/F$12</f>
        <v>4.1254748402229507E-3</v>
      </c>
      <c r="H51" s="89">
        <f>G51*E$12</f>
        <v>-85596.606129297215</v>
      </c>
    </row>
    <row r="52" spans="1:8" x14ac:dyDescent="0.25">
      <c r="A52" s="399">
        <v>142</v>
      </c>
      <c r="B52" s="399" t="s">
        <v>388</v>
      </c>
      <c r="C52" s="399">
        <v>7</v>
      </c>
      <c r="D52" s="89">
        <v>-27540</v>
      </c>
      <c r="E52" s="89">
        <v>-28699</v>
      </c>
      <c r="F52" s="89">
        <f t="shared" si="0"/>
        <v>-28119.5</v>
      </c>
      <c r="G52" s="400">
        <f>F52/F$12</f>
        <v>1.3782543426873227E-3</v>
      </c>
      <c r="H52" s="89">
        <f>G52*E$12</f>
        <v>-28596.440091396747</v>
      </c>
    </row>
    <row r="53" spans="1:8" x14ac:dyDescent="0.25">
      <c r="A53" s="399">
        <v>143</v>
      </c>
      <c r="B53" s="399" t="s">
        <v>387</v>
      </c>
      <c r="C53" s="399">
        <v>6</v>
      </c>
      <c r="D53" s="89">
        <v>-27928</v>
      </c>
      <c r="E53" s="89">
        <v>-28746</v>
      </c>
      <c r="F53" s="89">
        <f t="shared" si="0"/>
        <v>-28337</v>
      </c>
      <c r="G53" s="400">
        <f>F53/F$12</f>
        <v>1.3889149276740576E-3</v>
      </c>
      <c r="H53" s="89">
        <f>G53*E$12</f>
        <v>-28817.629149519358</v>
      </c>
    </row>
    <row r="54" spans="1:8" x14ac:dyDescent="0.25">
      <c r="A54" s="399">
        <v>145</v>
      </c>
      <c r="B54" s="399" t="s">
        <v>386</v>
      </c>
      <c r="C54" s="399">
        <v>14</v>
      </c>
      <c r="D54" s="89">
        <v>-43204</v>
      </c>
      <c r="E54" s="89">
        <v>-43076</v>
      </c>
      <c r="F54" s="89">
        <f t="shared" si="0"/>
        <v>-43140</v>
      </c>
      <c r="G54" s="400">
        <f>F54/F$12</f>
        <v>2.114471891162044E-3</v>
      </c>
      <c r="H54" s="89">
        <f>G54*E$12</f>
        <v>-43871.705597285007</v>
      </c>
    </row>
    <row r="55" spans="1:8" x14ac:dyDescent="0.25">
      <c r="A55" s="399">
        <v>146</v>
      </c>
      <c r="B55" s="399" t="s">
        <v>385</v>
      </c>
      <c r="C55" s="399">
        <v>12</v>
      </c>
      <c r="D55" s="89">
        <v>-25150</v>
      </c>
      <c r="E55" s="89">
        <v>-25560</v>
      </c>
      <c r="F55" s="89">
        <f t="shared" si="0"/>
        <v>-25355</v>
      </c>
      <c r="G55" s="400">
        <f>F55/F$12</f>
        <v>1.2427546314421334E-3</v>
      </c>
      <c r="H55" s="89">
        <f>G55*E$12</f>
        <v>-25785.050890569342</v>
      </c>
    </row>
    <row r="56" spans="1:8" x14ac:dyDescent="0.25">
      <c r="A56" s="399">
        <v>148</v>
      </c>
      <c r="B56" s="399" t="s">
        <v>384</v>
      </c>
      <c r="C56" s="399">
        <v>19</v>
      </c>
      <c r="D56" s="89">
        <v>-31593</v>
      </c>
      <c r="E56" s="89">
        <v>-32582</v>
      </c>
      <c r="F56" s="89">
        <f t="shared" si="0"/>
        <v>-32087.5</v>
      </c>
      <c r="G56" s="400">
        <f>F56/F$12</f>
        <v>1.5727426241924454E-3</v>
      </c>
      <c r="H56" s="89">
        <f>G56*E$12</f>
        <v>-32631.742080502612</v>
      </c>
    </row>
    <row r="57" spans="1:8" x14ac:dyDescent="0.25">
      <c r="A57" s="399">
        <v>149</v>
      </c>
      <c r="B57" s="399" t="s">
        <v>383</v>
      </c>
      <c r="C57" s="399">
        <v>33</v>
      </c>
      <c r="D57" s="89">
        <v>-18620</v>
      </c>
      <c r="E57" s="89">
        <v>-21068</v>
      </c>
      <c r="F57" s="89">
        <f t="shared" si="0"/>
        <v>-19844</v>
      </c>
      <c r="G57" s="400">
        <f>F57/F$12</f>
        <v>9.7263746426100154E-4</v>
      </c>
      <c r="H57" s="89">
        <f>G57*E$12</f>
        <v>-20180.577790276395</v>
      </c>
    </row>
    <row r="58" spans="1:8" x14ac:dyDescent="0.25">
      <c r="A58" s="399">
        <v>151</v>
      </c>
      <c r="B58" s="399" t="s">
        <v>382</v>
      </c>
      <c r="C58" s="399">
        <v>14</v>
      </c>
      <c r="D58" s="89">
        <v>-10032</v>
      </c>
      <c r="E58" s="89">
        <v>-10026</v>
      </c>
      <c r="F58" s="89">
        <f t="shared" si="0"/>
        <v>-10029</v>
      </c>
      <c r="G58" s="400">
        <f>F58/F$12</f>
        <v>4.9156324980213588E-4</v>
      </c>
      <c r="H58" s="89">
        <f>G58*E$12</f>
        <v>-10199.103742122656</v>
      </c>
    </row>
    <row r="59" spans="1:8" x14ac:dyDescent="0.25">
      <c r="A59" s="399">
        <v>152</v>
      </c>
      <c r="B59" s="399" t="s">
        <v>381</v>
      </c>
      <c r="C59" s="399">
        <v>14</v>
      </c>
      <c r="D59" s="89">
        <v>-19304</v>
      </c>
      <c r="E59" s="89">
        <v>-17434</v>
      </c>
      <c r="F59" s="89">
        <f t="shared" si="0"/>
        <v>-18369</v>
      </c>
      <c r="G59" s="400">
        <f>F59/F$12</f>
        <v>9.0034154308659222E-4</v>
      </c>
      <c r="H59" s="89">
        <f>G59*E$12</f>
        <v>-18680.560039789714</v>
      </c>
    </row>
    <row r="60" spans="1:8" x14ac:dyDescent="0.25">
      <c r="A60" s="399">
        <v>153</v>
      </c>
      <c r="B60" s="399" t="s">
        <v>380</v>
      </c>
      <c r="C60" s="399">
        <v>9</v>
      </c>
      <c r="D60" s="89">
        <v>-102910</v>
      </c>
      <c r="E60" s="89">
        <v>-107089</v>
      </c>
      <c r="F60" s="89">
        <f t="shared" si="0"/>
        <v>-104999.5</v>
      </c>
      <c r="G60" s="400">
        <f>F60/F$12</f>
        <v>5.1464647968490745E-3</v>
      </c>
      <c r="H60" s="89">
        <f>G60*E$12</f>
        <v>-106780.41613032283</v>
      </c>
    </row>
    <row r="61" spans="1:8" x14ac:dyDescent="0.25">
      <c r="A61" s="399">
        <v>165</v>
      </c>
      <c r="B61" s="399" t="s">
        <v>379</v>
      </c>
      <c r="C61" s="399">
        <v>5</v>
      </c>
      <c r="D61" s="89">
        <v>-56724</v>
      </c>
      <c r="E61" s="89">
        <v>-57239</v>
      </c>
      <c r="F61" s="89">
        <f t="shared" si="0"/>
        <v>-56981.5</v>
      </c>
      <c r="G61" s="400">
        <f>F61/F$12</f>
        <v>2.7929017168810853E-3</v>
      </c>
      <c r="H61" s="89">
        <f>G61*E$12</f>
        <v>-57947.973863970692</v>
      </c>
    </row>
    <row r="62" spans="1:8" x14ac:dyDescent="0.25">
      <c r="A62" s="399">
        <v>167</v>
      </c>
      <c r="B62" s="399" t="s">
        <v>378</v>
      </c>
      <c r="C62" s="399">
        <v>12</v>
      </c>
      <c r="D62" s="89">
        <v>-263457</v>
      </c>
      <c r="E62" s="89">
        <v>-267844</v>
      </c>
      <c r="F62" s="89">
        <f t="shared" si="0"/>
        <v>-265650.5</v>
      </c>
      <c r="G62" s="400">
        <f>F62/F$12</f>
        <v>1.3020642446062648E-2</v>
      </c>
      <c r="H62" s="89">
        <f>G62*E$12</f>
        <v>-270156.24774621142</v>
      </c>
    </row>
    <row r="63" spans="1:8" x14ac:dyDescent="0.25">
      <c r="A63" s="399">
        <v>169</v>
      </c>
      <c r="B63" s="399" t="s">
        <v>377</v>
      </c>
      <c r="C63" s="399">
        <v>5</v>
      </c>
      <c r="D63" s="89">
        <v>-18147</v>
      </c>
      <c r="E63" s="89">
        <v>-18869</v>
      </c>
      <c r="F63" s="89">
        <f t="shared" si="0"/>
        <v>-18508</v>
      </c>
      <c r="G63" s="400">
        <f>F63/F$12</f>
        <v>9.0715451464133321E-4</v>
      </c>
      <c r="H63" s="89">
        <f>G63*E$12</f>
        <v>-18821.917644750833</v>
      </c>
    </row>
    <row r="64" spans="1:8" x14ac:dyDescent="0.25">
      <c r="A64" s="399">
        <v>171</v>
      </c>
      <c r="B64" s="399" t="s">
        <v>376</v>
      </c>
      <c r="C64" s="399">
        <v>11</v>
      </c>
      <c r="D64" s="89">
        <v>-20522</v>
      </c>
      <c r="E64" s="89">
        <v>-19424</v>
      </c>
      <c r="F64" s="89">
        <f t="shared" si="0"/>
        <v>-19973</v>
      </c>
      <c r="G64" s="400">
        <f>F64/F$12</f>
        <v>9.7896029397727185E-4</v>
      </c>
      <c r="H64" s="89">
        <f>G64*E$12</f>
        <v>-20311.765783369807</v>
      </c>
    </row>
    <row r="65" spans="1:8" x14ac:dyDescent="0.25">
      <c r="A65" s="399">
        <v>172</v>
      </c>
      <c r="B65" s="399" t="s">
        <v>375</v>
      </c>
      <c r="C65" s="399">
        <v>13</v>
      </c>
      <c r="D65" s="89">
        <v>-22221</v>
      </c>
      <c r="E65" s="89">
        <v>-23189</v>
      </c>
      <c r="F65" s="89">
        <f t="shared" si="0"/>
        <v>-22705</v>
      </c>
      <c r="G65" s="400">
        <f>F65/F$12</f>
        <v>1.1128670442474319E-3</v>
      </c>
      <c r="H65" s="89">
        <f>G65*E$12</f>
        <v>-23090.10374562717</v>
      </c>
    </row>
    <row r="66" spans="1:8" x14ac:dyDescent="0.25">
      <c r="A66" s="399">
        <v>176</v>
      </c>
      <c r="B66" s="399" t="s">
        <v>374</v>
      </c>
      <c r="C66" s="399">
        <v>12</v>
      </c>
      <c r="D66" s="89">
        <v>-24475</v>
      </c>
      <c r="E66" s="89">
        <v>-24806</v>
      </c>
      <c r="F66" s="89">
        <f t="shared" si="0"/>
        <v>-24640.5</v>
      </c>
      <c r="G66" s="400">
        <f>F66/F$12</f>
        <v>1.207733997083411E-3</v>
      </c>
      <c r="H66" s="89">
        <f>G66*E$12</f>
        <v>-25058.432122621725</v>
      </c>
    </row>
    <row r="67" spans="1:8" x14ac:dyDescent="0.25">
      <c r="A67" s="399">
        <v>177</v>
      </c>
      <c r="B67" s="399" t="s">
        <v>373</v>
      </c>
      <c r="C67" s="399">
        <v>6</v>
      </c>
      <c r="D67" s="89">
        <v>-7151</v>
      </c>
      <c r="E67" s="89">
        <v>-7337</v>
      </c>
      <c r="F67" s="89">
        <f t="shared" si="0"/>
        <v>-7244</v>
      </c>
      <c r="G67" s="400">
        <f>F67/F$12</f>
        <v>3.5505874778808178E-4</v>
      </c>
      <c r="H67" s="89">
        <f>G67*E$12</f>
        <v>-7366.8668369664483</v>
      </c>
    </row>
    <row r="68" spans="1:8" x14ac:dyDescent="0.25">
      <c r="A68" s="399">
        <v>178</v>
      </c>
      <c r="B68" s="399" t="s">
        <v>372</v>
      </c>
      <c r="C68" s="399">
        <v>10</v>
      </c>
      <c r="D68" s="89">
        <v>-30432</v>
      </c>
      <c r="E68" s="89">
        <v>-29474</v>
      </c>
      <c r="F68" s="89">
        <f t="shared" si="0"/>
        <v>-29953</v>
      </c>
      <c r="G68" s="400">
        <f>F68/F$12</f>
        <v>1.4681218487709021E-3</v>
      </c>
      <c r="H68" s="89">
        <f>G68*E$12</f>
        <v>-30461.038427340703</v>
      </c>
    </row>
    <row r="69" spans="1:8" x14ac:dyDescent="0.25">
      <c r="A69" s="399">
        <v>179</v>
      </c>
      <c r="B69" s="399" t="s">
        <v>371</v>
      </c>
      <c r="C69" s="399">
        <v>13</v>
      </c>
      <c r="D69" s="89">
        <v>-455697</v>
      </c>
      <c r="E69" s="89">
        <v>-469021</v>
      </c>
      <c r="F69" s="89">
        <f t="shared" si="0"/>
        <v>-462359</v>
      </c>
      <c r="G69" s="400">
        <f>F69/F$12</f>
        <v>2.2662149029341484E-2</v>
      </c>
      <c r="H69" s="89">
        <f>G69*E$12</f>
        <v>-470201.15735408204</v>
      </c>
    </row>
    <row r="70" spans="1:8" x14ac:dyDescent="0.25">
      <c r="A70" s="399">
        <v>181</v>
      </c>
      <c r="B70" s="399" t="s">
        <v>370</v>
      </c>
      <c r="C70" s="399">
        <v>4</v>
      </c>
      <c r="D70" s="89">
        <v>-6487</v>
      </c>
      <c r="E70" s="89">
        <v>-6737</v>
      </c>
      <c r="F70" s="89">
        <f t="shared" si="0"/>
        <v>-6612</v>
      </c>
      <c r="G70" s="400">
        <f>F70/F$12</f>
        <v>3.2408178359674168E-4</v>
      </c>
      <c r="H70" s="89">
        <f>G70*E$12</f>
        <v>-6724.1473669274101</v>
      </c>
    </row>
    <row r="71" spans="1:8" x14ac:dyDescent="0.25">
      <c r="A71" s="399">
        <v>182</v>
      </c>
      <c r="B71" s="399" t="s">
        <v>369</v>
      </c>
      <c r="C71" s="399">
        <v>13</v>
      </c>
      <c r="D71" s="89">
        <v>-84618</v>
      </c>
      <c r="E71" s="89">
        <v>-85589</v>
      </c>
      <c r="F71" s="89">
        <f t="shared" si="0"/>
        <v>-85103.5</v>
      </c>
      <c r="G71" s="400">
        <f>F71/F$12</f>
        <v>4.1712785950280256E-3</v>
      </c>
      <c r="H71" s="89">
        <f>G71*E$12</f>
        <v>-86546.95635833437</v>
      </c>
    </row>
    <row r="72" spans="1:8" x14ac:dyDescent="0.25">
      <c r="A72" s="399">
        <v>186</v>
      </c>
      <c r="B72" s="399" t="s">
        <v>368</v>
      </c>
      <c r="C72" s="399">
        <v>35</v>
      </c>
      <c r="D72" s="89">
        <v>-149922</v>
      </c>
      <c r="E72" s="89">
        <v>-150918</v>
      </c>
      <c r="F72" s="89">
        <f t="shared" si="0"/>
        <v>-150420</v>
      </c>
      <c r="G72" s="400">
        <f>F72/F$12</f>
        <v>7.3727135342743317E-3</v>
      </c>
      <c r="H72" s="89">
        <f>G72*E$12</f>
        <v>-152971.30171403824</v>
      </c>
    </row>
    <row r="73" spans="1:8" x14ac:dyDescent="0.25">
      <c r="A73" s="399">
        <v>202</v>
      </c>
      <c r="B73" s="399" t="s">
        <v>367</v>
      </c>
      <c r="C73" s="399">
        <v>2</v>
      </c>
      <c r="D73" s="89">
        <v>-107591</v>
      </c>
      <c r="E73" s="89">
        <v>-112973</v>
      </c>
      <c r="F73" s="89">
        <f t="shared" si="0"/>
        <v>-110282</v>
      </c>
      <c r="G73" s="400">
        <f>F73/F$12</f>
        <v>5.405382223021153E-3</v>
      </c>
      <c r="H73" s="89">
        <f>G73*E$12</f>
        <v>-112152.51359943868</v>
      </c>
    </row>
    <row r="74" spans="1:8" x14ac:dyDescent="0.25">
      <c r="A74" s="399">
        <v>204</v>
      </c>
      <c r="B74" s="399" t="s">
        <v>366</v>
      </c>
      <c r="C74" s="399">
        <v>11</v>
      </c>
      <c r="D74" s="89">
        <v>-16529</v>
      </c>
      <c r="E74" s="89">
        <v>-16203</v>
      </c>
      <c r="F74" s="89">
        <f t="shared" si="0"/>
        <v>-16366</v>
      </c>
      <c r="G74" s="400">
        <f>F74/F$12</f>
        <v>8.0216613284093681E-4</v>
      </c>
      <c r="H74" s="89">
        <f>G74*E$12</f>
        <v>-16643.58678268814</v>
      </c>
    </row>
    <row r="75" spans="1:8" x14ac:dyDescent="0.25">
      <c r="A75" s="399">
        <v>205</v>
      </c>
      <c r="B75" s="399" t="s">
        <v>365</v>
      </c>
      <c r="C75" s="399">
        <v>18</v>
      </c>
      <c r="D75" s="89">
        <v>-154282</v>
      </c>
      <c r="E75" s="89">
        <v>-159023</v>
      </c>
      <c r="F75" s="89">
        <f t="shared" si="0"/>
        <v>-156652.5</v>
      </c>
      <c r="G75" s="400">
        <f>F75/F$12</f>
        <v>7.6781944351011159E-3</v>
      </c>
      <c r="H75" s="89">
        <f>G75*E$12</f>
        <v>-159309.51231058623</v>
      </c>
    </row>
    <row r="76" spans="1:8" x14ac:dyDescent="0.25">
      <c r="A76" s="399">
        <v>208</v>
      </c>
      <c r="B76" s="399" t="s">
        <v>364</v>
      </c>
      <c r="C76" s="399">
        <v>17</v>
      </c>
      <c r="D76" s="89">
        <v>-44401</v>
      </c>
      <c r="E76" s="89">
        <v>-43286</v>
      </c>
      <c r="F76" s="89">
        <f t="shared" si="0"/>
        <v>-43843.5</v>
      </c>
      <c r="G76" s="400">
        <f>F76/F$12</f>
        <v>2.1489533694984491E-3</v>
      </c>
      <c r="H76" s="89">
        <f>G76*E$12</f>
        <v>-44587.137792178146</v>
      </c>
    </row>
    <row r="77" spans="1:8" x14ac:dyDescent="0.25">
      <c r="A77" s="399">
        <v>211</v>
      </c>
      <c r="B77" s="399" t="s">
        <v>363</v>
      </c>
      <c r="C77" s="399">
        <v>6</v>
      </c>
      <c r="D77" s="89">
        <v>-91550</v>
      </c>
      <c r="E77" s="89">
        <v>-104405</v>
      </c>
      <c r="F77" s="89">
        <f t="shared" si="0"/>
        <v>-97977.5</v>
      </c>
      <c r="G77" s="400">
        <f>F77/F$12</f>
        <v>4.802287197875039E-3</v>
      </c>
      <c r="H77" s="89">
        <f>G77*E$12</f>
        <v>-99639.314676819457</v>
      </c>
    </row>
    <row r="78" spans="1:8" x14ac:dyDescent="0.25">
      <c r="A78" s="399">
        <v>213</v>
      </c>
      <c r="B78" s="399" t="s">
        <v>362</v>
      </c>
      <c r="C78" s="399">
        <v>10</v>
      </c>
      <c r="D78" s="89">
        <v>-27180</v>
      </c>
      <c r="E78" s="89">
        <v>-26235</v>
      </c>
      <c r="F78" s="89">
        <f t="shared" ref="F78:F141" si="1">(D78+E78)/2</f>
        <v>-26707.5</v>
      </c>
      <c r="G78" s="400">
        <f>F78/F$12</f>
        <v>1.3090463150952781E-3</v>
      </c>
      <c r="H78" s="89">
        <f>G78*E$12</f>
        <v>-27160.490895676619</v>
      </c>
    </row>
    <row r="79" spans="1:8" x14ac:dyDescent="0.25">
      <c r="A79" s="399">
        <v>214</v>
      </c>
      <c r="B79" s="399" t="s">
        <v>361</v>
      </c>
      <c r="C79" s="399">
        <v>4</v>
      </c>
      <c r="D79" s="89">
        <v>-48719</v>
      </c>
      <c r="E79" s="89">
        <v>-50667</v>
      </c>
      <c r="F79" s="89">
        <f t="shared" si="1"/>
        <v>-49693</v>
      </c>
      <c r="G79" s="400">
        <f>F79/F$12</f>
        <v>2.4356618379118094E-3</v>
      </c>
      <c r="H79" s="89">
        <f>G79*E$12</f>
        <v>-50535.852254192949</v>
      </c>
    </row>
    <row r="80" spans="1:8" x14ac:dyDescent="0.25">
      <c r="A80" s="399">
        <v>216</v>
      </c>
      <c r="B80" s="399" t="s">
        <v>360</v>
      </c>
      <c r="C80" s="399">
        <v>13</v>
      </c>
      <c r="D80" s="89">
        <v>-6981</v>
      </c>
      <c r="E80" s="89">
        <v>-7397</v>
      </c>
      <c r="F80" s="89">
        <f t="shared" si="1"/>
        <v>-7189</v>
      </c>
      <c r="G80" s="400">
        <f>F80/F$12</f>
        <v>3.5236296767649362E-4</v>
      </c>
      <c r="H80" s="89">
        <f>G80*E$12</f>
        <v>-7310.9339716940631</v>
      </c>
    </row>
    <row r="81" spans="1:8" x14ac:dyDescent="0.25">
      <c r="A81" s="399">
        <v>217</v>
      </c>
      <c r="B81" s="399" t="s">
        <v>359</v>
      </c>
      <c r="C81" s="399">
        <v>16</v>
      </c>
      <c r="D81" s="89">
        <v>-21003</v>
      </c>
      <c r="E81" s="89">
        <v>-21594</v>
      </c>
      <c r="F81" s="89">
        <f t="shared" si="1"/>
        <v>-21298.5</v>
      </c>
      <c r="G81" s="400">
        <f>F81/F$12</f>
        <v>1.043928594666546E-3</v>
      </c>
      <c r="H81" s="89">
        <f>G81*E$12</f>
        <v>-21659.747836434275</v>
      </c>
    </row>
    <row r="82" spans="1:8" x14ac:dyDescent="0.25">
      <c r="A82" s="399">
        <v>218</v>
      </c>
      <c r="B82" s="399" t="s">
        <v>358</v>
      </c>
      <c r="C82" s="399">
        <v>14</v>
      </c>
      <c r="D82" s="89">
        <v>-6087</v>
      </c>
      <c r="E82" s="89">
        <v>-6280</v>
      </c>
      <c r="F82" s="89">
        <f t="shared" si="1"/>
        <v>-6183.5</v>
      </c>
      <c r="G82" s="400">
        <f>F82/F$12</f>
        <v>3.0307920581827772E-4</v>
      </c>
      <c r="H82" s="89">
        <f>G82*E$12</f>
        <v>-6288.3794983961952</v>
      </c>
    </row>
    <row r="83" spans="1:8" x14ac:dyDescent="0.25">
      <c r="A83" s="399">
        <v>224</v>
      </c>
      <c r="B83" s="399" t="s">
        <v>357</v>
      </c>
      <c r="C83" s="399">
        <v>33</v>
      </c>
      <c r="D83" s="89">
        <v>-35882</v>
      </c>
      <c r="E83" s="89">
        <v>-35705</v>
      </c>
      <c r="F83" s="89">
        <f t="shared" si="1"/>
        <v>-35793.5</v>
      </c>
      <c r="G83" s="400">
        <f>F83/F$12</f>
        <v>1.754389189529639E-3</v>
      </c>
      <c r="H83" s="89">
        <f>G83*E$12</f>
        <v>-36400.600238674568</v>
      </c>
    </row>
    <row r="84" spans="1:8" x14ac:dyDescent="0.25">
      <c r="A84" s="399">
        <v>226</v>
      </c>
      <c r="B84" s="399" t="s">
        <v>356</v>
      </c>
      <c r="C84" s="399">
        <v>13</v>
      </c>
      <c r="D84" s="89">
        <v>-18189</v>
      </c>
      <c r="E84" s="89">
        <v>-18414</v>
      </c>
      <c r="F84" s="89">
        <f t="shared" si="1"/>
        <v>-18301.5</v>
      </c>
      <c r="G84" s="400">
        <f>F84/F$12</f>
        <v>8.9703308567691585E-4</v>
      </c>
      <c r="H84" s="89">
        <f>G84*E$12</f>
        <v>-18611.915159682696</v>
      </c>
    </row>
    <row r="85" spans="1:8" x14ac:dyDescent="0.25">
      <c r="A85" s="399">
        <v>230</v>
      </c>
      <c r="B85" s="399" t="s">
        <v>355</v>
      </c>
      <c r="C85" s="399">
        <v>4</v>
      </c>
      <c r="D85" s="89">
        <v>-10704</v>
      </c>
      <c r="E85" s="89">
        <v>-10839</v>
      </c>
      <c r="F85" s="89">
        <f t="shared" si="1"/>
        <v>-10771.5</v>
      </c>
      <c r="G85" s="400">
        <f>F85/F$12</f>
        <v>5.2795628130857582E-4</v>
      </c>
      <c r="H85" s="89">
        <f>G85*E$12</f>
        <v>-10954.197423299849</v>
      </c>
    </row>
    <row r="86" spans="1:8" x14ac:dyDescent="0.25">
      <c r="A86" s="399">
        <v>231</v>
      </c>
      <c r="B86" s="399" t="s">
        <v>354</v>
      </c>
      <c r="C86" s="399">
        <v>15</v>
      </c>
      <c r="D86" s="89">
        <v>-6806</v>
      </c>
      <c r="E86" s="89">
        <v>-7118</v>
      </c>
      <c r="F86" s="89">
        <f t="shared" si="1"/>
        <v>-6962</v>
      </c>
      <c r="G86" s="400">
        <f>F86/F$12</f>
        <v>3.4123674794321168E-4</v>
      </c>
      <c r="H86" s="89">
        <f>G86*E$12</f>
        <v>-7080.0837822971307</v>
      </c>
    </row>
    <row r="87" spans="1:8" x14ac:dyDescent="0.25">
      <c r="A87" s="399">
        <v>232</v>
      </c>
      <c r="B87" s="399" t="s">
        <v>353</v>
      </c>
      <c r="C87" s="399">
        <v>14</v>
      </c>
      <c r="D87" s="89">
        <v>-55649</v>
      </c>
      <c r="E87" s="89">
        <v>-57658</v>
      </c>
      <c r="F87" s="89">
        <f t="shared" si="1"/>
        <v>-56653.5</v>
      </c>
      <c r="G87" s="400">
        <f>F87/F$12</f>
        <v>2.7768250645792505E-3</v>
      </c>
      <c r="H87" s="89">
        <f>G87*E$12</f>
        <v>-57614.410594709923</v>
      </c>
    </row>
    <row r="88" spans="1:8" x14ac:dyDescent="0.25">
      <c r="A88" s="399">
        <v>233</v>
      </c>
      <c r="B88" s="399" t="s">
        <v>352</v>
      </c>
      <c r="C88" s="399">
        <v>14</v>
      </c>
      <c r="D88" s="89">
        <v>-65816</v>
      </c>
      <c r="E88" s="89">
        <v>-67502</v>
      </c>
      <c r="F88" s="89">
        <f t="shared" si="1"/>
        <v>-66659</v>
      </c>
      <c r="G88" s="400">
        <f>F88/F$12</f>
        <v>3.2672364810609807E-3</v>
      </c>
      <c r="H88" s="89">
        <f>G88*E$12</f>
        <v>-67789.61574894347</v>
      </c>
    </row>
    <row r="89" spans="1:8" x14ac:dyDescent="0.25">
      <c r="A89" s="399">
        <v>235</v>
      </c>
      <c r="B89" s="399" t="s">
        <v>351</v>
      </c>
      <c r="C89" s="399">
        <v>33</v>
      </c>
      <c r="D89" s="89">
        <v>-34887</v>
      </c>
      <c r="E89" s="89">
        <v>-35462</v>
      </c>
      <c r="F89" s="89">
        <f t="shared" si="1"/>
        <v>-35174.5</v>
      </c>
      <c r="G89" s="400">
        <f>F89/F$12</f>
        <v>1.7240494097283108E-3</v>
      </c>
      <c r="H89" s="89">
        <f>G89*E$12</f>
        <v>-35771.101264063553</v>
      </c>
    </row>
    <row r="90" spans="1:8" x14ac:dyDescent="0.25">
      <c r="A90" s="399">
        <v>236</v>
      </c>
      <c r="B90" s="399" t="s">
        <v>350</v>
      </c>
      <c r="C90" s="399">
        <v>16</v>
      </c>
      <c r="D90" s="89">
        <v>-15572</v>
      </c>
      <c r="E90" s="89">
        <v>-16192</v>
      </c>
      <c r="F90" s="89">
        <f t="shared" si="1"/>
        <v>-15882</v>
      </c>
      <c r="G90" s="400">
        <f>F90/F$12</f>
        <v>7.7844326785896122E-4</v>
      </c>
      <c r="H90" s="89">
        <f>G90*E$12</f>
        <v>-16151.377568291156</v>
      </c>
    </row>
    <row r="91" spans="1:8" x14ac:dyDescent="0.25">
      <c r="A91" s="399">
        <v>239</v>
      </c>
      <c r="B91" s="399" t="s">
        <v>349</v>
      </c>
      <c r="C91" s="399">
        <v>11</v>
      </c>
      <c r="D91" s="89">
        <v>-11397</v>
      </c>
      <c r="E91" s="89">
        <v>-11167</v>
      </c>
      <c r="F91" s="89">
        <f t="shared" si="1"/>
        <v>-11282</v>
      </c>
      <c r="G91" s="400">
        <f>F91/F$12</f>
        <v>5.5297802216249848E-4</v>
      </c>
      <c r="H91" s="89">
        <f>G91*E$12</f>
        <v>-11473.356109146256</v>
      </c>
    </row>
    <row r="92" spans="1:8" x14ac:dyDescent="0.25">
      <c r="A92" s="399">
        <v>240</v>
      </c>
      <c r="B92" s="399" t="s">
        <v>348</v>
      </c>
      <c r="C92" s="399">
        <v>19</v>
      </c>
      <c r="D92" s="89">
        <v>-101577</v>
      </c>
      <c r="E92" s="89">
        <v>-97869</v>
      </c>
      <c r="F92" s="89">
        <f t="shared" si="1"/>
        <v>-99723</v>
      </c>
      <c r="G92" s="400">
        <f>F92/F$12</f>
        <v>4.8878414557800773E-3</v>
      </c>
      <c r="H92" s="89">
        <f>G92*E$12</f>
        <v>-101414.4204283276</v>
      </c>
    </row>
    <row r="93" spans="1:8" x14ac:dyDescent="0.25">
      <c r="A93" s="399">
        <v>241</v>
      </c>
      <c r="B93" s="399" t="s">
        <v>347</v>
      </c>
      <c r="C93" s="399">
        <v>19</v>
      </c>
      <c r="D93" s="89">
        <v>-31457</v>
      </c>
      <c r="E93" s="89">
        <v>-32841</v>
      </c>
      <c r="F93" s="89">
        <f t="shared" si="1"/>
        <v>-32149</v>
      </c>
      <c r="G93" s="400">
        <f>F93/F$12</f>
        <v>1.5757569964990393E-3</v>
      </c>
      <c r="H93" s="89">
        <f>G93*E$12</f>
        <v>-32694.285193489002</v>
      </c>
    </row>
    <row r="94" spans="1:8" x14ac:dyDescent="0.25">
      <c r="A94" s="399">
        <v>244</v>
      </c>
      <c r="B94" s="399" t="s">
        <v>346</v>
      </c>
      <c r="C94" s="399">
        <v>17</v>
      </c>
      <c r="D94" s="89">
        <v>-54335</v>
      </c>
      <c r="E94" s="89">
        <v>-57712</v>
      </c>
      <c r="F94" s="89">
        <f t="shared" si="1"/>
        <v>-56023.5</v>
      </c>
      <c r="G94" s="400">
        <f>F94/F$12</f>
        <v>2.7459461287556047E-3</v>
      </c>
      <c r="H94" s="89">
        <f>G94*E$12</f>
        <v>-56973.725047044427</v>
      </c>
    </row>
    <row r="95" spans="1:8" x14ac:dyDescent="0.25">
      <c r="A95" s="399">
        <v>245</v>
      </c>
      <c r="B95" s="399" t="s">
        <v>345</v>
      </c>
      <c r="C95" s="399">
        <v>32</v>
      </c>
      <c r="D95" s="89">
        <v>-123967</v>
      </c>
      <c r="E95" s="89">
        <v>-124822</v>
      </c>
      <c r="F95" s="89">
        <f t="shared" si="1"/>
        <v>-124394.5</v>
      </c>
      <c r="G95" s="400">
        <f>F95/F$12</f>
        <v>6.0970948925627468E-3</v>
      </c>
      <c r="H95" s="89">
        <f>G95*E$12</f>
        <v>-126504.37834773921</v>
      </c>
    </row>
    <row r="96" spans="1:8" x14ac:dyDescent="0.25">
      <c r="A96" s="399">
        <v>249</v>
      </c>
      <c r="B96" s="399" t="s">
        <v>344</v>
      </c>
      <c r="C96" s="399">
        <v>13</v>
      </c>
      <c r="D96" s="89">
        <v>-41406</v>
      </c>
      <c r="E96" s="89">
        <v>-41662</v>
      </c>
      <c r="F96" s="89">
        <f t="shared" si="1"/>
        <v>-41534</v>
      </c>
      <c r="G96" s="400">
        <f>F96/F$12</f>
        <v>2.0357551119036706E-3</v>
      </c>
      <c r="H96" s="89">
        <f>G96*E$12</f>
        <v>-42238.465931331375</v>
      </c>
    </row>
    <row r="97" spans="1:8" x14ac:dyDescent="0.25">
      <c r="A97" s="399">
        <v>250</v>
      </c>
      <c r="B97" s="399" t="s">
        <v>343</v>
      </c>
      <c r="C97" s="399">
        <v>6</v>
      </c>
      <c r="D97" s="89">
        <v>-8640</v>
      </c>
      <c r="E97" s="89">
        <v>-8694</v>
      </c>
      <c r="F97" s="89">
        <f t="shared" si="1"/>
        <v>-8667</v>
      </c>
      <c r="G97" s="400">
        <f>F97/F$12</f>
        <v>4.2480593140244405E-4</v>
      </c>
      <c r="H97" s="89">
        <f>G97*E$12</f>
        <v>-8814.002605741056</v>
      </c>
    </row>
    <row r="98" spans="1:8" x14ac:dyDescent="0.25">
      <c r="A98" s="399">
        <v>256</v>
      </c>
      <c r="B98" s="399" t="s">
        <v>342</v>
      </c>
      <c r="C98" s="399">
        <v>13</v>
      </c>
      <c r="D98" s="89">
        <v>-7361</v>
      </c>
      <c r="E98" s="89">
        <v>-8067</v>
      </c>
      <c r="F98" s="89">
        <f t="shared" si="1"/>
        <v>-7714</v>
      </c>
      <c r="G98" s="400">
        <f>F98/F$12</f>
        <v>3.7809541419619861E-4</v>
      </c>
      <c r="H98" s="89">
        <f>G98*E$12</f>
        <v>-7844.838594748644</v>
      </c>
    </row>
    <row r="99" spans="1:8" x14ac:dyDescent="0.25">
      <c r="A99" s="399">
        <v>257</v>
      </c>
      <c r="B99" s="399" t="s">
        <v>341</v>
      </c>
      <c r="C99" s="399">
        <v>33</v>
      </c>
      <c r="D99" s="89">
        <v>-115318</v>
      </c>
      <c r="E99" s="89">
        <v>-122823</v>
      </c>
      <c r="F99" s="89">
        <f t="shared" si="1"/>
        <v>-119070.5</v>
      </c>
      <c r="G99" s="400">
        <f>F99/F$12</f>
        <v>5.8361433777610145E-3</v>
      </c>
      <c r="H99" s="89">
        <f>G99*E$12</f>
        <v>-121090.07698937236</v>
      </c>
    </row>
    <row r="100" spans="1:8" x14ac:dyDescent="0.25">
      <c r="A100" s="399">
        <v>260</v>
      </c>
      <c r="B100" s="399" t="s">
        <v>340</v>
      </c>
      <c r="C100" s="399">
        <v>12</v>
      </c>
      <c r="D100" s="89">
        <v>-45690</v>
      </c>
      <c r="E100" s="89">
        <v>-45607</v>
      </c>
      <c r="F100" s="89">
        <f t="shared" si="1"/>
        <v>-45648.5</v>
      </c>
      <c r="G100" s="400">
        <f>F100/F$12</f>
        <v>2.2374239713423868E-3</v>
      </c>
      <c r="H100" s="89">
        <f>G100*E$12</f>
        <v>-46422.752734299131</v>
      </c>
    </row>
    <row r="101" spans="1:8" x14ac:dyDescent="0.25">
      <c r="A101" s="399">
        <v>261</v>
      </c>
      <c r="B101" s="399" t="s">
        <v>339</v>
      </c>
      <c r="C101" s="399">
        <v>19</v>
      </c>
      <c r="D101" s="89">
        <v>-27932</v>
      </c>
      <c r="E101" s="89">
        <v>-29501</v>
      </c>
      <c r="F101" s="89">
        <f t="shared" si="1"/>
        <v>-28716.5</v>
      </c>
      <c r="G101" s="400">
        <f>F101/F$12</f>
        <v>1.4075158104440157E-3</v>
      </c>
      <c r="H101" s="89">
        <f>G101*E$12</f>
        <v>-29203.565919898814</v>
      </c>
    </row>
    <row r="102" spans="1:8" x14ac:dyDescent="0.25">
      <c r="A102" s="399">
        <v>263</v>
      </c>
      <c r="B102" s="399" t="s">
        <v>338</v>
      </c>
      <c r="C102" s="399">
        <v>11</v>
      </c>
      <c r="D102" s="89">
        <v>-35896</v>
      </c>
      <c r="E102" s="89">
        <v>-36496</v>
      </c>
      <c r="F102" s="89">
        <f t="shared" si="1"/>
        <v>-36196</v>
      </c>
      <c r="G102" s="400">
        <f>F102/F$12</f>
        <v>1.7741173985280796E-3</v>
      </c>
      <c r="H102" s="89">
        <f>G102*E$12</f>
        <v>-36809.927116349747</v>
      </c>
    </row>
    <row r="103" spans="1:8" x14ac:dyDescent="0.25">
      <c r="A103" s="399">
        <v>265</v>
      </c>
      <c r="B103" s="399" t="s">
        <v>337</v>
      </c>
      <c r="C103" s="399">
        <v>13</v>
      </c>
      <c r="D103" s="89">
        <v>-5698</v>
      </c>
      <c r="E103" s="89">
        <v>-5501</v>
      </c>
      <c r="F103" s="89">
        <f t="shared" si="1"/>
        <v>-5599.5</v>
      </c>
      <c r="G103" s="400">
        <f>F103/F$12</f>
        <v>2.7445492245159638E-4</v>
      </c>
      <c r="H103" s="89">
        <f>G103*E$12</f>
        <v>-5694.4741653221472</v>
      </c>
    </row>
    <row r="104" spans="1:8" x14ac:dyDescent="0.25">
      <c r="A104" s="399">
        <v>271</v>
      </c>
      <c r="B104" s="399" t="s">
        <v>336</v>
      </c>
      <c r="C104" s="399">
        <v>4</v>
      </c>
      <c r="D104" s="89">
        <v>-28490</v>
      </c>
      <c r="E104" s="89">
        <v>-30102</v>
      </c>
      <c r="F104" s="89">
        <f t="shared" si="1"/>
        <v>-29296</v>
      </c>
      <c r="G104" s="400">
        <f>F104/F$12</f>
        <v>1.4359195299833854E-3</v>
      </c>
      <c r="H104" s="89">
        <f>G104*E$12</f>
        <v>-29792.894927632395</v>
      </c>
    </row>
    <row r="105" spans="1:8" x14ac:dyDescent="0.25">
      <c r="A105" s="399">
        <v>272</v>
      </c>
      <c r="B105" s="399" t="s">
        <v>335</v>
      </c>
      <c r="C105" s="399">
        <v>16</v>
      </c>
      <c r="D105" s="89">
        <v>-178372</v>
      </c>
      <c r="E105" s="89">
        <v>-178388</v>
      </c>
      <c r="F105" s="89">
        <f t="shared" si="1"/>
        <v>-178380</v>
      </c>
      <c r="G105" s="400">
        <f>F105/F$12</f>
        <v>8.7431501146380489E-3</v>
      </c>
      <c r="H105" s="89">
        <f>G105*E$12</f>
        <v>-181405.5364961451</v>
      </c>
    </row>
    <row r="106" spans="1:8" x14ac:dyDescent="0.25">
      <c r="A106" s="399">
        <v>273</v>
      </c>
      <c r="B106" s="399" t="s">
        <v>334</v>
      </c>
      <c r="C106" s="399">
        <v>19</v>
      </c>
      <c r="D106" s="89">
        <v>-17871</v>
      </c>
      <c r="E106" s="89">
        <v>-18523</v>
      </c>
      <c r="F106" s="89">
        <f t="shared" si="1"/>
        <v>-18197</v>
      </c>
      <c r="G106" s="400">
        <f>F106/F$12</f>
        <v>8.9191110346489844E-4</v>
      </c>
      <c r="H106" s="89">
        <f>G106*E$12</f>
        <v>-18505.642715665166</v>
      </c>
    </row>
    <row r="107" spans="1:8" x14ac:dyDescent="0.25">
      <c r="A107" s="399">
        <v>275</v>
      </c>
      <c r="B107" s="399" t="s">
        <v>333</v>
      </c>
      <c r="C107" s="399">
        <v>13</v>
      </c>
      <c r="D107" s="89">
        <v>-10888</v>
      </c>
      <c r="E107" s="89">
        <v>-11566</v>
      </c>
      <c r="F107" s="89">
        <f t="shared" si="1"/>
        <v>-11227</v>
      </c>
      <c r="G107" s="400">
        <f>F107/F$12</f>
        <v>5.5028224205091027E-4</v>
      </c>
      <c r="H107" s="89">
        <f>G107*E$12</f>
        <v>-11417.423243873869</v>
      </c>
    </row>
    <row r="108" spans="1:8" x14ac:dyDescent="0.25">
      <c r="A108" s="399">
        <v>276</v>
      </c>
      <c r="B108" s="399" t="s">
        <v>332</v>
      </c>
      <c r="C108" s="399">
        <v>12</v>
      </c>
      <c r="D108" s="89">
        <v>-38787</v>
      </c>
      <c r="E108" s="89">
        <v>-40087</v>
      </c>
      <c r="F108" s="89">
        <f t="shared" si="1"/>
        <v>-39437</v>
      </c>
      <c r="G108" s="400">
        <f>F108/F$12</f>
        <v>1.9329723683763917E-3</v>
      </c>
      <c r="H108" s="89">
        <f>G108*E$12</f>
        <v>-40105.898322673362</v>
      </c>
    </row>
    <row r="109" spans="1:8" x14ac:dyDescent="0.25">
      <c r="A109" s="399">
        <v>280</v>
      </c>
      <c r="B109" s="399" t="s">
        <v>331</v>
      </c>
      <c r="C109" s="399">
        <v>15</v>
      </c>
      <c r="D109" s="89">
        <v>-8299</v>
      </c>
      <c r="E109" s="89">
        <v>-8607</v>
      </c>
      <c r="F109" s="89">
        <f t="shared" si="1"/>
        <v>-8453</v>
      </c>
      <c r="G109" s="400">
        <f>F109/F$12</f>
        <v>4.1431689605917382E-4</v>
      </c>
      <c r="H109" s="89">
        <f>G109*E$12</f>
        <v>-8596.3729117721396</v>
      </c>
    </row>
    <row r="110" spans="1:8" x14ac:dyDescent="0.25">
      <c r="A110" s="399">
        <v>284</v>
      </c>
      <c r="B110" s="399" t="s">
        <v>330</v>
      </c>
      <c r="C110" s="399">
        <v>2</v>
      </c>
      <c r="D110" s="89">
        <v>-8857</v>
      </c>
      <c r="E110" s="89">
        <v>-8895</v>
      </c>
      <c r="F110" s="89">
        <f t="shared" si="1"/>
        <v>-8876</v>
      </c>
      <c r="G110" s="400">
        <f>F110/F$12</f>
        <v>4.3504989582647898E-4</v>
      </c>
      <c r="H110" s="89">
        <f>G110*E$12</f>
        <v>-9026.5474937761173</v>
      </c>
    </row>
    <row r="111" spans="1:8" x14ac:dyDescent="0.25">
      <c r="A111" s="399">
        <v>285</v>
      </c>
      <c r="B111" s="399" t="s">
        <v>329</v>
      </c>
      <c r="C111" s="399">
        <v>8</v>
      </c>
      <c r="D111" s="89">
        <v>-224611</v>
      </c>
      <c r="E111" s="89">
        <v>-226179</v>
      </c>
      <c r="F111" s="89">
        <f t="shared" si="1"/>
        <v>-225395</v>
      </c>
      <c r="G111" s="400">
        <f>F111/F$12</f>
        <v>1.1047551968207441E-2</v>
      </c>
      <c r="H111" s="89">
        <f>G111*E$12</f>
        <v>-229217.96669216632</v>
      </c>
    </row>
    <row r="112" spans="1:8" x14ac:dyDescent="0.25">
      <c r="A112" s="399">
        <v>286</v>
      </c>
      <c r="B112" s="399" t="s">
        <v>328</v>
      </c>
      <c r="C112" s="399">
        <v>8</v>
      </c>
      <c r="D112" s="89">
        <v>-340311</v>
      </c>
      <c r="E112" s="89">
        <v>-341292</v>
      </c>
      <c r="F112" s="89">
        <f t="shared" si="1"/>
        <v>-340801.5</v>
      </c>
      <c r="G112" s="400">
        <f>F112/F$12</f>
        <v>1.6704107376352837E-2</v>
      </c>
      <c r="H112" s="89">
        <f>G112*E$12</f>
        <v>-346581.89789321105</v>
      </c>
    </row>
    <row r="113" spans="1:8" x14ac:dyDescent="0.25">
      <c r="A113" s="399">
        <v>287</v>
      </c>
      <c r="B113" s="399" t="s">
        <v>327</v>
      </c>
      <c r="C113" s="399">
        <v>15</v>
      </c>
      <c r="D113" s="89">
        <v>-29411</v>
      </c>
      <c r="E113" s="89">
        <v>-29373</v>
      </c>
      <c r="F113" s="89">
        <f t="shared" si="1"/>
        <v>-29392</v>
      </c>
      <c r="G113" s="400">
        <f>F113/F$12</f>
        <v>1.4406248916327029E-3</v>
      </c>
      <c r="H113" s="89">
        <f>G113*E$12</f>
        <v>-29890.523201562377</v>
      </c>
    </row>
    <row r="114" spans="1:8" x14ac:dyDescent="0.25">
      <c r="A114" s="399">
        <v>288</v>
      </c>
      <c r="B114" s="399" t="s">
        <v>326</v>
      </c>
      <c r="C114" s="399">
        <v>15</v>
      </c>
      <c r="D114" s="89">
        <v>-25322</v>
      </c>
      <c r="E114" s="89">
        <v>-25505</v>
      </c>
      <c r="F114" s="89">
        <f t="shared" si="1"/>
        <v>-25413.5</v>
      </c>
      <c r="G114" s="400">
        <f>F114/F$12</f>
        <v>1.2456219611971862E-3</v>
      </c>
      <c r="H114" s="89">
        <f>G114*E$12</f>
        <v>-25844.543119995422</v>
      </c>
    </row>
    <row r="115" spans="1:8" x14ac:dyDescent="0.25">
      <c r="A115" s="399">
        <v>290</v>
      </c>
      <c r="B115" s="399" t="s">
        <v>325</v>
      </c>
      <c r="C115" s="399">
        <v>18</v>
      </c>
      <c r="D115" s="89">
        <v>-42426</v>
      </c>
      <c r="E115" s="89">
        <v>-43363</v>
      </c>
      <c r="F115" s="89">
        <f t="shared" si="1"/>
        <v>-42894.5</v>
      </c>
      <c r="G115" s="400">
        <f>F115/F$12</f>
        <v>2.1024389090275918E-3</v>
      </c>
      <c r="H115" s="89">
        <f>G115*E$12</f>
        <v>-43622.041625932819</v>
      </c>
    </row>
    <row r="116" spans="1:8" x14ac:dyDescent="0.25">
      <c r="A116" s="399">
        <v>291</v>
      </c>
      <c r="B116" s="399" t="s">
        <v>324</v>
      </c>
      <c r="C116" s="399">
        <v>6</v>
      </c>
      <c r="D116" s="89">
        <v>-10554</v>
      </c>
      <c r="E116" s="89">
        <v>-11119</v>
      </c>
      <c r="F116" s="89">
        <f t="shared" si="1"/>
        <v>-10836.5</v>
      </c>
      <c r="G116" s="400">
        <f>F116/F$12</f>
        <v>5.311422032586345E-4</v>
      </c>
      <c r="H116" s="89">
        <f>G116*E$12</f>
        <v>-11020.299900439939</v>
      </c>
    </row>
    <row r="117" spans="1:8" x14ac:dyDescent="0.25">
      <c r="A117" s="399">
        <v>297</v>
      </c>
      <c r="B117" s="399" t="s">
        <v>323</v>
      </c>
      <c r="C117" s="399">
        <v>11</v>
      </c>
      <c r="D117" s="89">
        <v>-467386</v>
      </c>
      <c r="E117" s="89">
        <v>-479672</v>
      </c>
      <c r="F117" s="89">
        <f t="shared" si="1"/>
        <v>-473529</v>
      </c>
      <c r="G117" s="400">
        <f>F117/F$12</f>
        <v>2.3209637462913112E-2</v>
      </c>
      <c r="H117" s="89">
        <f>G117*E$12</f>
        <v>-481560.61381030997</v>
      </c>
    </row>
    <row r="118" spans="1:8" x14ac:dyDescent="0.25">
      <c r="A118" s="399">
        <v>300</v>
      </c>
      <c r="B118" s="399" t="s">
        <v>322</v>
      </c>
      <c r="C118" s="399">
        <v>14</v>
      </c>
      <c r="D118" s="89">
        <v>-14908</v>
      </c>
      <c r="E118" s="89">
        <v>-15553</v>
      </c>
      <c r="F118" s="89">
        <f t="shared" si="1"/>
        <v>-15230.5</v>
      </c>
      <c r="G118" s="400">
        <f>F118/F$12</f>
        <v>7.4651052708260351E-4</v>
      </c>
      <c r="H118" s="89">
        <f>G118*E$12</f>
        <v>-15488.82735511009</v>
      </c>
    </row>
    <row r="119" spans="1:8" x14ac:dyDescent="0.25">
      <c r="A119" s="399">
        <v>301</v>
      </c>
      <c r="B119" s="399" t="s">
        <v>321</v>
      </c>
      <c r="C119" s="399">
        <v>14</v>
      </c>
      <c r="D119" s="89">
        <v>-93171</v>
      </c>
      <c r="E119" s="89">
        <v>-88078</v>
      </c>
      <c r="F119" s="89">
        <f t="shared" si="1"/>
        <v>-90624.5</v>
      </c>
      <c r="G119" s="400">
        <f>F119/F$12</f>
        <v>4.441885904047628E-3</v>
      </c>
      <c r="H119" s="89">
        <f>G119*E$12</f>
        <v>-92161.599070495024</v>
      </c>
    </row>
    <row r="120" spans="1:8" x14ac:dyDescent="0.25">
      <c r="A120" s="399">
        <v>304</v>
      </c>
      <c r="B120" s="399" t="s">
        <v>320</v>
      </c>
      <c r="C120" s="399">
        <v>2</v>
      </c>
      <c r="D120" s="89">
        <v>-4700</v>
      </c>
      <c r="E120" s="89">
        <v>-4706</v>
      </c>
      <c r="F120" s="89">
        <f t="shared" si="1"/>
        <v>-4703</v>
      </c>
      <c r="G120" s="400">
        <f>F120/F$12</f>
        <v>2.3051370663270963E-4</v>
      </c>
      <c r="H120" s="89">
        <f>G120*E$12</f>
        <v>-4782.7684613822757</v>
      </c>
    </row>
    <row r="121" spans="1:8" x14ac:dyDescent="0.25">
      <c r="A121" s="399">
        <v>305</v>
      </c>
      <c r="B121" s="399" t="s">
        <v>319</v>
      </c>
      <c r="C121" s="399">
        <v>17</v>
      </c>
      <c r="D121" s="89">
        <v>-63647</v>
      </c>
      <c r="E121" s="89">
        <v>-64136</v>
      </c>
      <c r="F121" s="89">
        <f t="shared" si="1"/>
        <v>-63891.5</v>
      </c>
      <c r="G121" s="400">
        <f>F121/F$12</f>
        <v>3.1315897272642499E-3</v>
      </c>
      <c r="H121" s="89">
        <f>G121*E$12</f>
        <v>-64975.175664555747</v>
      </c>
    </row>
    <row r="122" spans="1:8" x14ac:dyDescent="0.25">
      <c r="A122" s="399">
        <v>309</v>
      </c>
      <c r="B122" s="399" t="s">
        <v>318</v>
      </c>
      <c r="C122" s="399">
        <v>12</v>
      </c>
      <c r="D122" s="89">
        <v>-29833</v>
      </c>
      <c r="E122" s="89">
        <v>-30800</v>
      </c>
      <c r="F122" s="89">
        <f t="shared" si="1"/>
        <v>-30316.5</v>
      </c>
      <c r="G122" s="400">
        <f>F122/F$12</f>
        <v>1.4859385045993072E-3</v>
      </c>
      <c r="H122" s="89">
        <f>G122*E$12</f>
        <v>-30830.703818731825</v>
      </c>
    </row>
    <row r="123" spans="1:8" x14ac:dyDescent="0.25">
      <c r="A123" s="399">
        <v>312</v>
      </c>
      <c r="B123" s="399" t="s">
        <v>317</v>
      </c>
      <c r="C123" s="399">
        <v>13</v>
      </c>
      <c r="D123" s="89">
        <v>-5851</v>
      </c>
      <c r="E123" s="89">
        <v>-5922</v>
      </c>
      <c r="F123" s="89">
        <f t="shared" si="1"/>
        <v>-5886.5</v>
      </c>
      <c r="G123" s="400">
        <f>F123/F$12</f>
        <v>2.8852199321570177E-4</v>
      </c>
      <c r="H123" s="89">
        <f>G123*E$12</f>
        <v>-5986.342025925318</v>
      </c>
    </row>
    <row r="124" spans="1:8" x14ac:dyDescent="0.25">
      <c r="A124" s="399">
        <v>316</v>
      </c>
      <c r="B124" s="399" t="s">
        <v>316</v>
      </c>
      <c r="C124" s="399">
        <v>7</v>
      </c>
      <c r="D124" s="89">
        <v>-16332</v>
      </c>
      <c r="E124" s="89">
        <v>-16293</v>
      </c>
      <c r="F124" s="89">
        <f t="shared" si="1"/>
        <v>-16312.5</v>
      </c>
      <c r="G124" s="400">
        <f>F124/F$12</f>
        <v>7.9954387400511925E-4</v>
      </c>
      <c r="H124" s="89">
        <f>G124*E$12</f>
        <v>-16589.17935919591</v>
      </c>
    </row>
    <row r="125" spans="1:8" x14ac:dyDescent="0.25">
      <c r="A125" s="399">
        <v>317</v>
      </c>
      <c r="B125" s="399" t="s">
        <v>315</v>
      </c>
      <c r="C125" s="399">
        <v>17</v>
      </c>
      <c r="D125" s="89">
        <v>-10640</v>
      </c>
      <c r="E125" s="89">
        <v>-10562</v>
      </c>
      <c r="F125" s="89">
        <f t="shared" si="1"/>
        <v>-10601</v>
      </c>
      <c r="G125" s="400">
        <f>F125/F$12</f>
        <v>5.1959936296265259E-4</v>
      </c>
      <c r="H125" s="89">
        <f>G125*E$12</f>
        <v>-10780.805540955456</v>
      </c>
    </row>
    <row r="126" spans="1:8" x14ac:dyDescent="0.25">
      <c r="A126" s="399">
        <v>320</v>
      </c>
      <c r="B126" s="399" t="s">
        <v>314</v>
      </c>
      <c r="C126" s="399">
        <v>19</v>
      </c>
      <c r="D126" s="89">
        <v>-35138</v>
      </c>
      <c r="E126" s="89">
        <v>-39398</v>
      </c>
      <c r="F126" s="89">
        <f t="shared" si="1"/>
        <v>-37268</v>
      </c>
      <c r="G126" s="400">
        <f>F126/F$12</f>
        <v>1.8266606036121248E-3</v>
      </c>
      <c r="H126" s="89">
        <f>G126*E$12</f>
        <v>-37900.109508567861</v>
      </c>
    </row>
    <row r="127" spans="1:8" x14ac:dyDescent="0.25">
      <c r="A127" s="399">
        <v>322</v>
      </c>
      <c r="B127" s="399" t="s">
        <v>313</v>
      </c>
      <c r="C127" s="399">
        <v>2</v>
      </c>
      <c r="D127" s="89">
        <v>-25951</v>
      </c>
      <c r="E127" s="89">
        <v>-28195</v>
      </c>
      <c r="F127" s="89">
        <f t="shared" si="1"/>
        <v>-27073</v>
      </c>
      <c r="G127" s="400">
        <f>F127/F$12</f>
        <v>1.3269609992913774E-3</v>
      </c>
      <c r="H127" s="89">
        <f>G127*E$12</f>
        <v>-27532.190209441284</v>
      </c>
    </row>
    <row r="128" spans="1:8" x14ac:dyDescent="0.25">
      <c r="A128" s="399">
        <v>398</v>
      </c>
      <c r="B128" s="399" t="s">
        <v>312</v>
      </c>
      <c r="C128" s="399">
        <v>7</v>
      </c>
      <c r="D128" s="89">
        <v>-411394</v>
      </c>
      <c r="E128" s="89">
        <v>-430331</v>
      </c>
      <c r="F128" s="89">
        <f t="shared" si="1"/>
        <v>-420862.5</v>
      </c>
      <c r="G128" s="400">
        <f>F128/F$12</f>
        <v>2.0628231949332079E-2</v>
      </c>
      <c r="H128" s="89">
        <f>G128*E$12</f>
        <v>-428000.82746725454</v>
      </c>
    </row>
    <row r="129" spans="1:8" x14ac:dyDescent="0.25">
      <c r="A129" s="399">
        <v>399</v>
      </c>
      <c r="B129" s="399" t="s">
        <v>311</v>
      </c>
      <c r="C129" s="399">
        <v>15</v>
      </c>
      <c r="D129" s="89">
        <v>-27410</v>
      </c>
      <c r="E129" s="89">
        <v>-31050</v>
      </c>
      <c r="F129" s="89">
        <f t="shared" si="1"/>
        <v>-29230</v>
      </c>
      <c r="G129" s="400">
        <f>F129/F$12</f>
        <v>1.4326845938494796E-3</v>
      </c>
      <c r="H129" s="89">
        <f>G129*E$12</f>
        <v>-29725.775489305532</v>
      </c>
    </row>
    <row r="130" spans="1:8" x14ac:dyDescent="0.25">
      <c r="A130" s="399">
        <v>400</v>
      </c>
      <c r="B130" s="399" t="s">
        <v>310</v>
      </c>
      <c r="C130" s="399">
        <v>2</v>
      </c>
      <c r="D130" s="89">
        <v>-30521</v>
      </c>
      <c r="E130" s="89">
        <v>-31605</v>
      </c>
      <c r="F130" s="89">
        <f t="shared" si="1"/>
        <v>-31063</v>
      </c>
      <c r="G130" s="400">
        <f>F130/F$12</f>
        <v>1.5225275928411354E-3</v>
      </c>
      <c r="H130" s="89">
        <f>G130*E$12</f>
        <v>-31589.8653446561</v>
      </c>
    </row>
    <row r="131" spans="1:8" x14ac:dyDescent="0.25">
      <c r="A131" s="399">
        <v>402</v>
      </c>
      <c r="B131" s="399" t="s">
        <v>309</v>
      </c>
      <c r="C131" s="399">
        <v>11</v>
      </c>
      <c r="D131" s="89">
        <v>-43135</v>
      </c>
      <c r="E131" s="89">
        <v>-41140</v>
      </c>
      <c r="F131" s="89">
        <f t="shared" si="1"/>
        <v>-42137.5</v>
      </c>
      <c r="G131" s="400">
        <f>F131/F$12</f>
        <v>2.0653351718553695E-3</v>
      </c>
      <c r="H131" s="89">
        <f>G131*E$12</f>
        <v>-42852.20200754745</v>
      </c>
    </row>
    <row r="132" spans="1:8" x14ac:dyDescent="0.25">
      <c r="A132" s="399">
        <v>403</v>
      </c>
      <c r="B132" s="399" t="s">
        <v>308</v>
      </c>
      <c r="C132" s="399">
        <v>14</v>
      </c>
      <c r="D132" s="89">
        <v>-13702</v>
      </c>
      <c r="E132" s="89">
        <v>-13656</v>
      </c>
      <c r="F132" s="89">
        <f t="shared" si="1"/>
        <v>-13679</v>
      </c>
      <c r="G132" s="400">
        <f>F132/F$12</f>
        <v>6.704650208438944E-4</v>
      </c>
      <c r="H132" s="89">
        <f>G132*E$12</f>
        <v>-13911.012073835458</v>
      </c>
    </row>
    <row r="133" spans="1:8" x14ac:dyDescent="0.25">
      <c r="A133" s="399">
        <v>405</v>
      </c>
      <c r="B133" s="399" t="s">
        <v>307</v>
      </c>
      <c r="C133" s="399">
        <v>9</v>
      </c>
      <c r="D133" s="89">
        <v>-261556</v>
      </c>
      <c r="E133" s="89">
        <v>-268129</v>
      </c>
      <c r="F133" s="89">
        <f t="shared" si="1"/>
        <v>-264842.5</v>
      </c>
      <c r="G133" s="400">
        <f>F133/F$12</f>
        <v>1.2981038985514226E-2</v>
      </c>
      <c r="H133" s="89">
        <f>G133*E$12</f>
        <v>-269334.54310730076</v>
      </c>
    </row>
    <row r="134" spans="1:8" x14ac:dyDescent="0.25">
      <c r="A134" s="399">
        <v>407</v>
      </c>
      <c r="B134" s="399" t="s">
        <v>306</v>
      </c>
      <c r="C134" s="399">
        <v>34</v>
      </c>
      <c r="D134" s="89">
        <v>-10517</v>
      </c>
      <c r="E134" s="89">
        <v>-10645</v>
      </c>
      <c r="F134" s="89">
        <f t="shared" si="1"/>
        <v>-10581</v>
      </c>
      <c r="G134" s="400">
        <f>F134/F$12</f>
        <v>5.1861907928571135E-4</v>
      </c>
      <c r="H134" s="89">
        <f>G134*E$12</f>
        <v>-10760.466317220042</v>
      </c>
    </row>
    <row r="135" spans="1:8" x14ac:dyDescent="0.25">
      <c r="A135" s="399">
        <v>408</v>
      </c>
      <c r="B135" s="399" t="s">
        <v>305</v>
      </c>
      <c r="C135" s="399">
        <v>14</v>
      </c>
      <c r="D135" s="89">
        <v>-55800</v>
      </c>
      <c r="E135" s="89">
        <v>-54310</v>
      </c>
      <c r="F135" s="89">
        <f t="shared" si="1"/>
        <v>-55055</v>
      </c>
      <c r="G135" s="400">
        <f>F135/F$12</f>
        <v>2.6984758916997298E-3</v>
      </c>
      <c r="H135" s="89">
        <f>G135*E$12</f>
        <v>-55988.798137657068</v>
      </c>
    </row>
    <row r="136" spans="1:8" x14ac:dyDescent="0.25">
      <c r="A136" s="399">
        <v>410</v>
      </c>
      <c r="B136" s="399" t="s">
        <v>304</v>
      </c>
      <c r="C136" s="399">
        <v>13</v>
      </c>
      <c r="D136" s="89">
        <v>-62519</v>
      </c>
      <c r="E136" s="89">
        <v>-63530</v>
      </c>
      <c r="F136" s="89">
        <f t="shared" si="1"/>
        <v>-63024.5</v>
      </c>
      <c r="G136" s="400">
        <f>F136/F$12</f>
        <v>3.0890944298688516E-3</v>
      </c>
      <c r="H136" s="89">
        <f>G136*E$12</f>
        <v>-64093.470315625615</v>
      </c>
    </row>
    <row r="137" spans="1:8" x14ac:dyDescent="0.25">
      <c r="A137" s="399">
        <v>416</v>
      </c>
      <c r="B137" s="399" t="s">
        <v>303</v>
      </c>
      <c r="C137" s="399">
        <v>9</v>
      </c>
      <c r="D137" s="89">
        <v>-10974</v>
      </c>
      <c r="E137" s="89">
        <v>-11512</v>
      </c>
      <c r="F137" s="89">
        <f t="shared" si="1"/>
        <v>-11243</v>
      </c>
      <c r="G137" s="400">
        <f>F137/F$12</f>
        <v>5.5106646899246326E-4</v>
      </c>
      <c r="H137" s="89">
        <f>G137*E$12</f>
        <v>-11433.694622862202</v>
      </c>
    </row>
    <row r="138" spans="1:8" x14ac:dyDescent="0.25">
      <c r="A138" s="399">
        <v>418</v>
      </c>
      <c r="B138" s="399" t="s">
        <v>302</v>
      </c>
      <c r="C138" s="399">
        <v>6</v>
      </c>
      <c r="D138" s="89">
        <v>-66294</v>
      </c>
      <c r="E138" s="89">
        <v>-67275</v>
      </c>
      <c r="F138" s="89">
        <f t="shared" si="1"/>
        <v>-66784.5</v>
      </c>
      <c r="G138" s="400">
        <f>F138/F$12</f>
        <v>3.2733877611337862E-3</v>
      </c>
      <c r="H138" s="89">
        <f>G138*E$12</f>
        <v>-67917.24437788318</v>
      </c>
    </row>
    <row r="139" spans="1:8" x14ac:dyDescent="0.25">
      <c r="A139" s="399">
        <v>420</v>
      </c>
      <c r="B139" s="399" t="s">
        <v>301</v>
      </c>
      <c r="C139" s="399">
        <v>11</v>
      </c>
      <c r="D139" s="89">
        <v>-41450</v>
      </c>
      <c r="E139" s="89">
        <v>-42026</v>
      </c>
      <c r="F139" s="89">
        <f t="shared" si="1"/>
        <v>-41738</v>
      </c>
      <c r="G139" s="400">
        <f>F139/F$12</f>
        <v>2.04575400540847E-3</v>
      </c>
      <c r="H139" s="89">
        <f>G139*E$12</f>
        <v>-42445.926013432581</v>
      </c>
    </row>
    <row r="140" spans="1:8" x14ac:dyDescent="0.25">
      <c r="A140" s="399">
        <v>421</v>
      </c>
      <c r="B140" s="399" t="s">
        <v>300</v>
      </c>
      <c r="C140" s="399">
        <v>16</v>
      </c>
      <c r="D140" s="89">
        <v>-2803</v>
      </c>
      <c r="E140" s="89">
        <v>-2905</v>
      </c>
      <c r="F140" s="89">
        <f t="shared" si="1"/>
        <v>-2854</v>
      </c>
      <c r="G140" s="400">
        <f>F140/F$12</f>
        <v>1.3988648069950102E-4</v>
      </c>
      <c r="H140" s="89">
        <f>G140*E$12</f>
        <v>-2902.4072270433799</v>
      </c>
    </row>
    <row r="141" spans="1:8" x14ac:dyDescent="0.25">
      <c r="A141" s="399">
        <v>422</v>
      </c>
      <c r="B141" s="399" t="s">
        <v>299</v>
      </c>
      <c r="C141" s="399">
        <v>12</v>
      </c>
      <c r="D141" s="89">
        <v>-52029</v>
      </c>
      <c r="E141" s="89">
        <v>-52592</v>
      </c>
      <c r="F141" s="89">
        <f t="shared" si="1"/>
        <v>-52310.5</v>
      </c>
      <c r="G141" s="400">
        <f>F141/F$12</f>
        <v>2.5639564641314816E-3</v>
      </c>
      <c r="H141" s="89">
        <f>G141*E$12</f>
        <v>-53197.748160565076</v>
      </c>
    </row>
    <row r="142" spans="1:8" x14ac:dyDescent="0.25">
      <c r="A142" s="399">
        <v>423</v>
      </c>
      <c r="B142" s="399" t="s">
        <v>298</v>
      </c>
      <c r="C142" s="399">
        <v>2</v>
      </c>
      <c r="D142" s="89">
        <v>-61055</v>
      </c>
      <c r="E142" s="89">
        <v>-63150</v>
      </c>
      <c r="F142" s="89">
        <f t="shared" ref="F142:F205" si="2">(D142+E142)/2</f>
        <v>-62102.5</v>
      </c>
      <c r="G142" s="400">
        <f>F142/F$12</f>
        <v>3.0439033523618647E-3</v>
      </c>
      <c r="H142" s="89">
        <f>G142*E$12</f>
        <v>-63155.832101423082</v>
      </c>
    </row>
    <row r="143" spans="1:8" x14ac:dyDescent="0.25">
      <c r="A143" s="399">
        <v>425</v>
      </c>
      <c r="B143" s="399" t="s">
        <v>297</v>
      </c>
      <c r="C143" s="399">
        <v>17</v>
      </c>
      <c r="D143" s="89">
        <v>-29005</v>
      </c>
      <c r="E143" s="89">
        <v>-29619</v>
      </c>
      <c r="F143" s="89">
        <f t="shared" si="2"/>
        <v>-29312</v>
      </c>
      <c r="G143" s="400">
        <f>F143/F$12</f>
        <v>1.4367037569249384E-3</v>
      </c>
      <c r="H143" s="89">
        <f>G143*E$12</f>
        <v>-29809.166306620729</v>
      </c>
    </row>
    <row r="144" spans="1:8" x14ac:dyDescent="0.25">
      <c r="A144" s="399">
        <v>426</v>
      </c>
      <c r="B144" s="399" t="s">
        <v>296</v>
      </c>
      <c r="C144" s="399">
        <v>12</v>
      </c>
      <c r="D144" s="89">
        <v>-42887</v>
      </c>
      <c r="E144" s="89">
        <v>-43455</v>
      </c>
      <c r="F144" s="89">
        <f t="shared" si="2"/>
        <v>-43171</v>
      </c>
      <c r="G144" s="400">
        <f>F144/F$12</f>
        <v>2.115991330861303E-3</v>
      </c>
      <c r="H144" s="89">
        <f>G144*E$12</f>
        <v>-43903.231394074894</v>
      </c>
    </row>
    <row r="145" spans="1:8" x14ac:dyDescent="0.25">
      <c r="A145" s="399">
        <v>430</v>
      </c>
      <c r="B145" s="399" t="s">
        <v>295</v>
      </c>
      <c r="C145" s="399">
        <v>2</v>
      </c>
      <c r="D145" s="89">
        <v>-64764</v>
      </c>
      <c r="E145" s="89">
        <v>-70260</v>
      </c>
      <c r="F145" s="89">
        <f t="shared" si="2"/>
        <v>-67512</v>
      </c>
      <c r="G145" s="400">
        <f>F145/F$12</f>
        <v>3.3090455798825205E-3</v>
      </c>
      <c r="H145" s="89">
        <f>G145*E$12</f>
        <v>-68657.083641258825</v>
      </c>
    </row>
    <row r="146" spans="1:8" x14ac:dyDescent="0.25">
      <c r="A146" s="399">
        <v>433</v>
      </c>
      <c r="B146" s="399" t="s">
        <v>294</v>
      </c>
      <c r="C146" s="399">
        <v>5</v>
      </c>
      <c r="D146" s="89">
        <v>-26298</v>
      </c>
      <c r="E146" s="89">
        <v>-27943</v>
      </c>
      <c r="F146" s="89">
        <f t="shared" si="2"/>
        <v>-27120.5</v>
      </c>
      <c r="G146" s="400">
        <f>F146/F$12</f>
        <v>1.3292891730241126E-3</v>
      </c>
      <c r="H146" s="89">
        <f>G146*E$12</f>
        <v>-27580.495865812889</v>
      </c>
    </row>
    <row r="147" spans="1:8" x14ac:dyDescent="0.25">
      <c r="A147" s="399">
        <v>434</v>
      </c>
      <c r="B147" s="399" t="s">
        <v>293</v>
      </c>
      <c r="C147" s="399">
        <v>34</v>
      </c>
      <c r="D147" s="89">
        <v>-51695</v>
      </c>
      <c r="E147" s="89">
        <v>-56041</v>
      </c>
      <c r="F147" s="89">
        <f t="shared" si="2"/>
        <v>-53868</v>
      </c>
      <c r="G147" s="400">
        <f>F147/F$12</f>
        <v>2.640296055473273E-3</v>
      </c>
      <c r="H147" s="89">
        <f>G147*E$12</f>
        <v>-54781.66520896033</v>
      </c>
    </row>
    <row r="148" spans="1:8" x14ac:dyDescent="0.25">
      <c r="A148" s="399">
        <v>435</v>
      </c>
      <c r="B148" s="399" t="s">
        <v>292</v>
      </c>
      <c r="C148" s="399">
        <v>13</v>
      </c>
      <c r="D148" s="89">
        <v>-3283</v>
      </c>
      <c r="E148" s="89">
        <v>-3187</v>
      </c>
      <c r="F148" s="89">
        <f t="shared" si="2"/>
        <v>-3235</v>
      </c>
      <c r="G148" s="400">
        <f>F148/F$12</f>
        <v>1.585608847452298E-4</v>
      </c>
      <c r="H148" s="89">
        <f>G148*E$12</f>
        <v>-3289.8694392029902</v>
      </c>
    </row>
    <row r="149" spans="1:8" x14ac:dyDescent="0.25">
      <c r="A149" s="399">
        <v>436</v>
      </c>
      <c r="B149" s="399" t="s">
        <v>291</v>
      </c>
      <c r="C149" s="399">
        <v>17</v>
      </c>
      <c r="D149" s="89">
        <v>-6272</v>
      </c>
      <c r="E149" s="89">
        <v>-6090</v>
      </c>
      <c r="F149" s="89">
        <f t="shared" si="2"/>
        <v>-6181</v>
      </c>
      <c r="G149" s="400">
        <f>F149/F$12</f>
        <v>3.0295667035866008E-4</v>
      </c>
      <c r="H149" s="89">
        <f>G149*E$12</f>
        <v>-6285.8370954292686</v>
      </c>
    </row>
    <row r="150" spans="1:8" x14ac:dyDescent="0.25">
      <c r="A150" s="399">
        <v>440</v>
      </c>
      <c r="B150" s="399" t="s">
        <v>290</v>
      </c>
      <c r="C150" s="399">
        <v>15</v>
      </c>
      <c r="D150" s="89">
        <v>-17433</v>
      </c>
      <c r="E150" s="89">
        <v>-17738</v>
      </c>
      <c r="F150" s="89">
        <f t="shared" si="2"/>
        <v>-17585.5</v>
      </c>
      <c r="G150" s="400">
        <f>F150/F$12</f>
        <v>8.6193893004242299E-4</v>
      </c>
      <c r="H150" s="89">
        <f>G150*E$12</f>
        <v>-17883.770949954924</v>
      </c>
    </row>
    <row r="151" spans="1:8" x14ac:dyDescent="0.25">
      <c r="A151" s="399">
        <v>441</v>
      </c>
      <c r="B151" s="399" t="s">
        <v>289</v>
      </c>
      <c r="C151" s="399">
        <v>9</v>
      </c>
      <c r="D151" s="89">
        <v>-20922</v>
      </c>
      <c r="E151" s="89">
        <v>-22468</v>
      </c>
      <c r="F151" s="89">
        <f t="shared" si="2"/>
        <v>-21695</v>
      </c>
      <c r="G151" s="400">
        <f>F151/F$12</f>
        <v>1.0633627185619042E-3</v>
      </c>
      <c r="H151" s="89">
        <f>G151*E$12</f>
        <v>-22062.97294698883</v>
      </c>
    </row>
    <row r="152" spans="1:8" x14ac:dyDescent="0.25">
      <c r="A152" s="399">
        <v>444</v>
      </c>
      <c r="B152" s="399" t="s">
        <v>288</v>
      </c>
      <c r="C152" s="399">
        <v>33</v>
      </c>
      <c r="D152" s="89">
        <v>-164197</v>
      </c>
      <c r="E152" s="89">
        <v>-172322</v>
      </c>
      <c r="F152" s="89">
        <f t="shared" si="2"/>
        <v>-168259.5</v>
      </c>
      <c r="G152" s="400">
        <f>F152/F$12</f>
        <v>8.2471020670139075E-3</v>
      </c>
      <c r="H152" s="89">
        <f>G152*E$12</f>
        <v>-171113.38080543291</v>
      </c>
    </row>
    <row r="153" spans="1:8" x14ac:dyDescent="0.25">
      <c r="A153" s="399">
        <v>445</v>
      </c>
      <c r="B153" s="399" t="s">
        <v>287</v>
      </c>
      <c r="C153" s="399">
        <v>2</v>
      </c>
      <c r="D153" s="89">
        <v>-60825</v>
      </c>
      <c r="E153" s="89">
        <v>-62959</v>
      </c>
      <c r="F153" s="89">
        <f t="shared" si="2"/>
        <v>-61892</v>
      </c>
      <c r="G153" s="400">
        <f>F153/F$12</f>
        <v>3.0335858666620595E-3</v>
      </c>
      <c r="H153" s="89">
        <f>G153*E$12</f>
        <v>-62941.761771607875</v>
      </c>
    </row>
    <row r="154" spans="1:8" x14ac:dyDescent="0.25">
      <c r="A154" s="399">
        <v>475</v>
      </c>
      <c r="B154" s="399" t="s">
        <v>286</v>
      </c>
      <c r="C154" s="399">
        <v>15</v>
      </c>
      <c r="D154" s="89">
        <v>-23423</v>
      </c>
      <c r="E154" s="89">
        <v>-24698</v>
      </c>
      <c r="F154" s="89">
        <f t="shared" si="2"/>
        <v>-24060.5</v>
      </c>
      <c r="G154" s="400">
        <f>F154/F$12</f>
        <v>1.1793057704521178E-3</v>
      </c>
      <c r="H154" s="89">
        <f>G154*E$12</f>
        <v>-24468.594634294757</v>
      </c>
    </row>
    <row r="155" spans="1:8" x14ac:dyDescent="0.25">
      <c r="A155" s="399">
        <v>480</v>
      </c>
      <c r="B155" s="399" t="s">
        <v>285</v>
      </c>
      <c r="C155" s="399">
        <v>2</v>
      </c>
      <c r="D155" s="89">
        <v>-7137</v>
      </c>
      <c r="E155" s="89">
        <v>-7472</v>
      </c>
      <c r="F155" s="89">
        <f t="shared" si="2"/>
        <v>-7304.5</v>
      </c>
      <c r="G155" s="400">
        <f>F155/F$12</f>
        <v>3.5802410591082874E-4</v>
      </c>
      <c r="H155" s="89">
        <f>G155*E$12</f>
        <v>-7428.3929887660715</v>
      </c>
    </row>
    <row r="156" spans="1:8" x14ac:dyDescent="0.25">
      <c r="A156" s="399">
        <v>481</v>
      </c>
      <c r="B156" s="399" t="s">
        <v>284</v>
      </c>
      <c r="C156" s="399">
        <v>2</v>
      </c>
      <c r="D156" s="89">
        <v>-27449</v>
      </c>
      <c r="E156" s="89">
        <v>-28431</v>
      </c>
      <c r="F156" s="89">
        <f t="shared" si="2"/>
        <v>-27940</v>
      </c>
      <c r="G156" s="400">
        <f>F156/F$12</f>
        <v>1.3694562966867759E-3</v>
      </c>
      <c r="H156" s="89">
        <f>G156*E$12</f>
        <v>-28413.89555837142</v>
      </c>
    </row>
    <row r="157" spans="1:8" x14ac:dyDescent="0.25">
      <c r="A157" s="399">
        <v>483</v>
      </c>
      <c r="B157" s="399" t="s">
        <v>283</v>
      </c>
      <c r="C157" s="399">
        <v>17</v>
      </c>
      <c r="D157" s="89">
        <v>-3948</v>
      </c>
      <c r="E157" s="89">
        <v>-4134</v>
      </c>
      <c r="F157" s="89">
        <f t="shared" si="2"/>
        <v>-4041</v>
      </c>
      <c r="G157" s="400">
        <f>F157/F$12</f>
        <v>1.9806631692595783E-4</v>
      </c>
      <c r="H157" s="89">
        <f>G157*E$12</f>
        <v>-4109.5401557401183</v>
      </c>
    </row>
    <row r="158" spans="1:8" x14ac:dyDescent="0.25">
      <c r="A158" s="399">
        <v>484</v>
      </c>
      <c r="B158" s="399" t="s">
        <v>282</v>
      </c>
      <c r="C158" s="399">
        <v>4</v>
      </c>
      <c r="D158" s="89">
        <v>-14203</v>
      </c>
      <c r="E158" s="89">
        <v>-15012</v>
      </c>
      <c r="F158" s="89">
        <f t="shared" si="2"/>
        <v>-14607.5</v>
      </c>
      <c r="G158" s="400">
        <f>F158/F$12</f>
        <v>7.1597469054588694E-4</v>
      </c>
      <c r="H158" s="89">
        <f>G158*E$12</f>
        <v>-14855.260535751988</v>
      </c>
    </row>
    <row r="159" spans="1:8" x14ac:dyDescent="0.25">
      <c r="A159" s="399">
        <v>489</v>
      </c>
      <c r="B159" s="399" t="s">
        <v>281</v>
      </c>
      <c r="C159" s="399">
        <v>8</v>
      </c>
      <c r="D159" s="89">
        <v>-8726</v>
      </c>
      <c r="E159" s="89">
        <v>-8730</v>
      </c>
      <c r="F159" s="89">
        <f t="shared" si="2"/>
        <v>-8728</v>
      </c>
      <c r="G159" s="400">
        <f>F159/F$12</f>
        <v>4.2779579661711458E-4</v>
      </c>
      <c r="H159" s="89">
        <f>G159*E$12</f>
        <v>-8876.0372381340658</v>
      </c>
    </row>
    <row r="160" spans="1:8" x14ac:dyDescent="0.25">
      <c r="A160" s="399">
        <v>491</v>
      </c>
      <c r="B160" s="399" t="s">
        <v>280</v>
      </c>
      <c r="C160" s="399">
        <v>10</v>
      </c>
      <c r="D160" s="89">
        <v>-230743</v>
      </c>
      <c r="E160" s="89">
        <v>-226662</v>
      </c>
      <c r="F160" s="89">
        <f t="shared" si="2"/>
        <v>-228702.5</v>
      </c>
      <c r="G160" s="400">
        <f>F160/F$12</f>
        <v>1.1209666381281581E-2</v>
      </c>
      <c r="H160" s="89">
        <f>G160*E$12</f>
        <v>-232581.56581741016</v>
      </c>
    </row>
    <row r="161" spans="1:8" x14ac:dyDescent="0.25">
      <c r="A161" s="399">
        <v>494</v>
      </c>
      <c r="B161" s="399" t="s">
        <v>279</v>
      </c>
      <c r="C161" s="399">
        <v>17</v>
      </c>
      <c r="D161" s="89">
        <v>-32829</v>
      </c>
      <c r="E161" s="89">
        <v>-33392</v>
      </c>
      <c r="F161" s="89">
        <f t="shared" si="2"/>
        <v>-33110.5</v>
      </c>
      <c r="G161" s="400">
        <f>F161/F$12</f>
        <v>1.6228841342679848E-3</v>
      </c>
      <c r="H161" s="89">
        <f>G161*E$12</f>
        <v>-33672.093374568962</v>
      </c>
    </row>
    <row r="162" spans="1:8" x14ac:dyDescent="0.25">
      <c r="A162" s="399">
        <v>495</v>
      </c>
      <c r="B162" s="399" t="s">
        <v>278</v>
      </c>
      <c r="C162" s="399">
        <v>13</v>
      </c>
      <c r="D162" s="89">
        <v>-7058</v>
      </c>
      <c r="E162" s="89">
        <v>-7305</v>
      </c>
      <c r="F162" s="89">
        <f t="shared" si="2"/>
        <v>-7181.5</v>
      </c>
      <c r="G162" s="400">
        <f>F162/F$12</f>
        <v>3.519953612976407E-4</v>
      </c>
      <c r="H162" s="89">
        <f>G162*E$12</f>
        <v>-7303.3067627932833</v>
      </c>
    </row>
    <row r="163" spans="1:8" x14ac:dyDescent="0.25">
      <c r="A163" s="399">
        <v>498</v>
      </c>
      <c r="B163" s="399" t="s">
        <v>277</v>
      </c>
      <c r="C163" s="399">
        <v>19</v>
      </c>
      <c r="D163" s="89">
        <v>-11287</v>
      </c>
      <c r="E163" s="89">
        <v>-11443</v>
      </c>
      <c r="F163" s="89">
        <f t="shared" si="2"/>
        <v>-11365</v>
      </c>
      <c r="G163" s="400">
        <f>F163/F$12</f>
        <v>5.5704619942180422E-4</v>
      </c>
      <c r="H163" s="89">
        <f>G163*E$12</f>
        <v>-11557.763887648218</v>
      </c>
    </row>
    <row r="164" spans="1:8" x14ac:dyDescent="0.25">
      <c r="A164" s="399">
        <v>499</v>
      </c>
      <c r="B164" s="399" t="s">
        <v>276</v>
      </c>
      <c r="C164" s="399">
        <v>15</v>
      </c>
      <c r="D164" s="89">
        <v>-61472</v>
      </c>
      <c r="E164" s="89">
        <v>-64375</v>
      </c>
      <c r="F164" s="89">
        <f t="shared" si="2"/>
        <v>-62923.5</v>
      </c>
      <c r="G164" s="400">
        <f>F164/F$12</f>
        <v>3.0841439973002989E-3</v>
      </c>
      <c r="H164" s="89">
        <f>G164*E$12</f>
        <v>-63990.757235761783</v>
      </c>
    </row>
    <row r="165" spans="1:8" x14ac:dyDescent="0.25">
      <c r="A165" s="399">
        <v>500</v>
      </c>
      <c r="B165" s="399" t="s">
        <v>275</v>
      </c>
      <c r="C165" s="399">
        <v>13</v>
      </c>
      <c r="D165" s="89">
        <v>-26146</v>
      </c>
      <c r="E165" s="89">
        <v>-28622</v>
      </c>
      <c r="F165" s="89">
        <f t="shared" si="2"/>
        <v>-27384</v>
      </c>
      <c r="G165" s="400">
        <f>F165/F$12</f>
        <v>1.3422044104678121E-3</v>
      </c>
      <c r="H165" s="89">
        <f>G165*E$12</f>
        <v>-27848.46513852695</v>
      </c>
    </row>
    <row r="166" spans="1:8" x14ac:dyDescent="0.25">
      <c r="A166" s="399">
        <v>503</v>
      </c>
      <c r="B166" s="399" t="s">
        <v>274</v>
      </c>
      <c r="C166" s="399">
        <v>2</v>
      </c>
      <c r="D166" s="89">
        <v>-30654</v>
      </c>
      <c r="E166" s="89">
        <v>-31012</v>
      </c>
      <c r="F166" s="89">
        <f t="shared" si="2"/>
        <v>-30833</v>
      </c>
      <c r="G166" s="400">
        <f>F166/F$12</f>
        <v>1.5112543305563122E-3</v>
      </c>
      <c r="H166" s="89">
        <f>G166*E$12</f>
        <v>-31355.964271698856</v>
      </c>
    </row>
    <row r="167" spans="1:8" x14ac:dyDescent="0.25">
      <c r="A167" s="399">
        <v>504</v>
      </c>
      <c r="B167" s="399" t="s">
        <v>273</v>
      </c>
      <c r="C167" s="399">
        <v>34</v>
      </c>
      <c r="D167" s="89">
        <v>-7795</v>
      </c>
      <c r="E167" s="89">
        <v>-7268</v>
      </c>
      <c r="F167" s="89">
        <f t="shared" si="2"/>
        <v>-7531.5</v>
      </c>
      <c r="G167" s="400">
        <f>F167/F$12</f>
        <v>3.6915032564411069E-4</v>
      </c>
      <c r="H167" s="89">
        <f>G167*E$12</f>
        <v>-7659.2431781630048</v>
      </c>
    </row>
    <row r="168" spans="1:8" x14ac:dyDescent="0.25">
      <c r="A168" s="399">
        <v>505</v>
      </c>
      <c r="B168" s="399" t="s">
        <v>272</v>
      </c>
      <c r="C168" s="399">
        <v>35</v>
      </c>
      <c r="D168" s="89">
        <v>-69916</v>
      </c>
      <c r="E168" s="89">
        <v>-71494</v>
      </c>
      <c r="F168" s="89">
        <f t="shared" si="2"/>
        <v>-70705</v>
      </c>
      <c r="G168" s="400">
        <f>F168/F$12</f>
        <v>3.4655478689061738E-3</v>
      </c>
      <c r="H168" s="89">
        <f>G168*E$12</f>
        <v>-71904.240710617436</v>
      </c>
    </row>
    <row r="169" spans="1:8" x14ac:dyDescent="0.25">
      <c r="A169" s="399">
        <v>507</v>
      </c>
      <c r="B169" s="399" t="s">
        <v>271</v>
      </c>
      <c r="C169" s="399">
        <v>10</v>
      </c>
      <c r="D169" s="89">
        <v>-29551</v>
      </c>
      <c r="E169" s="89">
        <v>-26879</v>
      </c>
      <c r="F169" s="89">
        <f t="shared" si="2"/>
        <v>-28215</v>
      </c>
      <c r="G169" s="400">
        <f>F169/F$12</f>
        <v>1.3829351972447167E-3</v>
      </c>
      <c r="H169" s="89">
        <f>G169*E$12</f>
        <v>-28693.559884733346</v>
      </c>
    </row>
    <row r="170" spans="1:8" x14ac:dyDescent="0.25">
      <c r="A170" s="399">
        <v>508</v>
      </c>
      <c r="B170" s="399" t="s">
        <v>270</v>
      </c>
      <c r="C170" s="399">
        <v>6</v>
      </c>
      <c r="D170" s="89">
        <v>-45650</v>
      </c>
      <c r="E170" s="89">
        <v>-47109</v>
      </c>
      <c r="F170" s="89">
        <f t="shared" si="2"/>
        <v>-46379.5</v>
      </c>
      <c r="G170" s="400">
        <f>F170/F$12</f>
        <v>2.2732533397345858E-3</v>
      </c>
      <c r="H170" s="89">
        <f>G170*E$12</f>
        <v>-47166.151361828466</v>
      </c>
    </row>
    <row r="171" spans="1:8" x14ac:dyDescent="0.25">
      <c r="A171" s="399">
        <v>529</v>
      </c>
      <c r="B171" s="399" t="s">
        <v>269</v>
      </c>
      <c r="C171" s="399">
        <v>2</v>
      </c>
      <c r="D171" s="89">
        <v>-64647</v>
      </c>
      <c r="E171" s="89">
        <v>-68515</v>
      </c>
      <c r="F171" s="89">
        <f t="shared" si="2"/>
        <v>-66581</v>
      </c>
      <c r="G171" s="400">
        <f>F171/F$12</f>
        <v>3.2634133747209103E-3</v>
      </c>
      <c r="H171" s="89">
        <f>G171*E$12</f>
        <v>-67710.292776375369</v>
      </c>
    </row>
    <row r="172" spans="1:8" x14ac:dyDescent="0.25">
      <c r="A172" s="399">
        <v>531</v>
      </c>
      <c r="B172" s="399" t="s">
        <v>268</v>
      </c>
      <c r="C172" s="399">
        <v>4</v>
      </c>
      <c r="D172" s="89">
        <v>-20996</v>
      </c>
      <c r="E172" s="89">
        <v>-21985</v>
      </c>
      <c r="F172" s="89">
        <f t="shared" si="2"/>
        <v>-21490.5</v>
      </c>
      <c r="G172" s="400">
        <f>F172/F$12</f>
        <v>1.053339317965181E-3</v>
      </c>
      <c r="H172" s="89">
        <f>G172*E$12</f>
        <v>-21855.004384294236</v>
      </c>
    </row>
    <row r="173" spans="1:8" x14ac:dyDescent="0.25">
      <c r="A173" s="399">
        <v>535</v>
      </c>
      <c r="B173" s="399" t="s">
        <v>267</v>
      </c>
      <c r="C173" s="399">
        <v>17</v>
      </c>
      <c r="D173" s="89">
        <v>-43285</v>
      </c>
      <c r="E173" s="89">
        <v>-44673</v>
      </c>
      <c r="F173" s="89">
        <f t="shared" si="2"/>
        <v>-43979</v>
      </c>
      <c r="G173" s="400">
        <f>F173/F$12</f>
        <v>2.1555947914097253E-3</v>
      </c>
      <c r="H173" s="89">
        <f>G173*E$12</f>
        <v>-44724.93603298557</v>
      </c>
    </row>
    <row r="174" spans="1:8" x14ac:dyDescent="0.25">
      <c r="A174" s="399">
        <v>536</v>
      </c>
      <c r="B174" s="399" t="s">
        <v>266</v>
      </c>
      <c r="C174" s="399">
        <v>6</v>
      </c>
      <c r="D174" s="89">
        <v>-112844</v>
      </c>
      <c r="E174" s="89">
        <v>-113699</v>
      </c>
      <c r="F174" s="89">
        <f t="shared" si="2"/>
        <v>-113271.5</v>
      </c>
      <c r="G174" s="400">
        <f>F174/F$12</f>
        <v>5.5519101256319304E-3</v>
      </c>
      <c r="H174" s="89">
        <f>G174*E$12</f>
        <v>-115192.71906728948</v>
      </c>
    </row>
    <row r="175" spans="1:8" x14ac:dyDescent="0.25">
      <c r="A175" s="399">
        <v>538</v>
      </c>
      <c r="B175" s="399" t="s">
        <v>265</v>
      </c>
      <c r="C175" s="399">
        <v>2</v>
      </c>
      <c r="D175" s="89">
        <v>-15300</v>
      </c>
      <c r="E175" s="89">
        <v>-15922</v>
      </c>
      <c r="F175" s="89">
        <f t="shared" si="2"/>
        <v>-15611</v>
      </c>
      <c r="G175" s="400">
        <f>F175/F$12</f>
        <v>7.6516042403640871E-4</v>
      </c>
      <c r="H175" s="89">
        <f>G175*E$12</f>
        <v>-15875.781086676316</v>
      </c>
    </row>
    <row r="176" spans="1:8" x14ac:dyDescent="0.25">
      <c r="A176" s="399">
        <v>541</v>
      </c>
      <c r="B176" s="399" t="s">
        <v>264</v>
      </c>
      <c r="C176" s="399">
        <v>12</v>
      </c>
      <c r="D176" s="89">
        <v>-44729</v>
      </c>
      <c r="E176" s="89">
        <v>-44526</v>
      </c>
      <c r="F176" s="89">
        <f t="shared" si="2"/>
        <v>-44627.5</v>
      </c>
      <c r="G176" s="400">
        <f>F176/F$12</f>
        <v>2.1873804896345417E-3</v>
      </c>
      <c r="H176" s="89">
        <f>G176*E$12</f>
        <v>-45384.435362606324</v>
      </c>
    </row>
    <row r="177" spans="1:8" x14ac:dyDescent="0.25">
      <c r="A177" s="399">
        <v>543</v>
      </c>
      <c r="B177" s="399" t="s">
        <v>263</v>
      </c>
      <c r="C177" s="399">
        <v>35</v>
      </c>
      <c r="D177" s="89">
        <v>-129367</v>
      </c>
      <c r="E177" s="89">
        <v>-137775</v>
      </c>
      <c r="F177" s="89">
        <f t="shared" si="2"/>
        <v>-133571</v>
      </c>
      <c r="G177" s="400">
        <f>F177/F$12</f>
        <v>6.5468735506352665E-3</v>
      </c>
      <c r="H177" s="89">
        <f>G177*E$12</f>
        <v>-135836.52267813991</v>
      </c>
    </row>
    <row r="178" spans="1:8" x14ac:dyDescent="0.25">
      <c r="A178" s="399">
        <v>545</v>
      </c>
      <c r="B178" s="399" t="s">
        <v>262</v>
      </c>
      <c r="C178" s="399">
        <v>15</v>
      </c>
      <c r="D178" s="89">
        <v>-37536</v>
      </c>
      <c r="E178" s="89">
        <v>-42200</v>
      </c>
      <c r="F178" s="89">
        <f t="shared" si="2"/>
        <v>-39868</v>
      </c>
      <c r="G178" s="400">
        <f>F178/F$12</f>
        <v>1.9540974816144733E-3</v>
      </c>
      <c r="H178" s="89">
        <f>G178*E$12</f>
        <v>-40544.208594171505</v>
      </c>
    </row>
    <row r="179" spans="1:8" x14ac:dyDescent="0.25">
      <c r="A179" s="399">
        <v>560</v>
      </c>
      <c r="B179" s="399" t="s">
        <v>261</v>
      </c>
      <c r="C179" s="399">
        <v>7</v>
      </c>
      <c r="D179" s="89">
        <v>-55943</v>
      </c>
      <c r="E179" s="89">
        <v>-57827</v>
      </c>
      <c r="F179" s="89">
        <f t="shared" si="2"/>
        <v>-56885</v>
      </c>
      <c r="G179" s="400">
        <f>F179/F$12</f>
        <v>2.7881718481398443E-3</v>
      </c>
      <c r="H179" s="89">
        <f>G179*E$12</f>
        <v>-57849.837109447326</v>
      </c>
    </row>
    <row r="180" spans="1:8" x14ac:dyDescent="0.25">
      <c r="A180" s="399">
        <v>561</v>
      </c>
      <c r="B180" s="399" t="s">
        <v>260</v>
      </c>
      <c r="C180" s="399">
        <v>2</v>
      </c>
      <c r="D180" s="89">
        <v>-4821</v>
      </c>
      <c r="E180" s="89">
        <v>-5061</v>
      </c>
      <c r="F180" s="89">
        <f t="shared" si="2"/>
        <v>-4941</v>
      </c>
      <c r="G180" s="400">
        <f>F180/F$12</f>
        <v>2.4217908238830923E-4</v>
      </c>
      <c r="H180" s="89">
        <f>G180*E$12</f>
        <v>-5024.8052238336859</v>
      </c>
    </row>
    <row r="181" spans="1:8" x14ac:dyDescent="0.25">
      <c r="A181" s="399">
        <v>562</v>
      </c>
      <c r="B181" s="399" t="s">
        <v>259</v>
      </c>
      <c r="C181" s="399">
        <v>6</v>
      </c>
      <c r="D181" s="89">
        <v>-38406</v>
      </c>
      <c r="E181" s="89">
        <v>-38889</v>
      </c>
      <c r="F181" s="89">
        <f t="shared" si="2"/>
        <v>-38647.5</v>
      </c>
      <c r="G181" s="400">
        <f>F181/F$12</f>
        <v>1.8942756702291402E-3</v>
      </c>
      <c r="H181" s="89">
        <f>G181*E$12</f>
        <v>-39303.00746571795</v>
      </c>
    </row>
    <row r="182" spans="1:8" x14ac:dyDescent="0.25">
      <c r="A182" s="399">
        <v>563</v>
      </c>
      <c r="B182" s="399" t="s">
        <v>258</v>
      </c>
      <c r="C182" s="399">
        <v>17</v>
      </c>
      <c r="D182" s="89">
        <v>-34238</v>
      </c>
      <c r="E182" s="89">
        <v>-33877</v>
      </c>
      <c r="F182" s="89">
        <f t="shared" si="2"/>
        <v>-34057.5</v>
      </c>
      <c r="G182" s="400">
        <f>F182/F$12</f>
        <v>1.669300566371148E-3</v>
      </c>
      <c r="H182" s="89">
        <f>G182*E$12</f>
        <v>-34635.155618440753</v>
      </c>
    </row>
    <row r="183" spans="1:8" x14ac:dyDescent="0.25">
      <c r="A183" s="399">
        <v>564</v>
      </c>
      <c r="B183" s="399" t="s">
        <v>257</v>
      </c>
      <c r="C183" s="399">
        <v>17</v>
      </c>
      <c r="D183" s="89">
        <v>-683945</v>
      </c>
      <c r="E183" s="89">
        <v>-720714</v>
      </c>
      <c r="F183" s="89">
        <f t="shared" si="2"/>
        <v>-702329.5</v>
      </c>
      <c r="G183" s="400">
        <f>F183/F$12</f>
        <v>3.4424107234211701E-2</v>
      </c>
      <c r="H183" s="89">
        <f>G183*E$12</f>
        <v>-714241.84182402352</v>
      </c>
    </row>
    <row r="184" spans="1:8" x14ac:dyDescent="0.25">
      <c r="A184" s="399">
        <v>576</v>
      </c>
      <c r="B184" s="399" t="s">
        <v>256</v>
      </c>
      <c r="C184" s="399">
        <v>7</v>
      </c>
      <c r="D184" s="89">
        <v>-13257</v>
      </c>
      <c r="E184" s="89">
        <v>-13853</v>
      </c>
      <c r="F184" s="89">
        <f t="shared" si="2"/>
        <v>-13555</v>
      </c>
      <c r="G184" s="400">
        <f>F184/F$12</f>
        <v>6.6438726204685926E-4</v>
      </c>
      <c r="H184" s="89">
        <f>G184*E$12</f>
        <v>-13784.908886675898</v>
      </c>
    </row>
    <row r="185" spans="1:8" x14ac:dyDescent="0.25">
      <c r="A185" s="399">
        <v>577</v>
      </c>
      <c r="B185" s="399" t="s">
        <v>255</v>
      </c>
      <c r="C185" s="399">
        <v>2</v>
      </c>
      <c r="D185" s="89">
        <v>-36439</v>
      </c>
      <c r="E185" s="89">
        <v>-37379</v>
      </c>
      <c r="F185" s="89">
        <f t="shared" si="2"/>
        <v>-36909</v>
      </c>
      <c r="G185" s="400">
        <f>F185/F$12</f>
        <v>1.8090645116110313E-3</v>
      </c>
      <c r="H185" s="89">
        <f>G185*E$12</f>
        <v>-37535.020442517205</v>
      </c>
    </row>
    <row r="186" spans="1:8" x14ac:dyDescent="0.25">
      <c r="A186" s="399">
        <v>578</v>
      </c>
      <c r="B186" s="399" t="s">
        <v>254</v>
      </c>
      <c r="C186" s="399">
        <v>18</v>
      </c>
      <c r="D186" s="89">
        <v>-16495</v>
      </c>
      <c r="E186" s="89">
        <v>-16568</v>
      </c>
      <c r="F186" s="89">
        <f t="shared" si="2"/>
        <v>-16531.5</v>
      </c>
      <c r="G186" s="400">
        <f>F186/F$12</f>
        <v>8.1027798026762476E-4</v>
      </c>
      <c r="H186" s="89">
        <f>G186*E$12</f>
        <v>-16811.89385909868</v>
      </c>
    </row>
    <row r="187" spans="1:8" x14ac:dyDescent="0.25">
      <c r="A187" s="399">
        <v>580</v>
      </c>
      <c r="B187" s="399" t="s">
        <v>253</v>
      </c>
      <c r="C187" s="399">
        <v>9</v>
      </c>
      <c r="D187" s="89">
        <v>-24605</v>
      </c>
      <c r="E187" s="89">
        <v>-24888</v>
      </c>
      <c r="F187" s="89">
        <f t="shared" si="2"/>
        <v>-24746.5</v>
      </c>
      <c r="G187" s="400">
        <f>F187/F$12</f>
        <v>1.212929500571199E-3</v>
      </c>
      <c r="H187" s="89">
        <f>G187*E$12</f>
        <v>-25166.23000841941</v>
      </c>
    </row>
    <row r="188" spans="1:8" x14ac:dyDescent="0.25">
      <c r="A188" s="399">
        <v>581</v>
      </c>
      <c r="B188" s="399" t="s">
        <v>252</v>
      </c>
      <c r="C188" s="399">
        <v>6</v>
      </c>
      <c r="D188" s="89">
        <v>-27607</v>
      </c>
      <c r="E188" s="89">
        <v>-28070</v>
      </c>
      <c r="F188" s="89">
        <f t="shared" si="2"/>
        <v>-27838.5</v>
      </c>
      <c r="G188" s="400">
        <f>F188/F$12</f>
        <v>1.3644813570262997E-3</v>
      </c>
      <c r="H188" s="89">
        <f>G188*E$12</f>
        <v>-28310.6739979142</v>
      </c>
    </row>
    <row r="189" spans="1:8" x14ac:dyDescent="0.25">
      <c r="A189" s="399">
        <v>583</v>
      </c>
      <c r="B189" s="399" t="s">
        <v>251</v>
      </c>
      <c r="C189" s="399">
        <v>19</v>
      </c>
      <c r="D189" s="89">
        <v>-6241</v>
      </c>
      <c r="E189" s="89">
        <v>-6722</v>
      </c>
      <c r="F189" s="89">
        <f t="shared" si="2"/>
        <v>-6481.5</v>
      </c>
      <c r="G189" s="400">
        <f>F189/F$12</f>
        <v>3.1768543260470071E-4</v>
      </c>
      <c r="H189" s="89">
        <f>G189*E$12</f>
        <v>-6591.433932053842</v>
      </c>
    </row>
    <row r="190" spans="1:8" x14ac:dyDescent="0.25">
      <c r="A190" s="399">
        <v>584</v>
      </c>
      <c r="B190" s="399" t="s">
        <v>250</v>
      </c>
      <c r="C190" s="399">
        <v>16</v>
      </c>
      <c r="D190" s="89">
        <v>-11391</v>
      </c>
      <c r="E190" s="89">
        <v>-11760</v>
      </c>
      <c r="F190" s="89">
        <f t="shared" si="2"/>
        <v>-11575.5</v>
      </c>
      <c r="G190" s="400">
        <f>F190/F$12</f>
        <v>5.6736368512160971E-4</v>
      </c>
      <c r="H190" s="89">
        <f>G190*E$12</f>
        <v>-11771.834217463434</v>
      </c>
    </row>
    <row r="191" spans="1:8" x14ac:dyDescent="0.25">
      <c r="A191" s="399">
        <v>588</v>
      </c>
      <c r="B191" s="399" t="s">
        <v>249</v>
      </c>
      <c r="C191" s="399">
        <v>10</v>
      </c>
      <c r="D191" s="89">
        <v>-9341</v>
      </c>
      <c r="E191" s="89">
        <v>-8913</v>
      </c>
      <c r="F191" s="89">
        <f t="shared" si="2"/>
        <v>-9127</v>
      </c>
      <c r="G191" s="400">
        <f>F191/F$12</f>
        <v>4.4735245597209036E-4</v>
      </c>
      <c r="H191" s="89">
        <f>G191*E$12</f>
        <v>-9281.8047516555471</v>
      </c>
    </row>
    <row r="192" spans="1:8" x14ac:dyDescent="0.25">
      <c r="A192" s="399">
        <v>592</v>
      </c>
      <c r="B192" s="399" t="s">
        <v>248</v>
      </c>
      <c r="C192" s="399">
        <v>13</v>
      </c>
      <c r="D192" s="89">
        <v>-12271</v>
      </c>
      <c r="E192" s="89">
        <v>-12771</v>
      </c>
      <c r="F192" s="89">
        <f t="shared" si="2"/>
        <v>-12521</v>
      </c>
      <c r="G192" s="400">
        <f>F192/F$12</f>
        <v>6.1370659594900216E-4</v>
      </c>
      <c r="H192" s="89">
        <f>G192*E$12</f>
        <v>-12733.371019555065</v>
      </c>
    </row>
    <row r="193" spans="1:8" x14ac:dyDescent="0.25">
      <c r="A193" s="399">
        <v>593</v>
      </c>
      <c r="B193" s="399" t="s">
        <v>247</v>
      </c>
      <c r="C193" s="399">
        <v>10</v>
      </c>
      <c r="D193" s="89">
        <v>-84697</v>
      </c>
      <c r="E193" s="89">
        <v>-85596</v>
      </c>
      <c r="F193" s="89">
        <f t="shared" si="2"/>
        <v>-85146.5</v>
      </c>
      <c r="G193" s="400">
        <f>F193/F$12</f>
        <v>4.173386204933449E-3</v>
      </c>
      <c r="H193" s="89">
        <f>G193*E$12</f>
        <v>-86590.685689365506</v>
      </c>
    </row>
    <row r="194" spans="1:8" x14ac:dyDescent="0.25">
      <c r="A194" s="399">
        <v>595</v>
      </c>
      <c r="B194" s="399" t="s">
        <v>246</v>
      </c>
      <c r="C194" s="399">
        <v>11</v>
      </c>
      <c r="D194" s="89">
        <v>-23350</v>
      </c>
      <c r="E194" s="89">
        <v>-24185</v>
      </c>
      <c r="F194" s="89">
        <f t="shared" si="2"/>
        <v>-23767.5</v>
      </c>
      <c r="G194" s="400">
        <f>F194/F$12</f>
        <v>1.16494461458493E-3</v>
      </c>
      <c r="H194" s="89">
        <f>G194*E$12</f>
        <v>-24170.625006570961</v>
      </c>
    </row>
    <row r="195" spans="1:8" x14ac:dyDescent="0.25">
      <c r="A195" s="399">
        <v>598</v>
      </c>
      <c r="B195" s="399" t="s">
        <v>245</v>
      </c>
      <c r="C195" s="399">
        <v>15</v>
      </c>
      <c r="D195" s="89">
        <v>-81532</v>
      </c>
      <c r="E195" s="89">
        <v>-80995</v>
      </c>
      <c r="F195" s="89">
        <f t="shared" si="2"/>
        <v>-81263.5</v>
      </c>
      <c r="G195" s="400">
        <f>F195/F$12</f>
        <v>3.983064129055326E-3</v>
      </c>
      <c r="H195" s="89">
        <f>G195*E$12</f>
        <v>-82641.825401135138</v>
      </c>
    </row>
    <row r="196" spans="1:8" x14ac:dyDescent="0.25">
      <c r="A196" s="399">
        <v>599</v>
      </c>
      <c r="B196" s="399" t="s">
        <v>244</v>
      </c>
      <c r="C196" s="399">
        <v>15</v>
      </c>
      <c r="D196" s="89">
        <v>-37261</v>
      </c>
      <c r="E196" s="89">
        <v>-38546</v>
      </c>
      <c r="F196" s="89">
        <f t="shared" si="2"/>
        <v>-37903.5</v>
      </c>
      <c r="G196" s="400">
        <f>F196/F$12</f>
        <v>1.8578091174469295E-3</v>
      </c>
      <c r="H196" s="89">
        <f>G196*E$12</f>
        <v>-38546.388342760598</v>
      </c>
    </row>
    <row r="197" spans="1:8" x14ac:dyDescent="0.25">
      <c r="A197" s="399">
        <v>601</v>
      </c>
      <c r="B197" s="399" t="s">
        <v>243</v>
      </c>
      <c r="C197" s="399">
        <v>13</v>
      </c>
      <c r="D197" s="89">
        <v>-18416</v>
      </c>
      <c r="E197" s="89">
        <v>-18870</v>
      </c>
      <c r="F197" s="89">
        <f t="shared" si="2"/>
        <v>-18643</v>
      </c>
      <c r="G197" s="400">
        <f>F197/F$12</f>
        <v>9.1377142946068594E-4</v>
      </c>
      <c r="H197" s="89">
        <f>G197*E$12</f>
        <v>-18959.207404964869</v>
      </c>
    </row>
    <row r="198" spans="1:8" x14ac:dyDescent="0.25">
      <c r="A198" s="399">
        <v>604</v>
      </c>
      <c r="B198" s="399" t="s">
        <v>242</v>
      </c>
      <c r="C198" s="399">
        <v>6</v>
      </c>
      <c r="D198" s="89">
        <v>-55864</v>
      </c>
      <c r="E198" s="89">
        <v>-58686</v>
      </c>
      <c r="F198" s="89">
        <f t="shared" si="2"/>
        <v>-57275</v>
      </c>
      <c r="G198" s="400">
        <f>F198/F$12</f>
        <v>2.8072873798401965E-3</v>
      </c>
      <c r="H198" s="89">
        <f>G198*E$12</f>
        <v>-58246.451972287869</v>
      </c>
    </row>
    <row r="199" spans="1:8" x14ac:dyDescent="0.25">
      <c r="A199" s="399">
        <v>607</v>
      </c>
      <c r="B199" s="399" t="s">
        <v>241</v>
      </c>
      <c r="C199" s="399">
        <v>12</v>
      </c>
      <c r="D199" s="89">
        <v>-18389</v>
      </c>
      <c r="E199" s="89">
        <v>-19120</v>
      </c>
      <c r="F199" s="89">
        <f t="shared" si="2"/>
        <v>-18754.5</v>
      </c>
      <c r="G199" s="400">
        <f>F199/F$12</f>
        <v>9.1923651095963282E-4</v>
      </c>
      <c r="H199" s="89">
        <f>G199*E$12</f>
        <v>-19072.598577289795</v>
      </c>
    </row>
    <row r="200" spans="1:8" x14ac:dyDescent="0.25">
      <c r="A200" s="399">
        <v>608</v>
      </c>
      <c r="B200" s="399" t="s">
        <v>240</v>
      </c>
      <c r="C200" s="399">
        <v>4</v>
      </c>
      <c r="D200" s="89">
        <v>-8390</v>
      </c>
      <c r="E200" s="89">
        <v>-9011</v>
      </c>
      <c r="F200" s="89">
        <f t="shared" si="2"/>
        <v>-8700.5</v>
      </c>
      <c r="G200" s="400">
        <f>F200/F$12</f>
        <v>4.2644790656132047E-4</v>
      </c>
      <c r="H200" s="89">
        <f>G200*E$12</f>
        <v>-8848.0708054978713</v>
      </c>
    </row>
    <row r="201" spans="1:8" x14ac:dyDescent="0.25">
      <c r="A201" s="399">
        <v>609</v>
      </c>
      <c r="B201" s="399" t="s">
        <v>239</v>
      </c>
      <c r="C201" s="399">
        <v>4</v>
      </c>
      <c r="D201" s="89">
        <v>-322336</v>
      </c>
      <c r="E201" s="89">
        <v>-344258</v>
      </c>
      <c r="F201" s="89">
        <f t="shared" si="2"/>
        <v>-333297</v>
      </c>
      <c r="G201" s="400">
        <f>F201/F$12</f>
        <v>1.6336280433672596E-2</v>
      </c>
      <c r="H201" s="89">
        <f>G201*E$12</f>
        <v>-338950.11266709084</v>
      </c>
    </row>
    <row r="202" spans="1:8" x14ac:dyDescent="0.25">
      <c r="A202" s="399">
        <v>611</v>
      </c>
      <c r="B202" s="399" t="s">
        <v>238</v>
      </c>
      <c r="C202" s="399">
        <v>35</v>
      </c>
      <c r="D202" s="89">
        <v>-14360</v>
      </c>
      <c r="E202" s="89">
        <v>-14474</v>
      </c>
      <c r="F202" s="89">
        <f t="shared" si="2"/>
        <v>-14417</v>
      </c>
      <c r="G202" s="400">
        <f>F202/F$12</f>
        <v>7.0663748852302247E-4</v>
      </c>
      <c r="H202" s="89">
        <f>G202*E$12</f>
        <v>-14661.52942967218</v>
      </c>
    </row>
    <row r="203" spans="1:8" x14ac:dyDescent="0.25">
      <c r="A203" s="399">
        <v>614</v>
      </c>
      <c r="B203" s="399" t="s">
        <v>237</v>
      </c>
      <c r="C203" s="399">
        <v>19</v>
      </c>
      <c r="D203" s="89">
        <v>-19124</v>
      </c>
      <c r="E203" s="89">
        <v>-19821</v>
      </c>
      <c r="F203" s="89">
        <f t="shared" si="2"/>
        <v>-19472.5</v>
      </c>
      <c r="G203" s="400">
        <f>F203/F$12</f>
        <v>9.5442869496181976E-4</v>
      </c>
      <c r="H203" s="89">
        <f>G203*E$12</f>
        <v>-19802.776709391106</v>
      </c>
    </row>
    <row r="204" spans="1:8" x14ac:dyDescent="0.25">
      <c r="A204" s="399">
        <v>615</v>
      </c>
      <c r="B204" s="399" t="s">
        <v>236</v>
      </c>
      <c r="C204" s="399">
        <v>17</v>
      </c>
      <c r="D204" s="89">
        <v>-35822</v>
      </c>
      <c r="E204" s="89">
        <v>-36900</v>
      </c>
      <c r="F204" s="89">
        <f t="shared" si="2"/>
        <v>-36361</v>
      </c>
      <c r="G204" s="400">
        <f>F204/F$12</f>
        <v>1.7822047388628441E-3</v>
      </c>
      <c r="H204" s="89">
        <f>G204*E$12</f>
        <v>-36977.725712166903</v>
      </c>
    </row>
    <row r="205" spans="1:8" x14ac:dyDescent="0.25">
      <c r="A205" s="399">
        <v>616</v>
      </c>
      <c r="B205" s="399" t="s">
        <v>235</v>
      </c>
      <c r="C205" s="399">
        <v>34</v>
      </c>
      <c r="D205" s="89">
        <v>-6461</v>
      </c>
      <c r="E205" s="89">
        <v>-6751</v>
      </c>
      <c r="F205" s="89">
        <f t="shared" si="2"/>
        <v>-6606</v>
      </c>
      <c r="G205" s="400">
        <f>F205/F$12</f>
        <v>3.2378769849365936E-4</v>
      </c>
      <c r="H205" s="89">
        <f>G205*E$12</f>
        <v>-6718.0455998067864</v>
      </c>
    </row>
    <row r="206" spans="1:8" x14ac:dyDescent="0.25">
      <c r="A206" s="399">
        <v>619</v>
      </c>
      <c r="B206" s="399" t="s">
        <v>234</v>
      </c>
      <c r="C206" s="399">
        <v>6</v>
      </c>
      <c r="D206" s="89">
        <v>-12256</v>
      </c>
      <c r="E206" s="89">
        <v>-12688</v>
      </c>
      <c r="F206" s="89">
        <f t="shared" ref="F206:F269" si="3">(D206+E206)/2</f>
        <v>-12472</v>
      </c>
      <c r="G206" s="400">
        <f>F206/F$12</f>
        <v>6.1130490094049637E-4</v>
      </c>
      <c r="H206" s="89">
        <f>G206*E$12</f>
        <v>-12683.539921403304</v>
      </c>
    </row>
    <row r="207" spans="1:8" x14ac:dyDescent="0.25">
      <c r="A207" s="399">
        <v>620</v>
      </c>
      <c r="B207" s="399" t="s">
        <v>233</v>
      </c>
      <c r="C207" s="399">
        <v>18</v>
      </c>
      <c r="D207" s="89">
        <v>-15057</v>
      </c>
      <c r="E207" s="89">
        <v>-15141</v>
      </c>
      <c r="F207" s="89">
        <f t="shared" si="3"/>
        <v>-15099</v>
      </c>
      <c r="G207" s="400">
        <f>F207/F$12</f>
        <v>7.400651619067155E-4</v>
      </c>
      <c r="H207" s="89">
        <f>G207*E$12</f>
        <v>-15355.096959049753</v>
      </c>
    </row>
    <row r="208" spans="1:8" x14ac:dyDescent="0.25">
      <c r="A208" s="399">
        <v>623</v>
      </c>
      <c r="B208" s="399" t="s">
        <v>232</v>
      </c>
      <c r="C208" s="399">
        <v>10</v>
      </c>
      <c r="D208" s="89">
        <v>-11404</v>
      </c>
      <c r="E208" s="89">
        <v>-10861</v>
      </c>
      <c r="F208" s="89">
        <f t="shared" si="3"/>
        <v>-11132.5</v>
      </c>
      <c r="G208" s="400">
        <f>F208/F$12</f>
        <v>5.4565040167736342E-4</v>
      </c>
      <c r="H208" s="89">
        <f>G208*E$12</f>
        <v>-11321.320411724046</v>
      </c>
    </row>
    <row r="209" spans="1:8" x14ac:dyDescent="0.25">
      <c r="A209" s="399">
        <v>624</v>
      </c>
      <c r="B209" s="399" t="s">
        <v>231</v>
      </c>
      <c r="C209" s="399">
        <v>8</v>
      </c>
      <c r="D209" s="89">
        <v>-16899</v>
      </c>
      <c r="E209" s="89">
        <v>-16926</v>
      </c>
      <c r="F209" s="89">
        <f t="shared" si="3"/>
        <v>-16912.5</v>
      </c>
      <c r="G209" s="400">
        <f>F209/F$12</f>
        <v>8.2895238431335359E-4</v>
      </c>
      <c r="H209" s="89">
        <f>G209*E$12</f>
        <v>-17199.356071258291</v>
      </c>
    </row>
    <row r="210" spans="1:8" x14ac:dyDescent="0.25">
      <c r="A210" s="399">
        <v>625</v>
      </c>
      <c r="B210" s="399" t="s">
        <v>230</v>
      </c>
      <c r="C210" s="399">
        <v>17</v>
      </c>
      <c r="D210" s="89">
        <v>-12130</v>
      </c>
      <c r="E210" s="89">
        <v>-12497</v>
      </c>
      <c r="F210" s="89">
        <f t="shared" si="3"/>
        <v>-12313.5</v>
      </c>
      <c r="G210" s="400">
        <f>F210/F$12</f>
        <v>6.0353615280073789E-4</v>
      </c>
      <c r="H210" s="89">
        <f>G210*E$12</f>
        <v>-12522.35157330016</v>
      </c>
    </row>
    <row r="211" spans="1:8" x14ac:dyDescent="0.25">
      <c r="A211" s="399">
        <v>626</v>
      </c>
      <c r="B211" s="399" t="s">
        <v>229</v>
      </c>
      <c r="C211" s="399">
        <v>17</v>
      </c>
      <c r="D211" s="89">
        <v>-27120</v>
      </c>
      <c r="E211" s="89">
        <v>-27201</v>
      </c>
      <c r="F211" s="89">
        <f t="shared" si="3"/>
        <v>-27160.5</v>
      </c>
      <c r="G211" s="400">
        <f>F211/F$12</f>
        <v>1.3312497403779949E-3</v>
      </c>
      <c r="H211" s="89">
        <f>G211*E$12</f>
        <v>-27621.174313283711</v>
      </c>
    </row>
    <row r="212" spans="1:8" x14ac:dyDescent="0.25">
      <c r="A212" s="399">
        <v>630</v>
      </c>
      <c r="B212" s="399" t="s">
        <v>228</v>
      </c>
      <c r="C212" s="399">
        <v>17</v>
      </c>
      <c r="D212" s="89">
        <v>-6737</v>
      </c>
      <c r="E212" s="89">
        <v>-7220</v>
      </c>
      <c r="F212" s="89">
        <f t="shared" si="3"/>
        <v>-6978.5</v>
      </c>
      <c r="G212" s="400">
        <f>F212/F$12</f>
        <v>3.4204548197668813E-4</v>
      </c>
      <c r="H212" s="89">
        <f>G212*E$12</f>
        <v>-7096.8636418788465</v>
      </c>
    </row>
    <row r="213" spans="1:8" x14ac:dyDescent="0.25">
      <c r="A213" s="399">
        <v>631</v>
      </c>
      <c r="B213" s="399" t="s">
        <v>227</v>
      </c>
      <c r="C213" s="399">
        <v>2</v>
      </c>
      <c r="D213" s="89">
        <v>-6606</v>
      </c>
      <c r="E213" s="89">
        <v>-6368</v>
      </c>
      <c r="F213" s="89">
        <f t="shared" si="3"/>
        <v>-6487</v>
      </c>
      <c r="G213" s="400">
        <f>F213/F$12</f>
        <v>3.1795501061585956E-4</v>
      </c>
      <c r="H213" s="89">
        <f>G213*E$12</f>
        <v>-6597.0272185810818</v>
      </c>
    </row>
    <row r="214" spans="1:8" x14ac:dyDescent="0.25">
      <c r="A214" s="399">
        <v>635</v>
      </c>
      <c r="B214" s="399" t="s">
        <v>226</v>
      </c>
      <c r="C214" s="399">
        <v>6</v>
      </c>
      <c r="D214" s="89">
        <v>-26333</v>
      </c>
      <c r="E214" s="89">
        <v>-27100</v>
      </c>
      <c r="F214" s="89">
        <f t="shared" si="3"/>
        <v>-26716.5</v>
      </c>
      <c r="G214" s="400">
        <f>F214/F$12</f>
        <v>1.3094874427499016E-3</v>
      </c>
      <c r="H214" s="89">
        <f>G214*E$12</f>
        <v>-27169.643546357554</v>
      </c>
    </row>
    <row r="215" spans="1:8" x14ac:dyDescent="0.25">
      <c r="A215" s="399">
        <v>636</v>
      </c>
      <c r="B215" s="399" t="s">
        <v>225</v>
      </c>
      <c r="C215" s="399">
        <v>2</v>
      </c>
      <c r="D215" s="89">
        <v>-30434</v>
      </c>
      <c r="E215" s="89">
        <v>-30271</v>
      </c>
      <c r="F215" s="89">
        <f t="shared" si="3"/>
        <v>-30352.5</v>
      </c>
      <c r="G215" s="400">
        <f>F215/F$12</f>
        <v>1.4877030152178014E-3</v>
      </c>
      <c r="H215" s="89">
        <f>G215*E$12</f>
        <v>-30867.314421455569</v>
      </c>
    </row>
    <row r="216" spans="1:8" x14ac:dyDescent="0.25">
      <c r="A216" s="399">
        <v>638</v>
      </c>
      <c r="B216" s="399" t="s">
        <v>224</v>
      </c>
      <c r="C216" s="399">
        <v>34</v>
      </c>
      <c r="D216" s="89">
        <v>-160423</v>
      </c>
      <c r="E216" s="89">
        <v>-167532</v>
      </c>
      <c r="F216" s="89">
        <f t="shared" si="3"/>
        <v>-163977.5</v>
      </c>
      <c r="G216" s="400">
        <f>F216/F$12</f>
        <v>8.037223331780809E-3</v>
      </c>
      <c r="H216" s="89">
        <f>G216*E$12</f>
        <v>-166758.75300368108</v>
      </c>
    </row>
    <row r="217" spans="1:8" x14ac:dyDescent="0.25">
      <c r="A217" s="399">
        <v>678</v>
      </c>
      <c r="B217" s="399" t="s">
        <v>223</v>
      </c>
      <c r="C217" s="399">
        <v>17</v>
      </c>
      <c r="D217" s="89">
        <v>-95694</v>
      </c>
      <c r="E217" s="89">
        <v>-98954</v>
      </c>
      <c r="F217" s="89">
        <f t="shared" si="3"/>
        <v>-97324</v>
      </c>
      <c r="G217" s="400">
        <f>F217/F$12</f>
        <v>4.770256428730987E-3</v>
      </c>
      <c r="H217" s="89">
        <f>G217*E$12</f>
        <v>-98974.730541264857</v>
      </c>
    </row>
    <row r="218" spans="1:8" x14ac:dyDescent="0.25">
      <c r="A218" s="399">
        <v>680</v>
      </c>
      <c r="B218" s="399" t="s">
        <v>222</v>
      </c>
      <c r="C218" s="399">
        <v>2</v>
      </c>
      <c r="D218" s="89">
        <v>-84901</v>
      </c>
      <c r="E218" s="89">
        <v>-89772</v>
      </c>
      <c r="F218" s="89">
        <f t="shared" si="3"/>
        <v>-87336.5</v>
      </c>
      <c r="G218" s="400">
        <f>F218/F$12</f>
        <v>4.2807272675585047E-3</v>
      </c>
      <c r="H218" s="89">
        <f>G218*E$12</f>
        <v>-88817.830688393195</v>
      </c>
    </row>
    <row r="219" spans="1:8" x14ac:dyDescent="0.25">
      <c r="A219" s="399">
        <v>681</v>
      </c>
      <c r="B219" s="399" t="s">
        <v>221</v>
      </c>
      <c r="C219" s="399">
        <v>10</v>
      </c>
      <c r="D219" s="89">
        <v>-14730</v>
      </c>
      <c r="E219" s="89">
        <v>-15471</v>
      </c>
      <c r="F219" s="89">
        <f t="shared" si="3"/>
        <v>-15100.5</v>
      </c>
      <c r="G219" s="400">
        <f>F219/F$12</f>
        <v>7.4013868318248605E-4</v>
      </c>
      <c r="H219" s="89">
        <f>G219*E$12</f>
        <v>-15356.622400829909</v>
      </c>
    </row>
    <row r="220" spans="1:8" x14ac:dyDescent="0.25">
      <c r="A220" s="399">
        <v>683</v>
      </c>
      <c r="B220" s="399" t="s">
        <v>220</v>
      </c>
      <c r="C220" s="399">
        <v>19</v>
      </c>
      <c r="D220" s="89">
        <v>-19064</v>
      </c>
      <c r="E220" s="89">
        <v>-19692</v>
      </c>
      <c r="F220" s="89">
        <f t="shared" si="3"/>
        <v>-19378</v>
      </c>
      <c r="G220" s="400">
        <f>F220/F$12</f>
        <v>9.4979685458827291E-4</v>
      </c>
      <c r="H220" s="89">
        <f>G220*E$12</f>
        <v>-19706.673877241283</v>
      </c>
    </row>
    <row r="221" spans="1:8" x14ac:dyDescent="0.25">
      <c r="A221" s="399">
        <v>684</v>
      </c>
      <c r="B221" s="399" t="s">
        <v>219</v>
      </c>
      <c r="C221" s="399">
        <v>4</v>
      </c>
      <c r="D221" s="89">
        <v>-141988</v>
      </c>
      <c r="E221" s="89">
        <v>-144974</v>
      </c>
      <c r="F221" s="89">
        <f t="shared" si="3"/>
        <v>-143481</v>
      </c>
      <c r="G221" s="400">
        <f>F221/F$12</f>
        <v>7.0326041125596027E-3</v>
      </c>
      <c r="H221" s="89">
        <f>G221*E$12</f>
        <v>-145914.60803903686</v>
      </c>
    </row>
    <row r="222" spans="1:8" x14ac:dyDescent="0.25">
      <c r="A222" s="399">
        <v>686</v>
      </c>
      <c r="B222" s="399" t="s">
        <v>218</v>
      </c>
      <c r="C222" s="399">
        <v>11</v>
      </c>
      <c r="D222" s="89">
        <v>-17075</v>
      </c>
      <c r="E222" s="89">
        <v>-16941</v>
      </c>
      <c r="F222" s="89">
        <f t="shared" si="3"/>
        <v>-17008</v>
      </c>
      <c r="G222" s="400">
        <f>F222/F$12</f>
        <v>8.3363323887074747E-4</v>
      </c>
      <c r="H222" s="89">
        <f>G222*E$12</f>
        <v>-17296.475864594886</v>
      </c>
    </row>
    <row r="223" spans="1:8" x14ac:dyDescent="0.25">
      <c r="A223" s="399">
        <v>687</v>
      </c>
      <c r="B223" s="399" t="s">
        <v>217</v>
      </c>
      <c r="C223" s="399">
        <v>11</v>
      </c>
      <c r="D223" s="89">
        <v>-9289</v>
      </c>
      <c r="E223" s="89">
        <v>-10298</v>
      </c>
      <c r="F223" s="89">
        <f t="shared" si="3"/>
        <v>-9793.5</v>
      </c>
      <c r="G223" s="400">
        <f>F223/F$12</f>
        <v>4.8002040950615392E-4</v>
      </c>
      <c r="H223" s="89">
        <f>G223*E$12</f>
        <v>-9959.6093826381712</v>
      </c>
    </row>
    <row r="224" spans="1:8" x14ac:dyDescent="0.25">
      <c r="A224" s="399">
        <v>689</v>
      </c>
      <c r="B224" s="399" t="s">
        <v>216</v>
      </c>
      <c r="C224" s="399">
        <v>9</v>
      </c>
      <c r="D224" s="89">
        <v>-16103</v>
      </c>
      <c r="E224" s="89">
        <v>-16212</v>
      </c>
      <c r="F224" s="89">
        <f t="shared" si="3"/>
        <v>-16157.5</v>
      </c>
      <c r="G224" s="400">
        <f>F224/F$12</f>
        <v>7.9194667550882539E-4</v>
      </c>
      <c r="H224" s="89">
        <f>G224*E$12</f>
        <v>-16431.550375246465</v>
      </c>
    </row>
    <row r="225" spans="1:8" x14ac:dyDescent="0.25">
      <c r="A225" s="399">
        <v>691</v>
      </c>
      <c r="B225" s="399" t="s">
        <v>215</v>
      </c>
      <c r="C225" s="399">
        <v>17</v>
      </c>
      <c r="D225" s="89">
        <v>-11753</v>
      </c>
      <c r="E225" s="89">
        <v>-12301</v>
      </c>
      <c r="F225" s="89">
        <f t="shared" si="3"/>
        <v>-12027</v>
      </c>
      <c r="G225" s="400">
        <f>F225/F$12</f>
        <v>5.8949358912855601E-4</v>
      </c>
      <c r="H225" s="89">
        <f>G225*E$12</f>
        <v>-12230.992193290374</v>
      </c>
    </row>
    <row r="226" spans="1:8" x14ac:dyDescent="0.25">
      <c r="A226" s="399">
        <v>694</v>
      </c>
      <c r="B226" s="399" t="s">
        <v>214</v>
      </c>
      <c r="C226" s="399">
        <v>5</v>
      </c>
      <c r="D226" s="89">
        <v>-103729</v>
      </c>
      <c r="E226" s="89">
        <v>-105287</v>
      </c>
      <c r="F226" s="89">
        <f t="shared" si="3"/>
        <v>-104508</v>
      </c>
      <c r="G226" s="400">
        <f>F226/F$12</f>
        <v>5.1223743254882456E-3</v>
      </c>
      <c r="H226" s="89">
        <f>G226*E$12</f>
        <v>-106280.57970702507</v>
      </c>
    </row>
    <row r="227" spans="1:8" x14ac:dyDescent="0.25">
      <c r="A227" s="399">
        <v>697</v>
      </c>
      <c r="B227" s="399" t="s">
        <v>213</v>
      </c>
      <c r="C227" s="399">
        <v>18</v>
      </c>
      <c r="D227" s="89">
        <v>-7382</v>
      </c>
      <c r="E227" s="89">
        <v>-7655</v>
      </c>
      <c r="F227" s="89">
        <f t="shared" si="3"/>
        <v>-7518.5</v>
      </c>
      <c r="G227" s="400">
        <f>F227/F$12</f>
        <v>3.6851314125409897E-4</v>
      </c>
      <c r="H227" s="89">
        <f>G227*E$12</f>
        <v>-7646.022682734987</v>
      </c>
    </row>
    <row r="228" spans="1:8" x14ac:dyDescent="0.25">
      <c r="A228" s="399">
        <v>698</v>
      </c>
      <c r="B228" s="399" t="s">
        <v>212</v>
      </c>
      <c r="C228" s="399">
        <v>19</v>
      </c>
      <c r="D228" s="89">
        <v>-241537</v>
      </c>
      <c r="E228" s="89">
        <v>-256544</v>
      </c>
      <c r="F228" s="89">
        <f t="shared" si="3"/>
        <v>-249040.5</v>
      </c>
      <c r="G228" s="400">
        <f>F228/F$12</f>
        <v>1.220651685236303E-2</v>
      </c>
      <c r="H228" s="89">
        <f>G228*E$12</f>
        <v>-253264.52243395126</v>
      </c>
    </row>
    <row r="229" spans="1:8" x14ac:dyDescent="0.25">
      <c r="A229" s="399">
        <v>700</v>
      </c>
      <c r="B229" s="399" t="s">
        <v>211</v>
      </c>
      <c r="C229" s="399">
        <v>9</v>
      </c>
      <c r="D229" s="89">
        <v>-22591</v>
      </c>
      <c r="E229" s="89">
        <v>-22542</v>
      </c>
      <c r="F229" s="89">
        <f t="shared" si="3"/>
        <v>-22566.5</v>
      </c>
      <c r="G229" s="400">
        <f>F229/F$12</f>
        <v>1.1060785797846146E-3</v>
      </c>
      <c r="H229" s="89">
        <f>G229*E$12</f>
        <v>-22949.254621259439</v>
      </c>
    </row>
    <row r="230" spans="1:8" x14ac:dyDescent="0.25">
      <c r="A230" s="399">
        <v>702</v>
      </c>
      <c r="B230" s="399" t="s">
        <v>210</v>
      </c>
      <c r="C230" s="399">
        <v>6</v>
      </c>
      <c r="D230" s="89">
        <v>-20416</v>
      </c>
      <c r="E230" s="89">
        <v>-21773</v>
      </c>
      <c r="F230" s="89">
        <f t="shared" si="3"/>
        <v>-21094.5</v>
      </c>
      <c r="G230" s="400">
        <f>F230/F$12</f>
        <v>1.0339297011617463E-3</v>
      </c>
      <c r="H230" s="89">
        <f>G230*E$12</f>
        <v>-21452.287754333065</v>
      </c>
    </row>
    <row r="231" spans="1:8" x14ac:dyDescent="0.25">
      <c r="A231" s="399">
        <v>704</v>
      </c>
      <c r="B231" s="399" t="s">
        <v>209</v>
      </c>
      <c r="C231" s="399">
        <v>2</v>
      </c>
      <c r="D231" s="89">
        <v>-17879</v>
      </c>
      <c r="E231" s="89">
        <v>-19324</v>
      </c>
      <c r="F231" s="89">
        <f t="shared" si="3"/>
        <v>-18601.5</v>
      </c>
      <c r="G231" s="400">
        <f>F231/F$12</f>
        <v>9.1173734083103302E-4</v>
      </c>
      <c r="H231" s="89">
        <f>G231*E$12</f>
        <v>-18917.003515713885</v>
      </c>
    </row>
    <row r="232" spans="1:8" x14ac:dyDescent="0.25">
      <c r="A232" s="399">
        <v>707</v>
      </c>
      <c r="B232" s="399" t="s">
        <v>208</v>
      </c>
      <c r="C232" s="399">
        <v>12</v>
      </c>
      <c r="D232" s="89">
        <v>-11461</v>
      </c>
      <c r="E232" s="89">
        <v>-10539</v>
      </c>
      <c r="F232" s="89">
        <f t="shared" si="3"/>
        <v>-11000</v>
      </c>
      <c r="G232" s="400">
        <f>F232/F$12</f>
        <v>5.3915602231762838E-4</v>
      </c>
      <c r="H232" s="89">
        <f>G232*E$12</f>
        <v>-11186.573054476938</v>
      </c>
    </row>
    <row r="233" spans="1:8" x14ac:dyDescent="0.25">
      <c r="A233" s="399">
        <v>710</v>
      </c>
      <c r="B233" s="399" t="s">
        <v>207</v>
      </c>
      <c r="C233" s="399">
        <v>33</v>
      </c>
      <c r="D233" s="89">
        <v>-110959</v>
      </c>
      <c r="E233" s="89">
        <v>-116019</v>
      </c>
      <c r="F233" s="89">
        <f t="shared" si="3"/>
        <v>-113489</v>
      </c>
      <c r="G233" s="400">
        <f>F233/F$12</f>
        <v>5.5625707106186657E-3</v>
      </c>
      <c r="H233" s="89">
        <f>G233*E$12</f>
        <v>-115413.9081254121</v>
      </c>
    </row>
    <row r="234" spans="1:8" x14ac:dyDescent="0.25">
      <c r="A234" s="399">
        <v>729</v>
      </c>
      <c r="B234" s="399" t="s">
        <v>206</v>
      </c>
      <c r="C234" s="399">
        <v>13</v>
      </c>
      <c r="D234" s="89">
        <v>-40877</v>
      </c>
      <c r="E234" s="89">
        <v>-42413</v>
      </c>
      <c r="F234" s="89">
        <f t="shared" si="3"/>
        <v>-41645</v>
      </c>
      <c r="G234" s="400">
        <f>F234/F$12</f>
        <v>2.0411956863106936E-3</v>
      </c>
      <c r="H234" s="89">
        <f>G234*E$12</f>
        <v>-42351.348623062906</v>
      </c>
    </row>
    <row r="235" spans="1:8" x14ac:dyDescent="0.25">
      <c r="A235" s="399">
        <v>732</v>
      </c>
      <c r="B235" s="399" t="s">
        <v>205</v>
      </c>
      <c r="C235" s="399">
        <v>19</v>
      </c>
      <c r="D235" s="89">
        <v>-21994</v>
      </c>
      <c r="E235" s="89">
        <v>-22473</v>
      </c>
      <c r="F235" s="89">
        <f t="shared" si="3"/>
        <v>-22233.5</v>
      </c>
      <c r="G235" s="400">
        <f>F235/F$12</f>
        <v>1.0897568565635446E-3</v>
      </c>
      <c r="H235" s="89">
        <f>G235*E$12</f>
        <v>-22610.606546064817</v>
      </c>
    </row>
    <row r="236" spans="1:8" x14ac:dyDescent="0.25">
      <c r="A236" s="399">
        <v>734</v>
      </c>
      <c r="B236" s="399" t="s">
        <v>204</v>
      </c>
      <c r="C236" s="399">
        <v>2</v>
      </c>
      <c r="D236" s="89">
        <v>-198358</v>
      </c>
      <c r="E236" s="89">
        <v>-212771</v>
      </c>
      <c r="F236" s="89">
        <f t="shared" si="3"/>
        <v>-205564.5</v>
      </c>
      <c r="G236" s="400">
        <f>F236/F$12</f>
        <v>1.0075576195428374E-2</v>
      </c>
      <c r="H236" s="89">
        <f>G236*E$12</f>
        <v>-209051.11787791131</v>
      </c>
    </row>
    <row r="237" spans="1:8" x14ac:dyDescent="0.25">
      <c r="A237" s="399">
        <v>738</v>
      </c>
      <c r="B237" s="399" t="s">
        <v>203</v>
      </c>
      <c r="C237" s="399">
        <v>2</v>
      </c>
      <c r="D237" s="89">
        <v>-10189</v>
      </c>
      <c r="E237" s="89">
        <v>-9991</v>
      </c>
      <c r="F237" s="89">
        <f t="shared" si="3"/>
        <v>-10090</v>
      </c>
      <c r="G237" s="400">
        <f>F237/F$12</f>
        <v>4.9455311501680631E-4</v>
      </c>
      <c r="H237" s="89">
        <f>G237*E$12</f>
        <v>-10261.138374515662</v>
      </c>
    </row>
    <row r="238" spans="1:8" x14ac:dyDescent="0.25">
      <c r="A238" s="399">
        <v>739</v>
      </c>
      <c r="B238" s="399" t="s">
        <v>202</v>
      </c>
      <c r="C238" s="399">
        <v>9</v>
      </c>
      <c r="D238" s="89">
        <v>-15155</v>
      </c>
      <c r="E238" s="89">
        <v>-15852</v>
      </c>
      <c r="F238" s="89">
        <f t="shared" si="3"/>
        <v>-15503.5</v>
      </c>
      <c r="G238" s="400">
        <f>F238/F$12</f>
        <v>7.5989139927285009E-4</v>
      </c>
      <c r="H238" s="89">
        <f>G238*E$12</f>
        <v>-15766.457759098472</v>
      </c>
    </row>
    <row r="239" spans="1:8" x14ac:dyDescent="0.25">
      <c r="A239" s="399">
        <v>740</v>
      </c>
      <c r="B239" s="399" t="s">
        <v>201</v>
      </c>
      <c r="C239" s="399">
        <v>10</v>
      </c>
      <c r="D239" s="89">
        <v>-153208</v>
      </c>
      <c r="E239" s="89">
        <v>-148042</v>
      </c>
      <c r="F239" s="89">
        <f t="shared" si="3"/>
        <v>-150625</v>
      </c>
      <c r="G239" s="400">
        <f>F239/F$12</f>
        <v>7.3827614419629791E-3</v>
      </c>
      <c r="H239" s="89">
        <f>G239*E$12</f>
        <v>-153179.77875732625</v>
      </c>
    </row>
    <row r="240" spans="1:8" x14ac:dyDescent="0.25">
      <c r="A240" s="399">
        <v>742</v>
      </c>
      <c r="B240" s="399" t="s">
        <v>200</v>
      </c>
      <c r="C240" s="399">
        <v>19</v>
      </c>
      <c r="D240" s="89">
        <v>-5704</v>
      </c>
      <c r="E240" s="89">
        <v>-5462</v>
      </c>
      <c r="F240" s="89">
        <f t="shared" si="3"/>
        <v>-5583</v>
      </c>
      <c r="G240" s="400">
        <f>F240/F$12</f>
        <v>2.7364618841811992E-4</v>
      </c>
      <c r="H240" s="89">
        <f>G240*E$12</f>
        <v>-5677.6943057404314</v>
      </c>
    </row>
    <row r="241" spans="1:8" x14ac:dyDescent="0.25">
      <c r="A241" s="399">
        <v>743</v>
      </c>
      <c r="B241" s="399" t="s">
        <v>199</v>
      </c>
      <c r="C241" s="399">
        <v>14</v>
      </c>
      <c r="D241" s="89">
        <v>-228020</v>
      </c>
      <c r="E241" s="89">
        <v>-226881</v>
      </c>
      <c r="F241" s="89">
        <f t="shared" si="3"/>
        <v>-227450.5</v>
      </c>
      <c r="G241" s="400">
        <f>F241/F$12</f>
        <v>1.1148300623105066E-2</v>
      </c>
      <c r="H241" s="89">
        <f>G241*E$12</f>
        <v>-231308.33041157332</v>
      </c>
    </row>
    <row r="242" spans="1:8" x14ac:dyDescent="0.25">
      <c r="A242" s="399">
        <v>746</v>
      </c>
      <c r="B242" s="399" t="s">
        <v>198</v>
      </c>
      <c r="C242" s="399">
        <v>17</v>
      </c>
      <c r="D242" s="89">
        <v>-20339</v>
      </c>
      <c r="E242" s="89">
        <v>-20643</v>
      </c>
      <c r="F242" s="89">
        <f t="shared" si="3"/>
        <v>-20491</v>
      </c>
      <c r="G242" s="400">
        <f>F242/F$12</f>
        <v>1.0043496412100474E-3</v>
      </c>
      <c r="H242" s="89">
        <f>G242*E$12</f>
        <v>-20838.55167811699</v>
      </c>
    </row>
    <row r="243" spans="1:8" x14ac:dyDescent="0.25">
      <c r="A243" s="399">
        <v>747</v>
      </c>
      <c r="B243" s="399" t="s">
        <v>197</v>
      </c>
      <c r="C243" s="399">
        <v>4</v>
      </c>
      <c r="D243" s="89">
        <v>-6279</v>
      </c>
      <c r="E243" s="89">
        <v>-6126</v>
      </c>
      <c r="F243" s="89">
        <f t="shared" si="3"/>
        <v>-6202.5</v>
      </c>
      <c r="G243" s="400">
        <f>F243/F$12</f>
        <v>3.0401047531137182E-4</v>
      </c>
      <c r="H243" s="89">
        <f>G243*E$12</f>
        <v>-6307.7017609448367</v>
      </c>
    </row>
    <row r="244" spans="1:8" x14ac:dyDescent="0.25">
      <c r="A244" s="399">
        <v>748</v>
      </c>
      <c r="B244" s="399" t="s">
        <v>196</v>
      </c>
      <c r="C244" s="399">
        <v>17</v>
      </c>
      <c r="D244" s="89">
        <v>-19291</v>
      </c>
      <c r="E244" s="89">
        <v>-20257</v>
      </c>
      <c r="F244" s="89">
        <f t="shared" si="3"/>
        <v>-19774</v>
      </c>
      <c r="G244" s="400">
        <f>F244/F$12</f>
        <v>9.6920647139170748E-4</v>
      </c>
      <c r="H244" s="89">
        <f>G244*E$12</f>
        <v>-20109.39050720245</v>
      </c>
    </row>
    <row r="245" spans="1:8" x14ac:dyDescent="0.25">
      <c r="A245" s="399">
        <v>749</v>
      </c>
      <c r="B245" s="399" t="s">
        <v>195</v>
      </c>
      <c r="C245" s="399">
        <v>11</v>
      </c>
      <c r="D245" s="89">
        <v>-76802</v>
      </c>
      <c r="E245" s="89">
        <v>-83823</v>
      </c>
      <c r="F245" s="89">
        <f t="shared" si="3"/>
        <v>-80312.5</v>
      </c>
      <c r="G245" s="400">
        <f>F245/F$12</f>
        <v>3.9364516402167751E-3</v>
      </c>
      <c r="H245" s="89">
        <f>G245*E$12</f>
        <v>-81674.695312516269</v>
      </c>
    </row>
    <row r="246" spans="1:8" x14ac:dyDescent="0.25">
      <c r="A246" s="399">
        <v>751</v>
      </c>
      <c r="B246" s="399" t="s">
        <v>194</v>
      </c>
      <c r="C246" s="399">
        <v>19</v>
      </c>
      <c r="D246" s="89">
        <v>-13107</v>
      </c>
      <c r="E246" s="89">
        <v>-13226</v>
      </c>
      <c r="F246" s="89">
        <f t="shared" si="3"/>
        <v>-13166.5</v>
      </c>
      <c r="G246" s="400">
        <f>F246/F$12</f>
        <v>6.4534525162227756E-4</v>
      </c>
      <c r="H246" s="89">
        <f>G246*E$12</f>
        <v>-13389.819465615508</v>
      </c>
    </row>
    <row r="247" spans="1:8" x14ac:dyDescent="0.25">
      <c r="A247" s="399">
        <v>753</v>
      </c>
      <c r="B247" s="399" t="s">
        <v>193</v>
      </c>
      <c r="C247" s="399">
        <v>34</v>
      </c>
      <c r="D247" s="89">
        <v>-63143</v>
      </c>
      <c r="E247" s="89">
        <v>-61719</v>
      </c>
      <c r="F247" s="89">
        <f t="shared" si="3"/>
        <v>-62431</v>
      </c>
      <c r="G247" s="400">
        <f>F247/F$12</f>
        <v>3.060004511755623E-3</v>
      </c>
      <c r="H247" s="89">
        <f>G247*E$12</f>
        <v>-63489.903851277239</v>
      </c>
    </row>
    <row r="248" spans="1:8" x14ac:dyDescent="0.25">
      <c r="A248" s="399">
        <v>755</v>
      </c>
      <c r="B248" s="399" t="s">
        <v>192</v>
      </c>
      <c r="C248" s="399">
        <v>33</v>
      </c>
      <c r="D248" s="89">
        <v>-18559</v>
      </c>
      <c r="E248" s="89">
        <v>-19119</v>
      </c>
      <c r="F248" s="89">
        <f t="shared" si="3"/>
        <v>-18839</v>
      </c>
      <c r="G248" s="400">
        <f>F248/F$12</f>
        <v>9.233782094947091E-4</v>
      </c>
      <c r="H248" s="89">
        <f>G248*E$12</f>
        <v>-19158.531797571912</v>
      </c>
    </row>
    <row r="249" spans="1:8" x14ac:dyDescent="0.25">
      <c r="A249" s="399">
        <v>758</v>
      </c>
      <c r="B249" s="399" t="s">
        <v>191</v>
      </c>
      <c r="C249" s="399">
        <v>19</v>
      </c>
      <c r="D249" s="89">
        <v>-43113</v>
      </c>
      <c r="E249" s="89">
        <v>-43498</v>
      </c>
      <c r="F249" s="89">
        <f t="shared" si="3"/>
        <v>-43305.5</v>
      </c>
      <c r="G249" s="400">
        <f>F249/F$12</f>
        <v>2.1225837385887322E-3</v>
      </c>
      <c r="H249" s="89">
        <f>G249*E$12</f>
        <v>-44040.01267369555</v>
      </c>
    </row>
    <row r="250" spans="1:8" x14ac:dyDescent="0.25">
      <c r="A250" s="399">
        <v>759</v>
      </c>
      <c r="B250" s="399" t="s">
        <v>190</v>
      </c>
      <c r="C250" s="399">
        <v>14</v>
      </c>
      <c r="D250" s="89">
        <v>-9186</v>
      </c>
      <c r="E250" s="89">
        <v>-9172</v>
      </c>
      <c r="F250" s="89">
        <f t="shared" si="3"/>
        <v>-9179</v>
      </c>
      <c r="G250" s="400">
        <f>F250/F$12</f>
        <v>4.4990119353213731E-4</v>
      </c>
      <c r="H250" s="89">
        <f>G250*E$12</f>
        <v>-9334.6867333676182</v>
      </c>
    </row>
    <row r="251" spans="1:8" x14ac:dyDescent="0.25">
      <c r="A251" s="399">
        <v>761</v>
      </c>
      <c r="B251" s="399" t="s">
        <v>189</v>
      </c>
      <c r="C251" s="399">
        <v>2</v>
      </c>
      <c r="D251" s="89">
        <v>-34834</v>
      </c>
      <c r="E251" s="89">
        <v>-34957</v>
      </c>
      <c r="F251" s="89">
        <f t="shared" si="3"/>
        <v>-34895.5</v>
      </c>
      <c r="G251" s="400">
        <f>F251/F$12</f>
        <v>1.7103744524349818E-3</v>
      </c>
      <c r="H251" s="89">
        <f>G251*E$12</f>
        <v>-35487.369092954541</v>
      </c>
    </row>
    <row r="252" spans="1:8" x14ac:dyDescent="0.25">
      <c r="A252" s="399">
        <v>762</v>
      </c>
      <c r="B252" s="399" t="s">
        <v>188</v>
      </c>
      <c r="C252" s="399">
        <v>11</v>
      </c>
      <c r="D252" s="89">
        <v>-17327</v>
      </c>
      <c r="E252" s="89">
        <v>-18236</v>
      </c>
      <c r="F252" s="89">
        <f t="shared" si="3"/>
        <v>-17781.5</v>
      </c>
      <c r="G252" s="400">
        <f>F252/F$12</f>
        <v>8.7154571007644615E-4</v>
      </c>
      <c r="H252" s="89">
        <f>G252*E$12</f>
        <v>-18083.095342561966</v>
      </c>
    </row>
    <row r="253" spans="1:8" x14ac:dyDescent="0.25">
      <c r="A253" s="399">
        <v>765</v>
      </c>
      <c r="B253" s="399" t="s">
        <v>187</v>
      </c>
      <c r="C253" s="399">
        <v>18</v>
      </c>
      <c r="D253" s="89">
        <v>-45132</v>
      </c>
      <c r="E253" s="89">
        <v>-45155</v>
      </c>
      <c r="F253" s="89">
        <f t="shared" si="3"/>
        <v>-45143.5</v>
      </c>
      <c r="G253" s="400">
        <f>F253/F$12</f>
        <v>2.212671808499623E-3</v>
      </c>
      <c r="H253" s="89">
        <f>G253*E$12</f>
        <v>-45909.187334979964</v>
      </c>
    </row>
    <row r="254" spans="1:8" x14ac:dyDescent="0.25">
      <c r="A254" s="399">
        <v>768</v>
      </c>
      <c r="B254" s="399" t="s">
        <v>186</v>
      </c>
      <c r="C254" s="399">
        <v>10</v>
      </c>
      <c r="D254" s="89">
        <v>-12501</v>
      </c>
      <c r="E254" s="89">
        <v>-12500</v>
      </c>
      <c r="F254" s="89">
        <f t="shared" si="3"/>
        <v>-12500.5</v>
      </c>
      <c r="G254" s="400">
        <f>F254/F$12</f>
        <v>6.1270180518013752E-4</v>
      </c>
      <c r="H254" s="89">
        <f>G254*E$12</f>
        <v>-12712.523315226268</v>
      </c>
    </row>
    <row r="255" spans="1:8" x14ac:dyDescent="0.25">
      <c r="A255" s="399">
        <v>777</v>
      </c>
      <c r="B255" s="399" t="s">
        <v>185</v>
      </c>
      <c r="C255" s="399">
        <v>18</v>
      </c>
      <c r="D255" s="89">
        <v>-41029</v>
      </c>
      <c r="E255" s="89">
        <v>-41300</v>
      </c>
      <c r="F255" s="89">
        <f t="shared" si="3"/>
        <v>-41164.5</v>
      </c>
      <c r="G255" s="400">
        <f>F255/F$12</f>
        <v>2.017644370972183E-3</v>
      </c>
      <c r="H255" s="89">
        <f>G255*E$12</f>
        <v>-41862.698772819625</v>
      </c>
    </row>
    <row r="256" spans="1:8" x14ac:dyDescent="0.25">
      <c r="A256" s="399">
        <v>778</v>
      </c>
      <c r="B256" s="399" t="s">
        <v>184</v>
      </c>
      <c r="C256" s="399">
        <v>11</v>
      </c>
      <c r="D256" s="89">
        <v>-35447</v>
      </c>
      <c r="E256" s="89">
        <v>-36036</v>
      </c>
      <c r="F256" s="89">
        <f t="shared" si="3"/>
        <v>-35741.5</v>
      </c>
      <c r="G256" s="400">
        <f>F256/F$12</f>
        <v>1.7518404519695921E-3</v>
      </c>
      <c r="H256" s="89">
        <f>G256*E$12</f>
        <v>-36347.718256962493</v>
      </c>
    </row>
    <row r="257" spans="1:8" x14ac:dyDescent="0.25">
      <c r="A257" s="399">
        <v>781</v>
      </c>
      <c r="B257" s="399" t="s">
        <v>183</v>
      </c>
      <c r="C257" s="399">
        <v>7</v>
      </c>
      <c r="D257" s="89">
        <v>-18408</v>
      </c>
      <c r="E257" s="89">
        <v>-18466</v>
      </c>
      <c r="F257" s="89">
        <f t="shared" si="3"/>
        <v>-18437</v>
      </c>
      <c r="G257" s="400">
        <f>F257/F$12</f>
        <v>9.0367450758819211E-4</v>
      </c>
      <c r="H257" s="89">
        <f>G257*E$12</f>
        <v>-18749.713400490116</v>
      </c>
    </row>
    <row r="258" spans="1:8" x14ac:dyDescent="0.25">
      <c r="A258" s="399">
        <v>783</v>
      </c>
      <c r="B258" s="399" t="s">
        <v>182</v>
      </c>
      <c r="C258" s="399">
        <v>4</v>
      </c>
      <c r="D258" s="89">
        <v>-26821</v>
      </c>
      <c r="E258" s="89">
        <v>-27480</v>
      </c>
      <c r="F258" s="89">
        <f t="shared" si="3"/>
        <v>-27150.5</v>
      </c>
      <c r="G258" s="400">
        <f>F258/F$12</f>
        <v>1.3307595985395243E-3</v>
      </c>
      <c r="H258" s="89">
        <f>G258*E$12</f>
        <v>-27611.004701416005</v>
      </c>
    </row>
    <row r="259" spans="1:8" x14ac:dyDescent="0.25">
      <c r="A259" s="399">
        <v>785</v>
      </c>
      <c r="B259" s="399" t="s">
        <v>181</v>
      </c>
      <c r="C259" s="399">
        <v>17</v>
      </c>
      <c r="D259" s="89">
        <v>-15639</v>
      </c>
      <c r="E259" s="89">
        <v>-15032</v>
      </c>
      <c r="F259" s="89">
        <f t="shared" si="3"/>
        <v>-15335.5</v>
      </c>
      <c r="G259" s="400">
        <f>F259/F$12</f>
        <v>7.5165701638654444E-4</v>
      </c>
      <c r="H259" s="89">
        <f>G259*E$12</f>
        <v>-15595.608279721006</v>
      </c>
    </row>
    <row r="260" spans="1:8" x14ac:dyDescent="0.25">
      <c r="A260" s="399">
        <v>790</v>
      </c>
      <c r="B260" s="399" t="s">
        <v>180</v>
      </c>
      <c r="C260" s="399">
        <v>6</v>
      </c>
      <c r="D260" s="89">
        <v>-95924</v>
      </c>
      <c r="E260" s="89">
        <v>-102980</v>
      </c>
      <c r="F260" s="89">
        <f t="shared" si="3"/>
        <v>-99452</v>
      </c>
      <c r="G260" s="400">
        <f>F260/F$12</f>
        <v>4.8745586119575248E-3</v>
      </c>
      <c r="H260" s="89">
        <f>G260*E$12</f>
        <v>-101138.82394671276</v>
      </c>
    </row>
    <row r="261" spans="1:8" x14ac:dyDescent="0.25">
      <c r="A261" s="399">
        <v>791</v>
      </c>
      <c r="B261" s="399" t="s">
        <v>179</v>
      </c>
      <c r="C261" s="399">
        <v>17</v>
      </c>
      <c r="D261" s="89">
        <v>-24560</v>
      </c>
      <c r="E261" s="89">
        <v>-24134</v>
      </c>
      <c r="F261" s="89">
        <f t="shared" si="3"/>
        <v>-24347</v>
      </c>
      <c r="G261" s="400">
        <f>F261/F$12</f>
        <v>1.1933483341242997E-3</v>
      </c>
      <c r="H261" s="89">
        <f>G261*E$12</f>
        <v>-24759.954014304545</v>
      </c>
    </row>
    <row r="262" spans="1:8" x14ac:dyDescent="0.25">
      <c r="A262" s="399">
        <v>831</v>
      </c>
      <c r="B262" s="399" t="s">
        <v>178</v>
      </c>
      <c r="C262" s="399">
        <v>9</v>
      </c>
      <c r="D262" s="89">
        <v>-14809</v>
      </c>
      <c r="E262" s="89">
        <v>-15622</v>
      </c>
      <c r="F262" s="89">
        <f t="shared" si="3"/>
        <v>-15215.5</v>
      </c>
      <c r="G262" s="400">
        <f>F262/F$12</f>
        <v>7.4577531432489766E-4</v>
      </c>
      <c r="H262" s="89">
        <f>G262*E$12</f>
        <v>-15473.572937308531</v>
      </c>
    </row>
    <row r="263" spans="1:8" x14ac:dyDescent="0.25">
      <c r="A263" s="399">
        <v>832</v>
      </c>
      <c r="B263" s="399" t="s">
        <v>177</v>
      </c>
      <c r="C263" s="399">
        <v>17</v>
      </c>
      <c r="D263" s="89">
        <v>-17969</v>
      </c>
      <c r="E263" s="89">
        <v>-18351</v>
      </c>
      <c r="F263" s="89">
        <f t="shared" si="3"/>
        <v>-18160</v>
      </c>
      <c r="G263" s="400">
        <f>F263/F$12</f>
        <v>8.9009757866255728E-4</v>
      </c>
      <c r="H263" s="89">
        <f>G263*E$12</f>
        <v>-18468.015151754651</v>
      </c>
    </row>
    <row r="264" spans="1:8" x14ac:dyDescent="0.25">
      <c r="A264" s="399">
        <v>833</v>
      </c>
      <c r="B264" s="399" t="s">
        <v>176</v>
      </c>
      <c r="C264" s="399">
        <v>2</v>
      </c>
      <c r="D264" s="89">
        <v>-6373</v>
      </c>
      <c r="E264" s="89">
        <v>-7056</v>
      </c>
      <c r="F264" s="89">
        <f t="shared" si="3"/>
        <v>-6714.5</v>
      </c>
      <c r="G264" s="400">
        <f>F264/F$12</f>
        <v>3.2910573744106503E-4</v>
      </c>
      <c r="H264" s="89">
        <f>G264*E$12</f>
        <v>-6828.3858885713989</v>
      </c>
    </row>
    <row r="265" spans="1:8" x14ac:dyDescent="0.25">
      <c r="A265" s="399">
        <v>834</v>
      </c>
      <c r="B265" s="399" t="s">
        <v>175</v>
      </c>
      <c r="C265" s="399">
        <v>5</v>
      </c>
      <c r="D265" s="89">
        <v>-21047</v>
      </c>
      <c r="E265" s="89">
        <v>-22264</v>
      </c>
      <c r="F265" s="89">
        <f t="shared" si="3"/>
        <v>-21655.5</v>
      </c>
      <c r="G265" s="400">
        <f>F265/F$12</f>
        <v>1.0614266582999455E-3</v>
      </c>
      <c r="H265" s="89">
        <f>G265*E$12</f>
        <v>-22022.802980111392</v>
      </c>
    </row>
    <row r="266" spans="1:8" x14ac:dyDescent="0.25">
      <c r="A266" s="399">
        <v>837</v>
      </c>
      <c r="B266" s="399" t="s">
        <v>174</v>
      </c>
      <c r="C266" s="399">
        <v>6</v>
      </c>
      <c r="D266" s="89">
        <v>-855136</v>
      </c>
      <c r="E266" s="89">
        <v>-894563</v>
      </c>
      <c r="F266" s="89">
        <f t="shared" si="3"/>
        <v>-874849.5</v>
      </c>
      <c r="G266" s="400">
        <f>F266/F$12</f>
        <v>4.2880034231505999E-2</v>
      </c>
      <c r="H266" s="89">
        <f>G266*E$12</f>
        <v>-889687.98576569289</v>
      </c>
    </row>
    <row r="267" spans="1:8" x14ac:dyDescent="0.25">
      <c r="A267" s="399">
        <v>844</v>
      </c>
      <c r="B267" s="399" t="s">
        <v>173</v>
      </c>
      <c r="C267" s="399">
        <v>11</v>
      </c>
      <c r="D267" s="89">
        <v>-8285</v>
      </c>
      <c r="E267" s="89">
        <v>-8719</v>
      </c>
      <c r="F267" s="89">
        <f t="shared" si="3"/>
        <v>-8502</v>
      </c>
      <c r="G267" s="400">
        <f>F267/F$12</f>
        <v>4.1671859106767967E-4</v>
      </c>
      <c r="H267" s="89">
        <f>G267*E$12</f>
        <v>-8646.204009923902</v>
      </c>
    </row>
    <row r="268" spans="1:8" x14ac:dyDescent="0.25">
      <c r="A268" s="399">
        <v>845</v>
      </c>
      <c r="B268" s="399" t="s">
        <v>172</v>
      </c>
      <c r="C268" s="399">
        <v>19</v>
      </c>
      <c r="D268" s="89">
        <v>-12807</v>
      </c>
      <c r="E268" s="89">
        <v>-13484</v>
      </c>
      <c r="F268" s="89">
        <f t="shared" si="3"/>
        <v>-13145.5</v>
      </c>
      <c r="G268" s="400">
        <f>F268/F$12</f>
        <v>6.443159537614894E-4</v>
      </c>
      <c r="H268" s="89">
        <f>G268*E$12</f>
        <v>-13368.463280693326</v>
      </c>
    </row>
    <row r="269" spans="1:8" x14ac:dyDescent="0.25">
      <c r="A269" s="399">
        <v>846</v>
      </c>
      <c r="B269" s="399" t="s">
        <v>171</v>
      </c>
      <c r="C269" s="399">
        <v>14</v>
      </c>
      <c r="D269" s="89">
        <v>-21846</v>
      </c>
      <c r="E269" s="89">
        <v>-22186</v>
      </c>
      <c r="F269" s="89">
        <f t="shared" si="3"/>
        <v>-22016</v>
      </c>
      <c r="G269" s="400">
        <f>F269/F$12</f>
        <v>1.0790962715768095E-3</v>
      </c>
      <c r="H269" s="89">
        <f>G269*E$12</f>
        <v>-22389.417487942203</v>
      </c>
    </row>
    <row r="270" spans="1:8" x14ac:dyDescent="0.25">
      <c r="A270" s="399">
        <v>848</v>
      </c>
      <c r="B270" s="399" t="s">
        <v>170</v>
      </c>
      <c r="C270" s="399">
        <v>12</v>
      </c>
      <c r="D270" s="89">
        <v>-19697</v>
      </c>
      <c r="E270" s="89">
        <v>-18934</v>
      </c>
      <c r="F270" s="89">
        <f t="shared" ref="F270:F305" si="4">(D270+E270)/2</f>
        <v>-19315.5</v>
      </c>
      <c r="G270" s="400">
        <f>F270/F$12</f>
        <v>9.4673346809783182E-4</v>
      </c>
      <c r="H270" s="89">
        <f>G270*E$12</f>
        <v>-19643.113803068118</v>
      </c>
    </row>
    <row r="271" spans="1:8" x14ac:dyDescent="0.25">
      <c r="A271" s="399">
        <v>849</v>
      </c>
      <c r="B271" s="399" t="s">
        <v>169</v>
      </c>
      <c r="C271" s="399">
        <v>16</v>
      </c>
      <c r="D271" s="89">
        <v>-11581</v>
      </c>
      <c r="E271" s="89">
        <v>-11423</v>
      </c>
      <c r="F271" s="89">
        <f t="shared" si="4"/>
        <v>-11502</v>
      </c>
      <c r="G271" s="400">
        <f>F271/F$12</f>
        <v>5.6376114260885102E-4</v>
      </c>
      <c r="H271" s="89">
        <f>G271*E$12</f>
        <v>-11697.087570235793</v>
      </c>
    </row>
    <row r="272" spans="1:8" x14ac:dyDescent="0.25">
      <c r="A272" s="399">
        <v>850</v>
      </c>
      <c r="B272" s="399" t="s">
        <v>168</v>
      </c>
      <c r="C272" s="399">
        <v>13</v>
      </c>
      <c r="D272" s="89">
        <v>-8014</v>
      </c>
      <c r="E272" s="89">
        <v>-8948</v>
      </c>
      <c r="F272" s="89">
        <f t="shared" si="4"/>
        <v>-8481</v>
      </c>
      <c r="G272" s="400">
        <f>F272/F$12</f>
        <v>4.1568929320689145E-4</v>
      </c>
      <c r="H272" s="89">
        <f>G272*E$12</f>
        <v>-8624.8478250017179</v>
      </c>
    </row>
    <row r="273" spans="1:8" x14ac:dyDescent="0.25">
      <c r="A273" s="399">
        <v>851</v>
      </c>
      <c r="B273" s="399" t="s">
        <v>167</v>
      </c>
      <c r="C273" s="399">
        <v>19</v>
      </c>
      <c r="D273" s="89">
        <v>-84036</v>
      </c>
      <c r="E273" s="89">
        <v>-79563</v>
      </c>
      <c r="F273" s="89">
        <f t="shared" si="4"/>
        <v>-81799.5</v>
      </c>
      <c r="G273" s="400">
        <f>F273/F$12</f>
        <v>4.0093357315973488E-3</v>
      </c>
      <c r="H273" s="89">
        <f>G273*E$12</f>
        <v>-83186.916597244199</v>
      </c>
    </row>
    <row r="274" spans="1:8" x14ac:dyDescent="0.25">
      <c r="A274" s="399">
        <v>853</v>
      </c>
      <c r="B274" s="399" t="s">
        <v>166</v>
      </c>
      <c r="C274" s="399">
        <v>2</v>
      </c>
      <c r="D274" s="89">
        <v>-686601</v>
      </c>
      <c r="E274" s="89">
        <v>-698950</v>
      </c>
      <c r="F274" s="89">
        <f t="shared" si="4"/>
        <v>-692775.5</v>
      </c>
      <c r="G274" s="400">
        <f>F274/F$12</f>
        <v>3.3955825721736922E-2</v>
      </c>
      <c r="H274" s="89">
        <f>G274*E$12</f>
        <v>-704525.79464561702</v>
      </c>
    </row>
    <row r="275" spans="1:8" x14ac:dyDescent="0.25">
      <c r="A275" s="399">
        <v>854</v>
      </c>
      <c r="B275" s="399" t="s">
        <v>165</v>
      </c>
      <c r="C275" s="399">
        <v>19</v>
      </c>
      <c r="D275" s="89">
        <v>-18777</v>
      </c>
      <c r="E275" s="89">
        <v>-18805</v>
      </c>
      <c r="F275" s="89">
        <f t="shared" si="4"/>
        <v>-18791</v>
      </c>
      <c r="G275" s="400">
        <f>F275/F$12</f>
        <v>9.2102552867005035E-4</v>
      </c>
      <c r="H275" s="89">
        <f>G275*E$12</f>
        <v>-19109.717660606919</v>
      </c>
    </row>
    <row r="276" spans="1:8" x14ac:dyDescent="0.25">
      <c r="A276" s="399">
        <v>857</v>
      </c>
      <c r="B276" s="399" t="s">
        <v>164</v>
      </c>
      <c r="C276" s="399">
        <v>11</v>
      </c>
      <c r="D276" s="89">
        <v>-14679</v>
      </c>
      <c r="E276" s="89">
        <v>-15013</v>
      </c>
      <c r="F276" s="89">
        <f t="shared" si="4"/>
        <v>-14846</v>
      </c>
      <c r="G276" s="400">
        <f>F276/F$12</f>
        <v>7.2766457339341005E-4</v>
      </c>
      <c r="H276" s="89">
        <f>G276*E$12</f>
        <v>-15097.805778796783</v>
      </c>
    </row>
    <row r="277" spans="1:8" x14ac:dyDescent="0.25">
      <c r="A277" s="399">
        <v>858</v>
      </c>
      <c r="B277" s="399" t="s">
        <v>163</v>
      </c>
      <c r="C277" s="399">
        <v>35</v>
      </c>
      <c r="D277" s="89">
        <v>-125321</v>
      </c>
      <c r="E277" s="89">
        <v>-128368</v>
      </c>
      <c r="F277" s="89">
        <f t="shared" si="4"/>
        <v>-126844.5</v>
      </c>
      <c r="G277" s="400">
        <f>F277/F$12</f>
        <v>6.2171796429880367E-3</v>
      </c>
      <c r="H277" s="89">
        <f>G277*E$12</f>
        <v>-128995.93325532725</v>
      </c>
    </row>
    <row r="278" spans="1:8" x14ac:dyDescent="0.25">
      <c r="A278" s="399">
        <v>859</v>
      </c>
      <c r="B278" s="399" t="s">
        <v>162</v>
      </c>
      <c r="C278" s="399">
        <v>17</v>
      </c>
      <c r="D278" s="89">
        <v>-23077</v>
      </c>
      <c r="E278" s="89">
        <v>-21107</v>
      </c>
      <c r="F278" s="89">
        <f t="shared" si="4"/>
        <v>-22092</v>
      </c>
      <c r="G278" s="400">
        <f>F278/F$12</f>
        <v>1.0828213495491859E-3</v>
      </c>
      <c r="H278" s="89">
        <f>G278*E$12</f>
        <v>-22466.706538136772</v>
      </c>
    </row>
    <row r="279" spans="1:8" x14ac:dyDescent="0.25">
      <c r="A279" s="399">
        <v>886</v>
      </c>
      <c r="B279" s="399" t="s">
        <v>161</v>
      </c>
      <c r="C279" s="399">
        <v>4</v>
      </c>
      <c r="D279" s="89">
        <v>-45431</v>
      </c>
      <c r="E279" s="89">
        <v>-47387</v>
      </c>
      <c r="F279" s="89">
        <f t="shared" si="4"/>
        <v>-46409</v>
      </c>
      <c r="G279" s="400">
        <f>F279/F$12</f>
        <v>2.2746992581580737E-3</v>
      </c>
      <c r="H279" s="89">
        <f>G279*E$12</f>
        <v>-47196.151716838191</v>
      </c>
    </row>
    <row r="280" spans="1:8" x14ac:dyDescent="0.25">
      <c r="A280" s="399">
        <v>887</v>
      </c>
      <c r="B280" s="399" t="s">
        <v>160</v>
      </c>
      <c r="C280" s="399">
        <v>6</v>
      </c>
      <c r="D280" s="89">
        <v>-20316</v>
      </c>
      <c r="E280" s="89">
        <v>-21262</v>
      </c>
      <c r="F280" s="89">
        <f t="shared" si="4"/>
        <v>-20789</v>
      </c>
      <c r="G280" s="400">
        <f>F280/F$12</f>
        <v>1.0189558679964705E-3</v>
      </c>
      <c r="H280" s="89">
        <f>G280*E$12</f>
        <v>-21141.606111774639</v>
      </c>
    </row>
    <row r="281" spans="1:8" x14ac:dyDescent="0.25">
      <c r="A281" s="399">
        <v>889</v>
      </c>
      <c r="B281" s="399" t="s">
        <v>159</v>
      </c>
      <c r="C281" s="399">
        <v>17</v>
      </c>
      <c r="D281" s="89">
        <v>-11281</v>
      </c>
      <c r="E281" s="89">
        <v>-11988</v>
      </c>
      <c r="F281" s="89">
        <f t="shared" si="4"/>
        <v>-11634.5</v>
      </c>
      <c r="G281" s="400">
        <f>F281/F$12</f>
        <v>5.7025552196858606E-4</v>
      </c>
      <c r="H281" s="89">
        <f>G281*E$12</f>
        <v>-11831.834927482902</v>
      </c>
    </row>
    <row r="282" spans="1:8" x14ac:dyDescent="0.25">
      <c r="A282" s="399">
        <v>890</v>
      </c>
      <c r="B282" s="399" t="s">
        <v>158</v>
      </c>
      <c r="C282" s="399">
        <v>19</v>
      </c>
      <c r="D282" s="89">
        <v>-6678</v>
      </c>
      <c r="E282" s="89">
        <v>-6615</v>
      </c>
      <c r="F282" s="89">
        <f t="shared" si="4"/>
        <v>-6646.5</v>
      </c>
      <c r="G282" s="400">
        <f>F282/F$12</f>
        <v>3.2577277293946514E-4</v>
      </c>
      <c r="H282" s="89">
        <f>G282*E$12</f>
        <v>-6759.2325278709968</v>
      </c>
    </row>
    <row r="283" spans="1:8" x14ac:dyDescent="0.25">
      <c r="A283" s="399">
        <v>892</v>
      </c>
      <c r="B283" s="399" t="s">
        <v>157</v>
      </c>
      <c r="C283" s="399">
        <v>13</v>
      </c>
      <c r="D283" s="89">
        <v>-10166</v>
      </c>
      <c r="E283" s="89">
        <v>-11230</v>
      </c>
      <c r="F283" s="89">
        <f t="shared" si="4"/>
        <v>-10698</v>
      </c>
      <c r="G283" s="400">
        <f>F283/F$12</f>
        <v>5.2435373879581703E-4</v>
      </c>
      <c r="H283" s="89">
        <f>G283*E$12</f>
        <v>-10879.450776072206</v>
      </c>
    </row>
    <row r="284" spans="1:8" x14ac:dyDescent="0.25">
      <c r="A284" s="399">
        <v>893</v>
      </c>
      <c r="B284" s="399" t="s">
        <v>156</v>
      </c>
      <c r="C284" s="399">
        <v>15</v>
      </c>
      <c r="D284" s="89">
        <v>-28390</v>
      </c>
      <c r="E284" s="89">
        <v>-30290</v>
      </c>
      <c r="F284" s="89">
        <f t="shared" si="4"/>
        <v>-29340</v>
      </c>
      <c r="G284" s="400">
        <f>F284/F$12</f>
        <v>1.4380761540726558E-3</v>
      </c>
      <c r="H284" s="89">
        <f>G284*E$12</f>
        <v>-29837.641219850302</v>
      </c>
    </row>
    <row r="285" spans="1:8" x14ac:dyDescent="0.25">
      <c r="A285" s="399">
        <v>895</v>
      </c>
      <c r="B285" s="399" t="s">
        <v>155</v>
      </c>
      <c r="C285" s="399">
        <v>2</v>
      </c>
      <c r="D285" s="89">
        <v>-60285</v>
      </c>
      <c r="E285" s="89">
        <v>-62570</v>
      </c>
      <c r="F285" s="89">
        <f t="shared" si="4"/>
        <v>-61427.5</v>
      </c>
      <c r="G285" s="400">
        <f>F285/F$12</f>
        <v>3.0108187782651014E-3</v>
      </c>
      <c r="H285" s="89">
        <f>G285*E$12</f>
        <v>-62469.383300352914</v>
      </c>
    </row>
    <row r="286" spans="1:8" x14ac:dyDescent="0.25">
      <c r="A286" s="399">
        <v>905</v>
      </c>
      <c r="B286" s="399" t="s">
        <v>154</v>
      </c>
      <c r="C286" s="399">
        <v>15</v>
      </c>
      <c r="D286" s="89">
        <v>-249916</v>
      </c>
      <c r="E286" s="89">
        <v>-241611</v>
      </c>
      <c r="F286" s="89">
        <f t="shared" si="4"/>
        <v>-245763.5</v>
      </c>
      <c r="G286" s="400">
        <f>F286/F$12</f>
        <v>1.2045897371896222E-2</v>
      </c>
      <c r="H286" s="89">
        <f>G286*E$12</f>
        <v>-249931.94062490386</v>
      </c>
    </row>
    <row r="287" spans="1:8" x14ac:dyDescent="0.25">
      <c r="A287" s="399">
        <v>908</v>
      </c>
      <c r="B287" s="399" t="s">
        <v>153</v>
      </c>
      <c r="C287" s="399">
        <v>6</v>
      </c>
      <c r="D287" s="89">
        <v>-76505</v>
      </c>
      <c r="E287" s="89">
        <v>-82486</v>
      </c>
      <c r="F287" s="89">
        <f t="shared" si="4"/>
        <v>-79495.5</v>
      </c>
      <c r="G287" s="400">
        <f>F287/F$12</f>
        <v>3.8964070520137294E-3</v>
      </c>
      <c r="H287" s="89">
        <f>G287*E$12</f>
        <v>-80843.838022924669</v>
      </c>
    </row>
    <row r="288" spans="1:8" x14ac:dyDescent="0.25">
      <c r="A288" s="399">
        <v>915</v>
      </c>
      <c r="B288" s="399" t="s">
        <v>152</v>
      </c>
      <c r="C288" s="399">
        <v>11</v>
      </c>
      <c r="D288" s="89">
        <v>-91685</v>
      </c>
      <c r="E288" s="89">
        <v>-96570</v>
      </c>
      <c r="F288" s="89">
        <f t="shared" si="4"/>
        <v>-94127.5</v>
      </c>
      <c r="G288" s="400">
        <f>F288/F$12</f>
        <v>4.613582590063869E-3</v>
      </c>
      <c r="H288" s="89">
        <f>G288*E$12</f>
        <v>-95724.014107752533</v>
      </c>
    </row>
    <row r="289" spans="1:8" x14ac:dyDescent="0.25">
      <c r="A289" s="399">
        <v>918</v>
      </c>
      <c r="B289" s="399" t="s">
        <v>151</v>
      </c>
      <c r="C289" s="399">
        <v>2</v>
      </c>
      <c r="D289" s="89">
        <v>-9286</v>
      </c>
      <c r="E289" s="89">
        <v>-9998</v>
      </c>
      <c r="F289" s="89">
        <f t="shared" si="4"/>
        <v>-9642</v>
      </c>
      <c r="G289" s="400">
        <f>F289/F$12</f>
        <v>4.7259476065332479E-4</v>
      </c>
      <c r="H289" s="89">
        <f>G289*E$12</f>
        <v>-9805.5397628424216</v>
      </c>
    </row>
    <row r="290" spans="1:8" x14ac:dyDescent="0.25">
      <c r="A290" s="399">
        <v>921</v>
      </c>
      <c r="B290" s="399" t="s">
        <v>150</v>
      </c>
      <c r="C290" s="399">
        <v>11</v>
      </c>
      <c r="D290" s="89">
        <v>-11740</v>
      </c>
      <c r="E290" s="89">
        <v>-12021</v>
      </c>
      <c r="F290" s="89">
        <f t="shared" si="4"/>
        <v>-11880.5</v>
      </c>
      <c r="G290" s="400">
        <f>F290/F$12</f>
        <v>5.8231301119496216E-4</v>
      </c>
      <c r="H290" s="89">
        <f>G290*E$12</f>
        <v>-12082.007379428478</v>
      </c>
    </row>
    <row r="291" spans="1:8" x14ac:dyDescent="0.25">
      <c r="A291" s="399">
        <v>922</v>
      </c>
      <c r="B291" s="399" t="s">
        <v>149</v>
      </c>
      <c r="C291" s="399">
        <v>6</v>
      </c>
      <c r="D291" s="89">
        <v>-14177</v>
      </c>
      <c r="E291" s="89">
        <v>-14725</v>
      </c>
      <c r="F291" s="89">
        <f t="shared" si="4"/>
        <v>-14451</v>
      </c>
      <c r="G291" s="400">
        <f>F291/F$12</f>
        <v>7.0830397077382241E-4</v>
      </c>
      <c r="H291" s="89">
        <f>G291*E$12</f>
        <v>-14696.106110022383</v>
      </c>
    </row>
    <row r="292" spans="1:8" x14ac:dyDescent="0.25">
      <c r="A292" s="399">
        <v>924</v>
      </c>
      <c r="B292" s="399" t="s">
        <v>148</v>
      </c>
      <c r="C292" s="399">
        <v>16</v>
      </c>
      <c r="D292" s="89">
        <v>-13764</v>
      </c>
      <c r="E292" s="89">
        <v>-14300</v>
      </c>
      <c r="F292" s="89">
        <f t="shared" si="4"/>
        <v>-14032</v>
      </c>
      <c r="G292" s="400">
        <f>F292/F$12</f>
        <v>6.877670277419055E-4</v>
      </c>
      <c r="H292" s="89">
        <f>G292*E$12</f>
        <v>-14269.999372765489</v>
      </c>
    </row>
    <row r="293" spans="1:8" x14ac:dyDescent="0.25">
      <c r="A293" s="399">
        <v>925</v>
      </c>
      <c r="B293" s="399" t="s">
        <v>147</v>
      </c>
      <c r="C293" s="399">
        <v>11</v>
      </c>
      <c r="D293" s="89">
        <v>-13857</v>
      </c>
      <c r="E293" s="89">
        <v>-13994</v>
      </c>
      <c r="F293" s="89">
        <f t="shared" si="4"/>
        <v>-13925.5</v>
      </c>
      <c r="G293" s="400">
        <f>F293/F$12</f>
        <v>6.825470171621939E-4</v>
      </c>
      <c r="H293" s="89">
        <f>G293*E$12</f>
        <v>-14161.693006374417</v>
      </c>
    </row>
    <row r="294" spans="1:8" x14ac:dyDescent="0.25">
      <c r="A294" s="399">
        <v>927</v>
      </c>
      <c r="B294" s="399" t="s">
        <v>146</v>
      </c>
      <c r="C294" s="399">
        <v>33</v>
      </c>
      <c r="D294" s="89">
        <v>-94626</v>
      </c>
      <c r="E294" s="89">
        <v>-94664</v>
      </c>
      <c r="F294" s="89">
        <f t="shared" si="4"/>
        <v>-94645</v>
      </c>
      <c r="G294" s="400">
        <f>F294/F$12</f>
        <v>4.6389474302047208E-3</v>
      </c>
      <c r="H294" s="89">
        <f>G294*E$12</f>
        <v>-96250.291521906329</v>
      </c>
    </row>
    <row r="295" spans="1:8" x14ac:dyDescent="0.25">
      <c r="A295" s="399">
        <v>931</v>
      </c>
      <c r="B295" s="399" t="s">
        <v>145</v>
      </c>
      <c r="C295" s="399">
        <v>13</v>
      </c>
      <c r="D295" s="89">
        <v>-28913</v>
      </c>
      <c r="E295" s="89">
        <v>-30318</v>
      </c>
      <c r="F295" s="89">
        <f t="shared" si="4"/>
        <v>-29615.5</v>
      </c>
      <c r="G295" s="400">
        <f>F295/F$12</f>
        <v>1.4515795617225202E-3</v>
      </c>
      <c r="H295" s="89">
        <f>G295*E$12</f>
        <v>-30117.814026805612</v>
      </c>
    </row>
    <row r="296" spans="1:8" x14ac:dyDescent="0.25">
      <c r="A296" s="399">
        <v>934</v>
      </c>
      <c r="B296" s="399" t="s">
        <v>144</v>
      </c>
      <c r="C296" s="399">
        <v>14</v>
      </c>
      <c r="D296" s="89">
        <v>-12044</v>
      </c>
      <c r="E296" s="89">
        <v>-11900</v>
      </c>
      <c r="F296" s="89">
        <f t="shared" si="4"/>
        <v>-11972</v>
      </c>
      <c r="G296" s="400">
        <f>F296/F$12</f>
        <v>5.8679780901696791E-4</v>
      </c>
      <c r="H296" s="89">
        <f>G296*E$12</f>
        <v>-12175.059328017991</v>
      </c>
    </row>
    <row r="297" spans="1:8" x14ac:dyDescent="0.25">
      <c r="A297" s="399">
        <v>935</v>
      </c>
      <c r="B297" s="399" t="s">
        <v>143</v>
      </c>
      <c r="C297" s="399">
        <v>8</v>
      </c>
      <c r="D297" s="89">
        <v>-13693</v>
      </c>
      <c r="E297" s="89">
        <v>-13790</v>
      </c>
      <c r="F297" s="89">
        <f t="shared" si="4"/>
        <v>-13741.5</v>
      </c>
      <c r="G297" s="400">
        <f>F297/F$12</f>
        <v>6.7352840733433538E-4</v>
      </c>
      <c r="H297" s="89">
        <f>G297*E$12</f>
        <v>-13974.572148008619</v>
      </c>
    </row>
    <row r="298" spans="1:8" x14ac:dyDescent="0.25">
      <c r="A298" s="399">
        <v>936</v>
      </c>
      <c r="B298" s="399" t="s">
        <v>142</v>
      </c>
      <c r="C298" s="399">
        <v>6</v>
      </c>
      <c r="D298" s="89">
        <v>-30290</v>
      </c>
      <c r="E298" s="89">
        <v>-31741</v>
      </c>
      <c r="F298" s="89">
        <f t="shared" si="4"/>
        <v>-31015.5</v>
      </c>
      <c r="G298" s="400">
        <f>F298/F$12</f>
        <v>1.5201994191084002E-3</v>
      </c>
      <c r="H298" s="89">
        <f>G298*E$12</f>
        <v>-31541.559688284495</v>
      </c>
    </row>
    <row r="299" spans="1:8" x14ac:dyDescent="0.25">
      <c r="A299" s="399">
        <v>946</v>
      </c>
      <c r="B299" s="399" t="s">
        <v>141</v>
      </c>
      <c r="C299" s="399">
        <v>15</v>
      </c>
      <c r="D299" s="89">
        <v>-24481</v>
      </c>
      <c r="E299" s="89">
        <v>-26578</v>
      </c>
      <c r="F299" s="89">
        <f t="shared" si="4"/>
        <v>-25529.5</v>
      </c>
      <c r="G299" s="400">
        <f>F299/F$12</f>
        <v>1.2513076065234449E-3</v>
      </c>
      <c r="H299" s="89">
        <f>G299*E$12</f>
        <v>-25962.510617660817</v>
      </c>
    </row>
    <row r="300" spans="1:8" x14ac:dyDescent="0.25">
      <c r="A300" s="399">
        <v>976</v>
      </c>
      <c r="B300" s="399" t="s">
        <v>140</v>
      </c>
      <c r="C300" s="399">
        <v>19</v>
      </c>
      <c r="D300" s="89">
        <v>-22204</v>
      </c>
      <c r="E300" s="89">
        <v>-22485</v>
      </c>
      <c r="F300" s="89">
        <f t="shared" si="4"/>
        <v>-22344.5</v>
      </c>
      <c r="G300" s="400">
        <f>F300/F$12</f>
        <v>1.0951974309705678E-3</v>
      </c>
      <c r="H300" s="89">
        <f>G300*E$12</f>
        <v>-22723.489237796355</v>
      </c>
    </row>
    <row r="301" spans="1:8" x14ac:dyDescent="0.25">
      <c r="A301" s="399">
        <v>977</v>
      </c>
      <c r="B301" s="399" t="s">
        <v>139</v>
      </c>
      <c r="C301" s="399">
        <v>17</v>
      </c>
      <c r="D301" s="89">
        <v>-56940</v>
      </c>
      <c r="E301" s="89">
        <v>-57390</v>
      </c>
      <c r="F301" s="89">
        <f t="shared" si="4"/>
        <v>-57165</v>
      </c>
      <c r="G301" s="400">
        <f>F301/F$12</f>
        <v>2.8018958196170205E-3</v>
      </c>
      <c r="H301" s="89">
        <f>G301*E$12</f>
        <v>-58134.586241743105</v>
      </c>
    </row>
    <row r="302" spans="1:8" x14ac:dyDescent="0.25">
      <c r="A302" s="399">
        <v>980</v>
      </c>
      <c r="B302" s="399" t="s">
        <v>138</v>
      </c>
      <c r="C302" s="399">
        <v>6</v>
      </c>
      <c r="D302" s="89">
        <v>-99843</v>
      </c>
      <c r="E302" s="89">
        <v>-103400</v>
      </c>
      <c r="F302" s="89">
        <f t="shared" si="4"/>
        <v>-101621.5</v>
      </c>
      <c r="G302" s="400">
        <f>F302/F$12</f>
        <v>4.9808948838137154E-3</v>
      </c>
      <c r="H302" s="89">
        <f>G302*E$12</f>
        <v>-103345.12124141165</v>
      </c>
    </row>
    <row r="303" spans="1:8" x14ac:dyDescent="0.25">
      <c r="A303" s="399">
        <v>981</v>
      </c>
      <c r="B303" s="399" t="s">
        <v>137</v>
      </c>
      <c r="C303" s="399">
        <v>5</v>
      </c>
      <c r="D303" s="89">
        <v>-8299</v>
      </c>
      <c r="E303" s="89">
        <v>-8524</v>
      </c>
      <c r="F303" s="89">
        <f t="shared" si="4"/>
        <v>-8411.5</v>
      </c>
      <c r="G303" s="400">
        <f>F303/F$12</f>
        <v>4.1228280742952096E-4</v>
      </c>
      <c r="H303" s="89">
        <f>G303*E$12</f>
        <v>-8554.1690225211587</v>
      </c>
    </row>
    <row r="304" spans="1:8" x14ac:dyDescent="0.25">
      <c r="A304" s="399">
        <v>989</v>
      </c>
      <c r="B304" s="399" t="s">
        <v>136</v>
      </c>
      <c r="C304" s="399">
        <v>14</v>
      </c>
      <c r="D304" s="89">
        <v>-27271</v>
      </c>
      <c r="E304" s="89">
        <v>-27565</v>
      </c>
      <c r="F304" s="89">
        <f t="shared" si="4"/>
        <v>-27418</v>
      </c>
      <c r="G304" s="400">
        <f>F304/F$12</f>
        <v>1.3438708927186122E-3</v>
      </c>
      <c r="H304" s="89">
        <f>G304*E$12</f>
        <v>-27883.041818877151</v>
      </c>
    </row>
    <row r="305" spans="1:8" x14ac:dyDescent="0.25">
      <c r="A305" s="399">
        <v>992</v>
      </c>
      <c r="B305" s="399" t="s">
        <v>135</v>
      </c>
      <c r="C305" s="399">
        <v>13</v>
      </c>
      <c r="D305" s="89">
        <v>-71117</v>
      </c>
      <c r="E305" s="89">
        <v>-70341</v>
      </c>
      <c r="F305" s="89">
        <f t="shared" si="4"/>
        <v>-70729</v>
      </c>
      <c r="G305" s="400">
        <f>F305/F$12</f>
        <v>3.4667242093185031E-3</v>
      </c>
      <c r="H305" s="89">
        <f>G305*E$12</f>
        <v>-71928.647779099934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E305"/>
  <sheetViews>
    <sheetView zoomScale="70" zoomScaleNormal="70" workbookViewId="0">
      <selection activeCell="L5" sqref="L5"/>
    </sheetView>
  </sheetViews>
  <sheetFormatPr defaultColWidth="8.375" defaultRowHeight="15.75" x14ac:dyDescent="0.25"/>
  <cols>
    <col min="1" max="1" width="18.875" style="7" customWidth="1"/>
    <col min="2" max="2" width="20.125" style="7" customWidth="1"/>
    <col min="3" max="3" width="20" style="7" customWidth="1"/>
    <col min="4" max="5" width="25.5" style="7" customWidth="1"/>
    <col min="6" max="6" width="34.375" style="7" customWidth="1"/>
    <col min="7" max="7" width="47.625" style="7" customWidth="1"/>
    <col min="8" max="8" width="40.875" style="7" customWidth="1"/>
    <col min="9" max="9" width="8.375" style="7"/>
    <col min="10" max="10" width="20" style="9" customWidth="1"/>
    <col min="11" max="11" width="23.875" style="7" customWidth="1"/>
    <col min="12" max="12" width="35.375" style="7" customWidth="1"/>
    <col min="13" max="15" width="12.125" style="7" customWidth="1"/>
    <col min="16" max="24" width="8.375" style="9"/>
    <col min="25" max="25" width="10.875" style="7" customWidth="1"/>
    <col min="26" max="26" width="12.125" style="7" bestFit="1" customWidth="1"/>
    <col min="27" max="27" width="18.875" style="7" customWidth="1"/>
    <col min="28" max="31" width="14.875" style="7" customWidth="1"/>
    <col min="32" max="16384" width="8.375" style="7"/>
  </cols>
  <sheetData>
    <row r="1" spans="1:31" ht="23.25" x14ac:dyDescent="0.35">
      <c r="A1" s="440" t="s">
        <v>648</v>
      </c>
      <c r="B1" s="8"/>
      <c r="C1" s="8"/>
    </row>
    <row r="2" spans="1:31" x14ac:dyDescent="0.25">
      <c r="A2" s="8" t="str">
        <f>INFO!A2</f>
        <v>VM/KAO 13.4.2021</v>
      </c>
      <c r="B2" s="8"/>
      <c r="C2" s="8"/>
    </row>
    <row r="3" spans="1:31" x14ac:dyDescent="0.25">
      <c r="A3" s="10" t="s">
        <v>649</v>
      </c>
      <c r="B3" s="8"/>
      <c r="C3" s="8"/>
    </row>
    <row r="4" spans="1:31" x14ac:dyDescent="0.25">
      <c r="A4" s="7" t="s">
        <v>676</v>
      </c>
      <c r="B4" s="8"/>
      <c r="C4" s="8"/>
    </row>
    <row r="5" spans="1:31" x14ac:dyDescent="0.25">
      <c r="A5" s="7" t="s">
        <v>680</v>
      </c>
      <c r="L5" s="13"/>
      <c r="M5" s="14"/>
      <c r="N5" s="13"/>
    </row>
    <row r="6" spans="1:31" x14ac:dyDescent="0.25">
      <c r="A6" s="433" t="s">
        <v>668</v>
      </c>
      <c r="B6" s="15"/>
      <c r="C6" s="15"/>
      <c r="D6" s="16"/>
      <c r="E6" s="16"/>
      <c r="F6" s="16"/>
      <c r="G6" s="17"/>
      <c r="H6" s="17"/>
      <c r="M6" s="556"/>
      <c r="N6" s="556"/>
    </row>
    <row r="7" spans="1:31" x14ac:dyDescent="0.25">
      <c r="A7" s="433" t="s">
        <v>630</v>
      </c>
      <c r="B7" s="15"/>
      <c r="C7" s="15"/>
      <c r="D7" s="16"/>
      <c r="E7" s="16"/>
      <c r="F7" s="16"/>
      <c r="G7" s="17"/>
      <c r="H7" s="17"/>
      <c r="M7" s="388"/>
      <c r="N7" s="388"/>
    </row>
    <row r="8" spans="1:31" x14ac:dyDescent="0.25">
      <c r="A8" s="19" t="s">
        <v>650</v>
      </c>
      <c r="B8" s="15"/>
      <c r="C8" s="15"/>
      <c r="D8" s="16"/>
      <c r="E8" s="16"/>
      <c r="F8" s="16"/>
      <c r="G8" s="17"/>
      <c r="H8" s="17"/>
      <c r="L8" s="388"/>
      <c r="M8" s="388"/>
      <c r="N8" s="388"/>
    </row>
    <row r="9" spans="1:31" x14ac:dyDescent="0.25">
      <c r="B9" s="15"/>
      <c r="C9" s="15"/>
      <c r="D9" s="16"/>
      <c r="E9" s="16"/>
      <c r="F9" s="16"/>
      <c r="G9" s="17"/>
      <c r="H9" s="17"/>
      <c r="L9" s="388"/>
      <c r="M9" s="388"/>
      <c r="N9" s="388"/>
    </row>
    <row r="10" spans="1:31" x14ac:dyDescent="0.25">
      <c r="A10" s="20" t="s">
        <v>651</v>
      </c>
      <c r="B10" s="21"/>
      <c r="C10" s="22"/>
      <c r="D10" s="23"/>
      <c r="E10" s="23"/>
      <c r="F10" s="23"/>
      <c r="G10" s="23"/>
      <c r="H10" s="23"/>
      <c r="J10" s="20" t="s">
        <v>628</v>
      </c>
      <c r="K10" s="24"/>
      <c r="L10" s="24"/>
      <c r="M10" s="25"/>
      <c r="N10" s="13"/>
      <c r="Y10" s="26"/>
      <c r="AC10" s="27"/>
      <c r="AD10" s="27"/>
      <c r="AE10" s="27"/>
    </row>
    <row r="11" spans="1:31" ht="31.5" x14ac:dyDescent="0.25">
      <c r="A11" s="389" t="s">
        <v>475</v>
      </c>
      <c r="B11" s="390" t="s">
        <v>449</v>
      </c>
      <c r="C11" s="390" t="s">
        <v>469</v>
      </c>
      <c r="D11" s="391" t="s">
        <v>677</v>
      </c>
      <c r="E11" s="391" t="s">
        <v>678</v>
      </c>
      <c r="F11" s="389" t="s">
        <v>626</v>
      </c>
      <c r="G11" s="391" t="s">
        <v>627</v>
      </c>
      <c r="H11" s="392" t="s">
        <v>679</v>
      </c>
      <c r="J11" s="391" t="s">
        <v>469</v>
      </c>
      <c r="K11" s="391" t="s">
        <v>134</v>
      </c>
      <c r="L11" s="391" t="s">
        <v>629</v>
      </c>
      <c r="M11" s="25"/>
      <c r="N11" s="13"/>
      <c r="Y11" s="26"/>
      <c r="AC11" s="27"/>
      <c r="AD11" s="27"/>
      <c r="AE11" s="27"/>
    </row>
    <row r="12" spans="1:31" x14ac:dyDescent="0.25">
      <c r="C12" s="7" t="s">
        <v>625</v>
      </c>
      <c r="D12" s="89">
        <f>SUM(D13:D305)</f>
        <v>-459772</v>
      </c>
      <c r="E12" s="89">
        <f>SUM(E13:E305)</f>
        <v>-485277</v>
      </c>
      <c r="F12" s="89">
        <f>SUM(F13:F305)</f>
        <v>-472524.5</v>
      </c>
      <c r="G12" s="7">
        <f>F12/F$12</f>
        <v>1</v>
      </c>
      <c r="H12" s="89">
        <f>(G12*E$12)*(-1)</f>
        <v>485277</v>
      </c>
      <c r="J12" s="394"/>
      <c r="K12" s="41" t="s">
        <v>109</v>
      </c>
      <c r="L12" s="393">
        <f>SUM(L13:L34)</f>
        <v>485277000.00000006</v>
      </c>
      <c r="M12" s="25"/>
      <c r="N12" s="42"/>
      <c r="Y12" s="26"/>
      <c r="AC12" s="27"/>
      <c r="AD12" s="27"/>
      <c r="AE12" s="27"/>
    </row>
    <row r="13" spans="1:31" x14ac:dyDescent="0.25">
      <c r="A13" s="399">
        <v>5</v>
      </c>
      <c r="B13" s="399" t="s">
        <v>426</v>
      </c>
      <c r="C13" s="399">
        <v>14</v>
      </c>
      <c r="D13" s="89">
        <v>-974</v>
      </c>
      <c r="E13" s="89">
        <v>-989</v>
      </c>
      <c r="F13" s="89">
        <f>(D13+E13)/2</f>
        <v>-981.5</v>
      </c>
      <c r="G13" s="400">
        <f>F13/F$12</f>
        <v>2.0771409736426365E-3</v>
      </c>
      <c r="H13" s="89">
        <f t="shared" ref="H13:H76" si="0">(G13*E$12)*(-1)</f>
        <v>1007.9887402663777</v>
      </c>
      <c r="J13" s="395">
        <v>31</v>
      </c>
      <c r="K13" s="34" t="s">
        <v>131</v>
      </c>
      <c r="L13" s="36">
        <f>SUMIF($C$13:$C$305,Taulukko31[[#This Row],[Hyvinvointialuekoodi]],$H$13:$H$305)*(1000)</f>
        <v>51141949.350774407</v>
      </c>
      <c r="M13" s="25"/>
      <c r="N13" s="42"/>
      <c r="O13" s="36"/>
      <c r="Y13" s="26"/>
      <c r="AC13" s="27"/>
      <c r="AD13" s="27"/>
      <c r="AE13" s="27"/>
    </row>
    <row r="14" spans="1:31" x14ac:dyDescent="0.25">
      <c r="A14" s="399">
        <v>9</v>
      </c>
      <c r="B14" s="399" t="s">
        <v>425</v>
      </c>
      <c r="C14" s="399">
        <v>17</v>
      </c>
      <c r="D14" s="89">
        <v>-322</v>
      </c>
      <c r="E14" s="89">
        <v>-345</v>
      </c>
      <c r="F14" s="89">
        <f t="shared" ref="F14:F77" si="1">(D14+E14)/2</f>
        <v>-333.5</v>
      </c>
      <c r="G14" s="400">
        <f t="shared" ref="G14:G77" si="2">F14/F$12</f>
        <v>7.0578350963812454E-4</v>
      </c>
      <c r="H14" s="89">
        <f t="shared" si="0"/>
        <v>342.50050420666014</v>
      </c>
      <c r="J14" s="395">
        <v>32</v>
      </c>
      <c r="K14" s="34" t="s">
        <v>130</v>
      </c>
      <c r="L14" s="36">
        <f>SUMIF($C$13:$C$305,Taulukko31[[#This Row],[Hyvinvointialuekoodi]],$H$13:$H$305)*(1000)</f>
        <v>13752396.557215553</v>
      </c>
      <c r="N14" s="36"/>
      <c r="O14" s="36"/>
    </row>
    <row r="15" spans="1:31" x14ac:dyDescent="0.25">
      <c r="A15" s="399">
        <v>10</v>
      </c>
      <c r="B15" s="399" t="s">
        <v>424</v>
      </c>
      <c r="C15" s="399">
        <v>14</v>
      </c>
      <c r="D15" s="89">
        <v>-1166</v>
      </c>
      <c r="E15" s="89">
        <v>-1184</v>
      </c>
      <c r="F15" s="89">
        <f t="shared" si="1"/>
        <v>-1175</v>
      </c>
      <c r="G15" s="400">
        <f t="shared" si="2"/>
        <v>2.4866435496995395E-3</v>
      </c>
      <c r="H15" s="89">
        <f t="shared" si="0"/>
        <v>1206.7109218675434</v>
      </c>
      <c r="J15" s="395">
        <v>33</v>
      </c>
      <c r="K15" s="34" t="s">
        <v>129</v>
      </c>
      <c r="L15" s="36">
        <f>SUMIF($C$13:$C$305,Taulukko31[[#This Row],[Hyvinvointialuekoodi]],$H$13:$H$305)*(1000)</f>
        <v>34904755.28253033</v>
      </c>
      <c r="N15" s="36"/>
      <c r="O15" s="36"/>
    </row>
    <row r="16" spans="1:31" x14ac:dyDescent="0.25">
      <c r="A16" s="399">
        <v>16</v>
      </c>
      <c r="B16" s="399" t="s">
        <v>423</v>
      </c>
      <c r="C16" s="399">
        <v>7</v>
      </c>
      <c r="D16" s="89">
        <v>-832</v>
      </c>
      <c r="E16" s="89">
        <v>-865</v>
      </c>
      <c r="F16" s="89">
        <f t="shared" si="1"/>
        <v>-848.5</v>
      </c>
      <c r="G16" s="400">
        <f t="shared" si="2"/>
        <v>1.7956740867404758E-3</v>
      </c>
      <c r="H16" s="89">
        <f t="shared" si="0"/>
        <v>871.39933379115791</v>
      </c>
      <c r="J16" s="395">
        <v>34</v>
      </c>
      <c r="K16" s="34" t="s">
        <v>128</v>
      </c>
      <c r="L16" s="36">
        <f>SUMIF($C$13:$C$305,Taulukko31[[#This Row],[Hyvinvointialuekoodi]],$H$13:$H$305)*(1000)</f>
        <v>11438079.057276396</v>
      </c>
      <c r="N16" s="36"/>
      <c r="O16" s="36"/>
    </row>
    <row r="17" spans="1:15" x14ac:dyDescent="0.25">
      <c r="A17" s="399">
        <v>18</v>
      </c>
      <c r="B17" s="399" t="s">
        <v>422</v>
      </c>
      <c r="C17" s="399">
        <v>34</v>
      </c>
      <c r="D17" s="89">
        <v>-405</v>
      </c>
      <c r="E17" s="89">
        <v>-427</v>
      </c>
      <c r="F17" s="89">
        <f t="shared" si="1"/>
        <v>-416</v>
      </c>
      <c r="G17" s="400">
        <f t="shared" si="2"/>
        <v>8.8037763121277313E-4</v>
      </c>
      <c r="H17" s="89">
        <f t="shared" si="0"/>
        <v>427.22701574204092</v>
      </c>
      <c r="J17" s="395">
        <v>35</v>
      </c>
      <c r="K17" s="34" t="s">
        <v>127</v>
      </c>
      <c r="L17" s="36">
        <f>SUMIF($C$13:$C$305,Taulukko31[[#This Row],[Hyvinvointialuekoodi]],$H$13:$H$305)*(1000)</f>
        <v>15866451.393525623</v>
      </c>
      <c r="N17" s="36"/>
      <c r="O17" s="36"/>
    </row>
    <row r="18" spans="1:15" x14ac:dyDescent="0.25">
      <c r="A18" s="399">
        <v>19</v>
      </c>
      <c r="B18" s="399" t="s">
        <v>421</v>
      </c>
      <c r="C18" s="399">
        <v>2</v>
      </c>
      <c r="D18" s="89">
        <v>-314</v>
      </c>
      <c r="E18" s="89">
        <v>-329</v>
      </c>
      <c r="F18" s="89">
        <f t="shared" si="1"/>
        <v>-321.5</v>
      </c>
      <c r="G18" s="400">
        <f t="shared" si="2"/>
        <v>6.8038800104544843E-4</v>
      </c>
      <c r="H18" s="89">
        <f t="shared" si="0"/>
        <v>330.17664798333209</v>
      </c>
      <c r="J18" s="396">
        <v>2</v>
      </c>
      <c r="K18" s="37" t="s">
        <v>126</v>
      </c>
      <c r="L18" s="36">
        <f>SUMIF($C$13:$C$305,Taulukko31[[#This Row],[Hyvinvointialuekoodi]],$H$13:$H$305)*(1000)</f>
        <v>38345165.144876093</v>
      </c>
      <c r="N18" s="36"/>
      <c r="O18" s="36"/>
    </row>
    <row r="19" spans="1:15" x14ac:dyDescent="0.25">
      <c r="A19" s="399">
        <v>20</v>
      </c>
      <c r="B19" s="399" t="s">
        <v>420</v>
      </c>
      <c r="C19" s="399">
        <v>6</v>
      </c>
      <c r="D19" s="89">
        <v>-1277</v>
      </c>
      <c r="E19" s="89">
        <v>-1308</v>
      </c>
      <c r="F19" s="89">
        <f t="shared" si="1"/>
        <v>-1292.5</v>
      </c>
      <c r="G19" s="400">
        <f t="shared" si="2"/>
        <v>2.7353079046694932E-3</v>
      </c>
      <c r="H19" s="89">
        <f t="shared" si="0"/>
        <v>1327.3820140542975</v>
      </c>
      <c r="J19" s="396">
        <v>4</v>
      </c>
      <c r="K19" s="37" t="s">
        <v>125</v>
      </c>
      <c r="L19" s="36">
        <f>SUMIF($C$13:$C$305,Taulukko31[[#This Row],[Hyvinvointialuekoodi]],$H$13:$H$305)*(1000)</f>
        <v>22433526.278531589</v>
      </c>
      <c r="N19" s="36"/>
      <c r="O19" s="36"/>
    </row>
    <row r="20" spans="1:15" x14ac:dyDescent="0.25">
      <c r="A20" s="399">
        <v>46</v>
      </c>
      <c r="B20" s="399" t="s">
        <v>419</v>
      </c>
      <c r="C20" s="399">
        <v>10</v>
      </c>
      <c r="D20" s="89">
        <v>-130</v>
      </c>
      <c r="E20" s="89">
        <v>-146</v>
      </c>
      <c r="F20" s="89">
        <f t="shared" si="1"/>
        <v>-138</v>
      </c>
      <c r="G20" s="400">
        <f t="shared" si="2"/>
        <v>2.9204834881577568E-4</v>
      </c>
      <c r="H20" s="89">
        <f t="shared" si="0"/>
        <v>141.72434656827318</v>
      </c>
      <c r="J20" s="396">
        <v>5</v>
      </c>
      <c r="K20" s="37" t="s">
        <v>124</v>
      </c>
      <c r="L20" s="36">
        <f>SUMIF($C$13:$C$305,Taulukko31[[#This Row],[Hyvinvointialuekoodi]],$H$13:$H$305)*(1000)</f>
        <v>13369843.520283075</v>
      </c>
      <c r="N20" s="36"/>
      <c r="O20" s="36"/>
    </row>
    <row r="21" spans="1:15" x14ac:dyDescent="0.25">
      <c r="A21" s="399">
        <v>47</v>
      </c>
      <c r="B21" s="399" t="s">
        <v>418</v>
      </c>
      <c r="C21" s="399">
        <v>19</v>
      </c>
      <c r="D21" s="89">
        <v>-334</v>
      </c>
      <c r="E21" s="89">
        <v>-339</v>
      </c>
      <c r="F21" s="89">
        <f t="shared" si="1"/>
        <v>-336.5</v>
      </c>
      <c r="G21" s="400">
        <f t="shared" si="2"/>
        <v>7.1213238678629362E-4</v>
      </c>
      <c r="H21" s="89">
        <f t="shared" si="0"/>
        <v>345.58146826249219</v>
      </c>
      <c r="J21" s="396">
        <v>6</v>
      </c>
      <c r="K21" s="37" t="s">
        <v>123</v>
      </c>
      <c r="L21" s="36">
        <f>SUMIF($C$13:$C$305,Taulukko31[[#This Row],[Hyvinvointialuekoodi]],$H$13:$H$305)*(1000)</f>
        <v>43412324.028701164</v>
      </c>
      <c r="N21" s="36"/>
      <c r="O21" s="36"/>
    </row>
    <row r="22" spans="1:15" x14ac:dyDescent="0.25">
      <c r="A22" s="399">
        <v>49</v>
      </c>
      <c r="B22" s="399" t="s">
        <v>417</v>
      </c>
      <c r="C22" s="399">
        <v>33</v>
      </c>
      <c r="D22" s="89">
        <v>-20950</v>
      </c>
      <c r="E22" s="89">
        <v>-21510</v>
      </c>
      <c r="F22" s="89">
        <f t="shared" si="1"/>
        <v>-21230</v>
      </c>
      <c r="G22" s="400">
        <f t="shared" si="2"/>
        <v>4.4928887285209551E-2</v>
      </c>
      <c r="H22" s="89">
        <f t="shared" si="0"/>
        <v>21802.955635104634</v>
      </c>
      <c r="J22" s="396">
        <v>7</v>
      </c>
      <c r="K22" s="37" t="s">
        <v>122</v>
      </c>
      <c r="L22" s="36">
        <f>SUMIF($C$13:$C$305,Taulukko31[[#This Row],[Hyvinvointialuekoodi]],$H$13:$H$305)*(1000)</f>
        <v>21264300.419343337</v>
      </c>
      <c r="N22" s="36"/>
      <c r="O22" s="36"/>
    </row>
    <row r="23" spans="1:15" x14ac:dyDescent="0.25">
      <c r="A23" s="399">
        <v>50</v>
      </c>
      <c r="B23" s="399" t="s">
        <v>416</v>
      </c>
      <c r="C23" s="399">
        <v>4</v>
      </c>
      <c r="D23" s="89">
        <v>-1368</v>
      </c>
      <c r="E23" s="89">
        <v>-1285</v>
      </c>
      <c r="F23" s="89">
        <f t="shared" si="1"/>
        <v>-1326.5</v>
      </c>
      <c r="G23" s="400">
        <f t="shared" si="2"/>
        <v>2.8072618456820757E-3</v>
      </c>
      <c r="H23" s="89">
        <f t="shared" si="0"/>
        <v>1362.2996066870608</v>
      </c>
      <c r="J23" s="396">
        <v>8</v>
      </c>
      <c r="K23" s="37" t="s">
        <v>121</v>
      </c>
      <c r="L23" s="36">
        <f>SUMIF($C$13:$C$305,Taulukko31[[#This Row],[Hyvinvointialuekoodi]],$H$13:$H$305)*(1000)</f>
        <v>17130160.150426064</v>
      </c>
      <c r="N23" s="36"/>
      <c r="O23" s="36"/>
    </row>
    <row r="24" spans="1:15" x14ac:dyDescent="0.25">
      <c r="A24" s="399">
        <v>51</v>
      </c>
      <c r="B24" s="399" t="s">
        <v>415</v>
      </c>
      <c r="C24" s="399">
        <v>4</v>
      </c>
      <c r="D24" s="89">
        <v>-927</v>
      </c>
      <c r="E24" s="89">
        <v>-967</v>
      </c>
      <c r="F24" s="89">
        <f t="shared" si="1"/>
        <v>-947</v>
      </c>
      <c r="G24" s="400">
        <f t="shared" si="2"/>
        <v>2.0041288864386924E-3</v>
      </c>
      <c r="H24" s="89">
        <f t="shared" si="0"/>
        <v>972.5576536243093</v>
      </c>
      <c r="J24" s="396">
        <v>9</v>
      </c>
      <c r="K24" s="37" t="s">
        <v>120</v>
      </c>
      <c r="L24" s="36">
        <f>SUMIF($C$13:$C$305,Taulukko31[[#This Row],[Hyvinvointialuekoodi]],$H$13:$H$305)*(1000)</f>
        <v>13593213.414330894</v>
      </c>
      <c r="N24" s="36"/>
      <c r="O24" s="36"/>
    </row>
    <row r="25" spans="1:15" x14ac:dyDescent="0.25">
      <c r="A25" s="399">
        <v>52</v>
      </c>
      <c r="B25" s="399" t="s">
        <v>414</v>
      </c>
      <c r="C25" s="399">
        <v>14</v>
      </c>
      <c r="D25" s="89">
        <v>-204</v>
      </c>
      <c r="E25" s="89">
        <v>-200</v>
      </c>
      <c r="F25" s="89">
        <f t="shared" si="1"/>
        <v>-202</v>
      </c>
      <c r="G25" s="400">
        <f t="shared" si="2"/>
        <v>4.2749106131004846E-4</v>
      </c>
      <c r="H25" s="89">
        <f t="shared" si="0"/>
        <v>207.45157975935638</v>
      </c>
      <c r="J25" s="396">
        <v>10</v>
      </c>
      <c r="K25" s="37" t="s">
        <v>119</v>
      </c>
      <c r="L25" s="36">
        <f>SUMIF($C$13:$C$305,Taulukko31[[#This Row],[Hyvinvointialuekoodi]],$H$13:$H$305)*(1000)</f>
        <v>13585511.004191319</v>
      </c>
      <c r="N25" s="36"/>
      <c r="O25" s="36"/>
    </row>
    <row r="26" spans="1:15" x14ac:dyDescent="0.25">
      <c r="A26" s="399">
        <v>61</v>
      </c>
      <c r="B26" s="399" t="s">
        <v>413</v>
      </c>
      <c r="C26" s="399">
        <v>5</v>
      </c>
      <c r="D26" s="89">
        <v>-1610</v>
      </c>
      <c r="E26" s="89">
        <v>-1619</v>
      </c>
      <c r="F26" s="89">
        <f t="shared" si="1"/>
        <v>-1614.5</v>
      </c>
      <c r="G26" s="400">
        <f t="shared" si="2"/>
        <v>3.4167540519063032E-3</v>
      </c>
      <c r="H26" s="89">
        <f t="shared" si="0"/>
        <v>1658.0721560469351</v>
      </c>
      <c r="J26" s="396">
        <v>11</v>
      </c>
      <c r="K26" s="37" t="s">
        <v>118</v>
      </c>
      <c r="L26" s="36">
        <f>SUMIF($C$13:$C$305,Taulukko31[[#This Row],[Hyvinvointialuekoodi]],$H$13:$H$305)*(1000)</f>
        <v>22714920.995630912</v>
      </c>
      <c r="N26" s="36"/>
      <c r="O26" s="36"/>
    </row>
    <row r="27" spans="1:15" x14ac:dyDescent="0.25">
      <c r="A27" s="399">
        <v>69</v>
      </c>
      <c r="B27" s="399" t="s">
        <v>412</v>
      </c>
      <c r="C27" s="399">
        <v>17</v>
      </c>
      <c r="D27" s="89">
        <v>-804</v>
      </c>
      <c r="E27" s="89">
        <v>-918</v>
      </c>
      <c r="F27" s="89">
        <f t="shared" si="1"/>
        <v>-861</v>
      </c>
      <c r="G27" s="400">
        <f t="shared" si="2"/>
        <v>1.8221277415245134E-3</v>
      </c>
      <c r="H27" s="89">
        <f t="shared" si="0"/>
        <v>884.23668402379133</v>
      </c>
      <c r="J27" s="396">
        <v>12</v>
      </c>
      <c r="K27" s="37" t="s">
        <v>117</v>
      </c>
      <c r="L27" s="36">
        <f>SUMIF($C$13:$C$305,Taulukko31[[#This Row],[Hyvinvointialuekoodi]],$H$13:$H$305)*(1000)</f>
        <v>15619974.269059064</v>
      </c>
      <c r="N27" s="36"/>
      <c r="O27" s="36"/>
    </row>
    <row r="28" spans="1:15" x14ac:dyDescent="0.25">
      <c r="A28" s="399">
        <v>71</v>
      </c>
      <c r="B28" s="399" t="s">
        <v>411</v>
      </c>
      <c r="C28" s="399">
        <v>17</v>
      </c>
      <c r="D28" s="89">
        <v>-808</v>
      </c>
      <c r="E28" s="89">
        <v>-851</v>
      </c>
      <c r="F28" s="89">
        <f t="shared" si="1"/>
        <v>-829.5</v>
      </c>
      <c r="G28" s="400">
        <f t="shared" si="2"/>
        <v>1.7554645314687386E-3</v>
      </c>
      <c r="H28" s="89">
        <f t="shared" si="0"/>
        <v>851.88656143755509</v>
      </c>
      <c r="J28" s="396">
        <v>13</v>
      </c>
      <c r="K28" s="37" t="s">
        <v>116</v>
      </c>
      <c r="L28" s="36">
        <f>SUMIF($C$13:$C$305,Taulukko31[[#This Row],[Hyvinvointialuekoodi]],$H$13:$H$305)*(1000)</f>
        <v>26767415.717068635</v>
      </c>
      <c r="N28" s="36"/>
      <c r="O28" s="36"/>
    </row>
    <row r="29" spans="1:15" x14ac:dyDescent="0.25">
      <c r="A29" s="399">
        <v>72</v>
      </c>
      <c r="B29" s="399" t="s">
        <v>410</v>
      </c>
      <c r="C29" s="399">
        <v>17</v>
      </c>
      <c r="D29" s="89">
        <v>-67</v>
      </c>
      <c r="E29" s="89">
        <v>-67</v>
      </c>
      <c r="F29" s="89">
        <f t="shared" si="1"/>
        <v>-67</v>
      </c>
      <c r="G29" s="400">
        <f t="shared" si="2"/>
        <v>1.4179158964244183E-4</v>
      </c>
      <c r="H29" s="89">
        <f t="shared" si="0"/>
        <v>68.808197246915242</v>
      </c>
      <c r="J29" s="396">
        <v>14</v>
      </c>
      <c r="K29" s="37" t="s">
        <v>132</v>
      </c>
      <c r="L29" s="36">
        <f>SUMIF($C$13:$C$305,Taulukko31[[#This Row],[Hyvinvointialuekoodi]],$H$13:$H$305)*(1000)</f>
        <v>19928189.00713085</v>
      </c>
      <c r="N29" s="36"/>
      <c r="O29" s="36"/>
    </row>
    <row r="30" spans="1:15" x14ac:dyDescent="0.25">
      <c r="A30" s="399">
        <v>74</v>
      </c>
      <c r="B30" s="399" t="s">
        <v>409</v>
      </c>
      <c r="C30" s="399">
        <v>16</v>
      </c>
      <c r="D30" s="89">
        <v>-131</v>
      </c>
      <c r="E30" s="89">
        <v>-217</v>
      </c>
      <c r="F30" s="89">
        <f t="shared" si="1"/>
        <v>-174</v>
      </c>
      <c r="G30" s="400">
        <f t="shared" si="2"/>
        <v>3.6823487459380412E-4</v>
      </c>
      <c r="H30" s="89">
        <f t="shared" si="0"/>
        <v>178.69591523825747</v>
      </c>
      <c r="J30" s="396">
        <v>15</v>
      </c>
      <c r="K30" s="37" t="s">
        <v>114</v>
      </c>
      <c r="L30" s="36">
        <f>SUMIF($C$13:$C$305,Taulukko31[[#This Row],[Hyvinvointialuekoodi]],$H$13:$H$305)*(1000)</f>
        <v>15498276.1888537</v>
      </c>
      <c r="N30" s="36"/>
      <c r="O30" s="36"/>
    </row>
    <row r="31" spans="1:15" x14ac:dyDescent="0.25">
      <c r="A31" s="399">
        <v>75</v>
      </c>
      <c r="B31" s="399" t="s">
        <v>408</v>
      </c>
      <c r="C31" s="399">
        <v>8</v>
      </c>
      <c r="D31" s="89">
        <v>-2750</v>
      </c>
      <c r="E31" s="89">
        <v>-3050</v>
      </c>
      <c r="F31" s="89">
        <f t="shared" si="1"/>
        <v>-2900</v>
      </c>
      <c r="G31" s="400">
        <f t="shared" si="2"/>
        <v>6.1372479098967354E-3</v>
      </c>
      <c r="H31" s="89">
        <f t="shared" si="0"/>
        <v>2978.2652539709579</v>
      </c>
      <c r="J31" s="396">
        <v>16</v>
      </c>
      <c r="K31" s="37" t="s">
        <v>113</v>
      </c>
      <c r="L31" s="36">
        <f>SUMIF($C$13:$C$305,Taulukko31[[#This Row],[Hyvinvointialuekoodi]],$H$13:$H$305)*(1000)</f>
        <v>8434652.5968494751</v>
      </c>
      <c r="N31" s="36"/>
      <c r="O31" s="36"/>
    </row>
    <row r="32" spans="1:15" x14ac:dyDescent="0.25">
      <c r="A32" s="399">
        <v>77</v>
      </c>
      <c r="B32" s="399" t="s">
        <v>407</v>
      </c>
      <c r="C32" s="399">
        <v>13</v>
      </c>
      <c r="D32" s="89">
        <v>-580</v>
      </c>
      <c r="E32" s="89">
        <v>-592</v>
      </c>
      <c r="F32" s="89">
        <f t="shared" si="1"/>
        <v>-586</v>
      </c>
      <c r="G32" s="400">
        <f t="shared" si="2"/>
        <v>1.2401473362756851E-3</v>
      </c>
      <c r="H32" s="89">
        <f t="shared" si="0"/>
        <v>601.81497890585558</v>
      </c>
      <c r="J32" s="396">
        <v>17</v>
      </c>
      <c r="K32" s="37" t="s">
        <v>112</v>
      </c>
      <c r="L32" s="36">
        <f>SUMIF($C$13:$C$305,Taulukko31[[#This Row],[Hyvinvointialuekoodi]],$H$13:$H$305)*(1000)</f>
        <v>36582853.70494017</v>
      </c>
      <c r="N32" s="36"/>
      <c r="O32" s="36"/>
    </row>
    <row r="33" spans="1:15" x14ac:dyDescent="0.25">
      <c r="A33" s="399">
        <v>78</v>
      </c>
      <c r="B33" s="399" t="s">
        <v>406</v>
      </c>
      <c r="C33" s="399">
        <v>33</v>
      </c>
      <c r="D33" s="89">
        <v>-648</v>
      </c>
      <c r="E33" s="89">
        <v>-643</v>
      </c>
      <c r="F33" s="89">
        <f t="shared" si="1"/>
        <v>-645.5</v>
      </c>
      <c r="G33" s="400">
        <f t="shared" si="2"/>
        <v>1.3660667330477043E-3</v>
      </c>
      <c r="H33" s="89">
        <f t="shared" si="0"/>
        <v>662.92076601319081</v>
      </c>
      <c r="J33" s="396">
        <v>18</v>
      </c>
      <c r="K33" s="37" t="s">
        <v>111</v>
      </c>
      <c r="L33" s="36">
        <f>SUMIF($C$13:$C$305,Taulukko31[[#This Row],[Hyvinvointialuekoodi]],$H$13:$H$305)*(1000)</f>
        <v>10377713.928060874</v>
      </c>
      <c r="N33" s="36"/>
      <c r="O33" s="36"/>
    </row>
    <row r="34" spans="1:15" x14ac:dyDescent="0.25">
      <c r="A34" s="399">
        <v>79</v>
      </c>
      <c r="B34" s="399" t="s">
        <v>405</v>
      </c>
      <c r="C34" s="399">
        <v>4</v>
      </c>
      <c r="D34" s="89">
        <v>-746</v>
      </c>
      <c r="E34" s="89">
        <v>-735</v>
      </c>
      <c r="F34" s="89">
        <f t="shared" si="1"/>
        <v>-740.5</v>
      </c>
      <c r="G34" s="400">
        <f t="shared" si="2"/>
        <v>1.5671145094063906E-3</v>
      </c>
      <c r="H34" s="89">
        <f t="shared" si="0"/>
        <v>760.48462778120506</v>
      </c>
      <c r="J34" s="397">
        <v>19</v>
      </c>
      <c r="K34" s="398" t="s">
        <v>110</v>
      </c>
      <c r="L34" s="36">
        <f>SUMIF($C$13:$C$305,Taulukko31[[#This Row],[Hyvinvointialuekoodi]],$H$13:$H$305)*(1000)</f>
        <v>19115327.990400501</v>
      </c>
      <c r="N34" s="36"/>
      <c r="O34" s="36"/>
    </row>
    <row r="35" spans="1:15" x14ac:dyDescent="0.25">
      <c r="A35" s="399">
        <v>81</v>
      </c>
      <c r="B35" s="399" t="s">
        <v>404</v>
      </c>
      <c r="C35" s="399">
        <v>7</v>
      </c>
      <c r="D35" s="89">
        <v>-244</v>
      </c>
      <c r="E35" s="89">
        <v>-255</v>
      </c>
      <c r="F35" s="89">
        <f t="shared" si="1"/>
        <v>-249.5</v>
      </c>
      <c r="G35" s="400">
        <f t="shared" si="2"/>
        <v>5.2801494948939156E-4</v>
      </c>
      <c r="H35" s="89">
        <f t="shared" si="0"/>
        <v>256.23351064336345</v>
      </c>
    </row>
    <row r="36" spans="1:15" x14ac:dyDescent="0.25">
      <c r="A36" s="399">
        <v>82</v>
      </c>
      <c r="B36" s="399" t="s">
        <v>403</v>
      </c>
      <c r="C36" s="399">
        <v>5</v>
      </c>
      <c r="D36" s="89">
        <v>-724</v>
      </c>
      <c r="E36" s="89">
        <v>-745</v>
      </c>
      <c r="F36" s="89">
        <f t="shared" si="1"/>
        <v>-734.5</v>
      </c>
      <c r="G36" s="400">
        <f t="shared" si="2"/>
        <v>1.5544167551100525E-3</v>
      </c>
      <c r="H36" s="89">
        <f t="shared" si="0"/>
        <v>754.32269966954095</v>
      </c>
    </row>
    <row r="37" spans="1:15" x14ac:dyDescent="0.25">
      <c r="A37" s="399">
        <v>86</v>
      </c>
      <c r="B37" s="399" t="s">
        <v>402</v>
      </c>
      <c r="C37" s="399">
        <v>5</v>
      </c>
      <c r="D37" s="89">
        <v>-579</v>
      </c>
      <c r="E37" s="89">
        <v>-601</v>
      </c>
      <c r="F37" s="89">
        <f t="shared" si="1"/>
        <v>-590</v>
      </c>
      <c r="G37" s="400">
        <f t="shared" si="2"/>
        <v>1.2486125058065773E-3</v>
      </c>
      <c r="H37" s="89">
        <f t="shared" si="0"/>
        <v>605.92293098029836</v>
      </c>
    </row>
    <row r="38" spans="1:15" x14ac:dyDescent="0.25">
      <c r="A38" s="399">
        <v>90</v>
      </c>
      <c r="B38" s="399" t="s">
        <v>401</v>
      </c>
      <c r="C38" s="399">
        <v>12</v>
      </c>
      <c r="D38" s="89">
        <v>-342</v>
      </c>
      <c r="E38" s="89">
        <v>-329</v>
      </c>
      <c r="F38" s="89">
        <f t="shared" si="1"/>
        <v>-335.5</v>
      </c>
      <c r="G38" s="400">
        <f t="shared" si="2"/>
        <v>7.1001609440357063E-4</v>
      </c>
      <c r="H38" s="89">
        <f t="shared" si="0"/>
        <v>344.55448024388153</v>
      </c>
    </row>
    <row r="39" spans="1:15" x14ac:dyDescent="0.25">
      <c r="A39" s="399">
        <v>91</v>
      </c>
      <c r="B39" s="399" t="s">
        <v>131</v>
      </c>
      <c r="C39" s="399">
        <v>31</v>
      </c>
      <c r="D39" s="89">
        <v>-46997</v>
      </c>
      <c r="E39" s="89">
        <v>-52599</v>
      </c>
      <c r="F39" s="89">
        <f t="shared" si="1"/>
        <v>-49798</v>
      </c>
      <c r="G39" s="400">
        <f t="shared" si="2"/>
        <v>0.10538712807484056</v>
      </c>
      <c r="H39" s="89">
        <f t="shared" si="0"/>
        <v>51141.949350774405</v>
      </c>
    </row>
    <row r="40" spans="1:15" x14ac:dyDescent="0.25">
      <c r="A40" s="399">
        <v>92</v>
      </c>
      <c r="B40" s="399" t="s">
        <v>400</v>
      </c>
      <c r="C40" s="399">
        <v>32</v>
      </c>
      <c r="D40" s="89">
        <v>-9667</v>
      </c>
      <c r="E40" s="89">
        <v>-11462</v>
      </c>
      <c r="F40" s="89">
        <f t="shared" si="1"/>
        <v>-10564.5</v>
      </c>
      <c r="G40" s="400">
        <f t="shared" si="2"/>
        <v>2.2357570877277261E-2</v>
      </c>
      <c r="H40" s="89">
        <f t="shared" si="0"/>
        <v>10849.614922612478</v>
      </c>
    </row>
    <row r="41" spans="1:15" x14ac:dyDescent="0.25">
      <c r="A41" s="399">
        <v>97</v>
      </c>
      <c r="B41" s="399" t="s">
        <v>399</v>
      </c>
      <c r="C41" s="399">
        <v>10</v>
      </c>
      <c r="D41" s="89">
        <v>-212</v>
      </c>
      <c r="E41" s="89">
        <v>-230</v>
      </c>
      <c r="F41" s="89">
        <f t="shared" si="1"/>
        <v>-221</v>
      </c>
      <c r="G41" s="400">
        <f t="shared" si="2"/>
        <v>4.6770061658178572E-4</v>
      </c>
      <c r="H41" s="89">
        <f t="shared" si="0"/>
        <v>226.96435211295923</v>
      </c>
    </row>
    <row r="42" spans="1:15" x14ac:dyDescent="0.25">
      <c r="A42" s="399">
        <v>98</v>
      </c>
      <c r="B42" s="399" t="s">
        <v>398</v>
      </c>
      <c r="C42" s="399">
        <v>7</v>
      </c>
      <c r="D42" s="89">
        <v>-2357</v>
      </c>
      <c r="E42" s="89">
        <v>-2460</v>
      </c>
      <c r="F42" s="89">
        <f t="shared" si="1"/>
        <v>-2408.5</v>
      </c>
      <c r="G42" s="400">
        <f t="shared" si="2"/>
        <v>5.0970902037883754E-3</v>
      </c>
      <c r="H42" s="89">
        <f t="shared" si="0"/>
        <v>2473.5006428238116</v>
      </c>
    </row>
    <row r="43" spans="1:15" x14ac:dyDescent="0.25">
      <c r="A43" s="399">
        <v>102</v>
      </c>
      <c r="B43" s="399" t="s">
        <v>397</v>
      </c>
      <c r="C43" s="399">
        <v>4</v>
      </c>
      <c r="D43" s="89">
        <v>-1234</v>
      </c>
      <c r="E43" s="89">
        <v>-1202</v>
      </c>
      <c r="F43" s="89">
        <f t="shared" si="1"/>
        <v>-1218</v>
      </c>
      <c r="G43" s="400">
        <f t="shared" si="2"/>
        <v>2.577644122156629E-3</v>
      </c>
      <c r="H43" s="89">
        <f t="shared" si="0"/>
        <v>1250.8714066678024</v>
      </c>
    </row>
    <row r="44" spans="1:15" x14ac:dyDescent="0.25">
      <c r="A44" s="399">
        <v>103</v>
      </c>
      <c r="B44" s="399" t="s">
        <v>396</v>
      </c>
      <c r="C44" s="399">
        <v>5</v>
      </c>
      <c r="D44" s="89">
        <v>-205</v>
      </c>
      <c r="E44" s="89">
        <v>-197</v>
      </c>
      <c r="F44" s="89">
        <f t="shared" si="1"/>
        <v>-201</v>
      </c>
      <c r="G44" s="400">
        <f t="shared" si="2"/>
        <v>4.2537476892732547E-4</v>
      </c>
      <c r="H44" s="89">
        <f t="shared" si="0"/>
        <v>206.42459174074571</v>
      </c>
    </row>
    <row r="45" spans="1:15" x14ac:dyDescent="0.25">
      <c r="A45" s="399">
        <v>105</v>
      </c>
      <c r="B45" s="399" t="s">
        <v>395</v>
      </c>
      <c r="C45" s="399">
        <v>18</v>
      </c>
      <c r="D45" s="89">
        <v>-304</v>
      </c>
      <c r="E45" s="89">
        <v>-323</v>
      </c>
      <c r="F45" s="89">
        <f t="shared" si="1"/>
        <v>-313.5</v>
      </c>
      <c r="G45" s="400">
        <f t="shared" si="2"/>
        <v>6.6345766198366439E-4</v>
      </c>
      <c r="H45" s="89">
        <f t="shared" si="0"/>
        <v>321.9607438344467</v>
      </c>
    </row>
    <row r="46" spans="1:15" x14ac:dyDescent="0.25">
      <c r="A46" s="399">
        <v>106</v>
      </c>
      <c r="B46" s="399" t="s">
        <v>394</v>
      </c>
      <c r="C46" s="399">
        <v>35</v>
      </c>
      <c r="D46" s="89">
        <v>-3490</v>
      </c>
      <c r="E46" s="89">
        <v>-3455</v>
      </c>
      <c r="F46" s="89">
        <f t="shared" si="1"/>
        <v>-3472.5</v>
      </c>
      <c r="G46" s="400">
        <f t="shared" si="2"/>
        <v>7.3488252990056603E-3</v>
      </c>
      <c r="H46" s="89">
        <f t="shared" si="0"/>
        <v>3566.2158946255699</v>
      </c>
    </row>
    <row r="47" spans="1:15" x14ac:dyDescent="0.25">
      <c r="A47" s="399">
        <v>108</v>
      </c>
      <c r="B47" s="399" t="s">
        <v>393</v>
      </c>
      <c r="C47" s="399">
        <v>6</v>
      </c>
      <c r="D47" s="89">
        <v>-799</v>
      </c>
      <c r="E47" s="89">
        <v>-795</v>
      </c>
      <c r="F47" s="89">
        <f t="shared" si="1"/>
        <v>-797</v>
      </c>
      <c r="G47" s="400">
        <f t="shared" si="2"/>
        <v>1.6866850290302407E-3</v>
      </c>
      <c r="H47" s="89">
        <f t="shared" si="0"/>
        <v>818.50945083270813</v>
      </c>
    </row>
    <row r="48" spans="1:15" x14ac:dyDescent="0.25">
      <c r="A48" s="399">
        <v>109</v>
      </c>
      <c r="B48" s="399" t="s">
        <v>392</v>
      </c>
      <c r="C48" s="399">
        <v>5</v>
      </c>
      <c r="D48" s="89">
        <v>-4639</v>
      </c>
      <c r="E48" s="89">
        <v>-4838</v>
      </c>
      <c r="F48" s="89">
        <f t="shared" si="1"/>
        <v>-4738.5</v>
      </c>
      <c r="G48" s="400">
        <f t="shared" si="2"/>
        <v>1.0028051455532993E-2</v>
      </c>
      <c r="H48" s="89">
        <f t="shared" si="0"/>
        <v>4866.3827261866845</v>
      </c>
    </row>
    <row r="49" spans="1:8" x14ac:dyDescent="0.25">
      <c r="A49" s="399">
        <v>111</v>
      </c>
      <c r="B49" s="399" t="s">
        <v>391</v>
      </c>
      <c r="C49" s="399">
        <v>7</v>
      </c>
      <c r="D49" s="89">
        <v>-2232</v>
      </c>
      <c r="E49" s="89">
        <v>-2356</v>
      </c>
      <c r="F49" s="89">
        <f t="shared" si="1"/>
        <v>-2294</v>
      </c>
      <c r="G49" s="400">
        <f t="shared" si="2"/>
        <v>4.8547747259665899E-3</v>
      </c>
      <c r="H49" s="89">
        <f t="shared" si="0"/>
        <v>2355.9105146928887</v>
      </c>
    </row>
    <row r="50" spans="1:8" x14ac:dyDescent="0.25">
      <c r="A50" s="399">
        <v>139</v>
      </c>
      <c r="B50" s="399" t="s">
        <v>390</v>
      </c>
      <c r="C50" s="399">
        <v>17</v>
      </c>
      <c r="D50" s="89">
        <v>-699</v>
      </c>
      <c r="E50" s="89">
        <v>-709</v>
      </c>
      <c r="F50" s="89">
        <f t="shared" si="1"/>
        <v>-704</v>
      </c>
      <c r="G50" s="400">
        <f t="shared" si="2"/>
        <v>1.4898698374370006E-3</v>
      </c>
      <c r="H50" s="89">
        <f t="shared" si="0"/>
        <v>722.99956510191532</v>
      </c>
    </row>
    <row r="51" spans="1:8" x14ac:dyDescent="0.25">
      <c r="A51" s="399">
        <v>140</v>
      </c>
      <c r="B51" s="399" t="s">
        <v>389</v>
      </c>
      <c r="C51" s="399">
        <v>11</v>
      </c>
      <c r="D51" s="89">
        <v>-1998</v>
      </c>
      <c r="E51" s="89">
        <v>-2123</v>
      </c>
      <c r="F51" s="89">
        <f t="shared" si="1"/>
        <v>-2060.5</v>
      </c>
      <c r="G51" s="400">
        <f t="shared" si="2"/>
        <v>4.3606204546007667E-3</v>
      </c>
      <c r="H51" s="89">
        <f t="shared" si="0"/>
        <v>2116.1088123472964</v>
      </c>
    </row>
    <row r="52" spans="1:8" x14ac:dyDescent="0.25">
      <c r="A52" s="399">
        <v>142</v>
      </c>
      <c r="B52" s="399" t="s">
        <v>388</v>
      </c>
      <c r="C52" s="399">
        <v>7</v>
      </c>
      <c r="D52" s="89">
        <v>-666</v>
      </c>
      <c r="E52" s="89">
        <v>-684</v>
      </c>
      <c r="F52" s="89">
        <f t="shared" si="1"/>
        <v>-675</v>
      </c>
      <c r="G52" s="400">
        <f t="shared" si="2"/>
        <v>1.4284973583380332E-3</v>
      </c>
      <c r="H52" s="89">
        <f t="shared" si="0"/>
        <v>693.21691256220572</v>
      </c>
    </row>
    <row r="53" spans="1:8" x14ac:dyDescent="0.25">
      <c r="A53" s="399">
        <v>143</v>
      </c>
      <c r="B53" s="399" t="s">
        <v>387</v>
      </c>
      <c r="C53" s="399">
        <v>6</v>
      </c>
      <c r="D53" s="89">
        <v>-549</v>
      </c>
      <c r="E53" s="89">
        <v>-566</v>
      </c>
      <c r="F53" s="89">
        <f t="shared" si="1"/>
        <v>-557.5</v>
      </c>
      <c r="G53" s="400">
        <f t="shared" si="2"/>
        <v>1.1798330033680794E-3</v>
      </c>
      <c r="H53" s="89">
        <f t="shared" si="0"/>
        <v>572.54582037545151</v>
      </c>
    </row>
    <row r="54" spans="1:8" x14ac:dyDescent="0.25">
      <c r="A54" s="399">
        <v>145</v>
      </c>
      <c r="B54" s="399" t="s">
        <v>386</v>
      </c>
      <c r="C54" s="399">
        <v>14</v>
      </c>
      <c r="D54" s="89">
        <v>-1232</v>
      </c>
      <c r="E54" s="89">
        <v>-1266</v>
      </c>
      <c r="F54" s="89">
        <f t="shared" si="1"/>
        <v>-1249</v>
      </c>
      <c r="G54" s="400">
        <f t="shared" si="2"/>
        <v>2.6432491860210422E-3</v>
      </c>
      <c r="H54" s="89">
        <f t="shared" si="0"/>
        <v>1282.7080352447333</v>
      </c>
    </row>
    <row r="55" spans="1:8" x14ac:dyDescent="0.25">
      <c r="A55" s="399">
        <v>146</v>
      </c>
      <c r="B55" s="399" t="s">
        <v>385</v>
      </c>
      <c r="C55" s="399">
        <v>12</v>
      </c>
      <c r="D55" s="89">
        <v>-421</v>
      </c>
      <c r="E55" s="89">
        <v>-438</v>
      </c>
      <c r="F55" s="89">
        <f t="shared" si="1"/>
        <v>-429.5</v>
      </c>
      <c r="G55" s="400">
        <f t="shared" si="2"/>
        <v>9.0894757837953373E-4</v>
      </c>
      <c r="H55" s="89">
        <f t="shared" si="0"/>
        <v>441.091353993285</v>
      </c>
    </row>
    <row r="56" spans="1:8" x14ac:dyDescent="0.25">
      <c r="A56" s="399">
        <v>148</v>
      </c>
      <c r="B56" s="399" t="s">
        <v>384</v>
      </c>
      <c r="C56" s="399">
        <v>19</v>
      </c>
      <c r="D56" s="89">
        <v>-794</v>
      </c>
      <c r="E56" s="89">
        <v>-870</v>
      </c>
      <c r="F56" s="89">
        <f t="shared" si="1"/>
        <v>-832</v>
      </c>
      <c r="G56" s="400">
        <f t="shared" si="2"/>
        <v>1.7607552624255463E-3</v>
      </c>
      <c r="H56" s="89">
        <f t="shared" si="0"/>
        <v>854.45403148408184</v>
      </c>
    </row>
    <row r="57" spans="1:8" x14ac:dyDescent="0.25">
      <c r="A57" s="399">
        <v>149</v>
      </c>
      <c r="B57" s="399" t="s">
        <v>383</v>
      </c>
      <c r="C57" s="399">
        <v>33</v>
      </c>
      <c r="D57" s="89">
        <v>-369</v>
      </c>
      <c r="E57" s="89">
        <v>-381</v>
      </c>
      <c r="F57" s="89">
        <f t="shared" si="1"/>
        <v>-375</v>
      </c>
      <c r="G57" s="400">
        <f t="shared" si="2"/>
        <v>7.9360964352112964E-4</v>
      </c>
      <c r="H57" s="89">
        <f t="shared" si="0"/>
        <v>385.12050697900321</v>
      </c>
    </row>
    <row r="58" spans="1:8" x14ac:dyDescent="0.25">
      <c r="A58" s="399">
        <v>151</v>
      </c>
      <c r="B58" s="399" t="s">
        <v>382</v>
      </c>
      <c r="C58" s="399">
        <v>14</v>
      </c>
      <c r="D58" s="89">
        <v>-195</v>
      </c>
      <c r="E58" s="89">
        <v>-198</v>
      </c>
      <c r="F58" s="89">
        <f t="shared" si="1"/>
        <v>-196.5</v>
      </c>
      <c r="G58" s="400">
        <f t="shared" si="2"/>
        <v>4.158514532050719E-4</v>
      </c>
      <c r="H58" s="89">
        <f t="shared" si="0"/>
        <v>201.80314565699769</v>
      </c>
    </row>
    <row r="59" spans="1:8" x14ac:dyDescent="0.25">
      <c r="A59" s="399">
        <v>152</v>
      </c>
      <c r="B59" s="399" t="s">
        <v>381</v>
      </c>
      <c r="C59" s="399">
        <v>14</v>
      </c>
      <c r="D59" s="89">
        <v>-498</v>
      </c>
      <c r="E59" s="89">
        <v>-475</v>
      </c>
      <c r="F59" s="89">
        <f t="shared" si="1"/>
        <v>-486.5</v>
      </c>
      <c r="G59" s="400">
        <f t="shared" si="2"/>
        <v>1.0295762441947455E-3</v>
      </c>
      <c r="H59" s="89">
        <f t="shared" si="0"/>
        <v>499.62967105409354</v>
      </c>
    </row>
    <row r="60" spans="1:8" x14ac:dyDescent="0.25">
      <c r="A60" s="399">
        <v>153</v>
      </c>
      <c r="B60" s="399" t="s">
        <v>380</v>
      </c>
      <c r="C60" s="399">
        <v>9</v>
      </c>
      <c r="D60" s="89">
        <v>-2607</v>
      </c>
      <c r="E60" s="89">
        <v>-2684</v>
      </c>
      <c r="F60" s="89">
        <f t="shared" si="1"/>
        <v>-2645.5</v>
      </c>
      <c r="G60" s="400">
        <f t="shared" si="2"/>
        <v>5.5986514984937286E-3</v>
      </c>
      <c r="H60" s="89">
        <f t="shared" si="0"/>
        <v>2716.896803234541</v>
      </c>
    </row>
    <row r="61" spans="1:8" x14ac:dyDescent="0.25">
      <c r="A61" s="399">
        <v>165</v>
      </c>
      <c r="B61" s="399" t="s">
        <v>379</v>
      </c>
      <c r="C61" s="399">
        <v>5</v>
      </c>
      <c r="D61" s="89">
        <v>-1256</v>
      </c>
      <c r="E61" s="89">
        <v>-1362</v>
      </c>
      <c r="F61" s="89">
        <f t="shared" si="1"/>
        <v>-1309</v>
      </c>
      <c r="G61" s="400">
        <f t="shared" si="2"/>
        <v>2.7702267289844229E-3</v>
      </c>
      <c r="H61" s="89">
        <f t="shared" si="0"/>
        <v>1344.3273163613737</v>
      </c>
    </row>
    <row r="62" spans="1:8" x14ac:dyDescent="0.25">
      <c r="A62" s="399">
        <v>167</v>
      </c>
      <c r="B62" s="399" t="s">
        <v>378</v>
      </c>
      <c r="C62" s="399">
        <v>12</v>
      </c>
      <c r="D62" s="89">
        <v>-6667</v>
      </c>
      <c r="E62" s="89">
        <v>-7255</v>
      </c>
      <c r="F62" s="89">
        <f t="shared" si="1"/>
        <v>-6961</v>
      </c>
      <c r="G62" s="400">
        <f t="shared" si="2"/>
        <v>1.4731511276134888E-2</v>
      </c>
      <c r="H62" s="89">
        <f t="shared" si="0"/>
        <v>7148.8635975489105</v>
      </c>
    </row>
    <row r="63" spans="1:8" x14ac:dyDescent="0.25">
      <c r="A63" s="399">
        <v>169</v>
      </c>
      <c r="B63" s="399" t="s">
        <v>377</v>
      </c>
      <c r="C63" s="399">
        <v>5</v>
      </c>
      <c r="D63" s="89">
        <v>-440</v>
      </c>
      <c r="E63" s="89">
        <v>-449</v>
      </c>
      <c r="F63" s="89">
        <f t="shared" si="1"/>
        <v>-444.5</v>
      </c>
      <c r="G63" s="400">
        <f t="shared" si="2"/>
        <v>9.4069196412037892E-4</v>
      </c>
      <c r="H63" s="89">
        <f t="shared" si="0"/>
        <v>456.4961742724451</v>
      </c>
    </row>
    <row r="64" spans="1:8" x14ac:dyDescent="0.25">
      <c r="A64" s="399">
        <v>171</v>
      </c>
      <c r="B64" s="399" t="s">
        <v>376</v>
      </c>
      <c r="C64" s="399">
        <v>11</v>
      </c>
      <c r="D64" s="89">
        <v>-462</v>
      </c>
      <c r="E64" s="89">
        <v>-476</v>
      </c>
      <c r="F64" s="89">
        <f t="shared" si="1"/>
        <v>-469</v>
      </c>
      <c r="G64" s="400">
        <f t="shared" si="2"/>
        <v>9.9254112749709274E-4</v>
      </c>
      <c r="H64" s="89">
        <f t="shared" si="0"/>
        <v>481.65738072840668</v>
      </c>
    </row>
    <row r="65" spans="1:8" x14ac:dyDescent="0.25">
      <c r="A65" s="399">
        <v>172</v>
      </c>
      <c r="B65" s="399" t="s">
        <v>375</v>
      </c>
      <c r="C65" s="399">
        <v>13</v>
      </c>
      <c r="D65" s="89">
        <v>-415</v>
      </c>
      <c r="E65" s="89">
        <v>-420</v>
      </c>
      <c r="F65" s="89">
        <f t="shared" si="1"/>
        <v>-417.5</v>
      </c>
      <c r="G65" s="400">
        <f t="shared" si="2"/>
        <v>8.8355206978685762E-4</v>
      </c>
      <c r="H65" s="89">
        <f t="shared" si="0"/>
        <v>428.76749776995689</v>
      </c>
    </row>
    <row r="66" spans="1:8" x14ac:dyDescent="0.25">
      <c r="A66" s="399">
        <v>176</v>
      </c>
      <c r="B66" s="399" t="s">
        <v>374</v>
      </c>
      <c r="C66" s="399">
        <v>12</v>
      </c>
      <c r="D66" s="89">
        <v>-418</v>
      </c>
      <c r="E66" s="89">
        <v>-518</v>
      </c>
      <c r="F66" s="89">
        <f t="shared" si="1"/>
        <v>-468</v>
      </c>
      <c r="G66" s="400">
        <f t="shared" si="2"/>
        <v>9.9042483511436975E-4</v>
      </c>
      <c r="H66" s="89">
        <f t="shared" si="0"/>
        <v>480.63039270979601</v>
      </c>
    </row>
    <row r="67" spans="1:8" x14ac:dyDescent="0.25">
      <c r="A67" s="399">
        <v>177</v>
      </c>
      <c r="B67" s="399" t="s">
        <v>373</v>
      </c>
      <c r="C67" s="399">
        <v>6</v>
      </c>
      <c r="D67" s="89">
        <v>-141</v>
      </c>
      <c r="E67" s="89">
        <v>-141</v>
      </c>
      <c r="F67" s="89">
        <f t="shared" si="1"/>
        <v>-141</v>
      </c>
      <c r="G67" s="400">
        <f t="shared" si="2"/>
        <v>2.9839722596394471E-4</v>
      </c>
      <c r="H67" s="89">
        <f t="shared" si="0"/>
        <v>144.8053106241052</v>
      </c>
    </row>
    <row r="68" spans="1:8" x14ac:dyDescent="0.25">
      <c r="A68" s="399">
        <v>178</v>
      </c>
      <c r="B68" s="399" t="s">
        <v>372</v>
      </c>
      <c r="C68" s="399">
        <v>10</v>
      </c>
      <c r="D68" s="89">
        <v>-547</v>
      </c>
      <c r="E68" s="89">
        <v>-554</v>
      </c>
      <c r="F68" s="89">
        <f t="shared" si="1"/>
        <v>-550.5</v>
      </c>
      <c r="G68" s="400">
        <f t="shared" si="2"/>
        <v>1.1650189566890182E-3</v>
      </c>
      <c r="H68" s="89">
        <f t="shared" si="0"/>
        <v>565.35690424517668</v>
      </c>
    </row>
    <row r="69" spans="1:8" x14ac:dyDescent="0.25">
      <c r="A69" s="399">
        <v>179</v>
      </c>
      <c r="B69" s="399" t="s">
        <v>371</v>
      </c>
      <c r="C69" s="399">
        <v>13</v>
      </c>
      <c r="D69" s="89">
        <v>-13172</v>
      </c>
      <c r="E69" s="89">
        <v>-13469</v>
      </c>
      <c r="F69" s="89">
        <f t="shared" si="1"/>
        <v>-13320.5</v>
      </c>
      <c r="G69" s="400">
        <f t="shared" si="2"/>
        <v>2.8190072684061884E-2</v>
      </c>
      <c r="H69" s="89">
        <f t="shared" si="0"/>
        <v>13679.993901903499</v>
      </c>
    </row>
    <row r="70" spans="1:8" x14ac:dyDescent="0.25">
      <c r="A70" s="399">
        <v>181</v>
      </c>
      <c r="B70" s="399" t="s">
        <v>370</v>
      </c>
      <c r="C70" s="399">
        <v>4</v>
      </c>
      <c r="D70" s="89">
        <v>-144</v>
      </c>
      <c r="E70" s="89">
        <v>-166</v>
      </c>
      <c r="F70" s="89">
        <f t="shared" si="1"/>
        <v>-155</v>
      </c>
      <c r="G70" s="400">
        <f t="shared" si="2"/>
        <v>3.2802531932206691E-4</v>
      </c>
      <c r="H70" s="89">
        <f t="shared" si="0"/>
        <v>159.18314288465467</v>
      </c>
    </row>
    <row r="71" spans="1:8" x14ac:dyDescent="0.25">
      <c r="A71" s="399">
        <v>182</v>
      </c>
      <c r="B71" s="399" t="s">
        <v>369</v>
      </c>
      <c r="C71" s="399">
        <v>13</v>
      </c>
      <c r="D71" s="89">
        <v>-1845</v>
      </c>
      <c r="E71" s="89">
        <v>-1871</v>
      </c>
      <c r="F71" s="89">
        <f t="shared" si="1"/>
        <v>-1858</v>
      </c>
      <c r="G71" s="400">
        <f t="shared" si="2"/>
        <v>3.9320712470993571E-3</v>
      </c>
      <c r="H71" s="89">
        <f t="shared" si="0"/>
        <v>1908.1437385786348</v>
      </c>
    </row>
    <row r="72" spans="1:8" x14ac:dyDescent="0.25">
      <c r="A72" s="399">
        <v>186</v>
      </c>
      <c r="B72" s="399" t="s">
        <v>368</v>
      </c>
      <c r="C72" s="399">
        <v>35</v>
      </c>
      <c r="D72" s="89">
        <v>-3060</v>
      </c>
      <c r="E72" s="89">
        <v>-3042</v>
      </c>
      <c r="F72" s="89">
        <f t="shared" si="1"/>
        <v>-3051</v>
      </c>
      <c r="G72" s="400">
        <f t="shared" si="2"/>
        <v>6.4568080596879105E-3</v>
      </c>
      <c r="H72" s="89">
        <f t="shared" si="0"/>
        <v>3133.3404447811699</v>
      </c>
    </row>
    <row r="73" spans="1:8" x14ac:dyDescent="0.25">
      <c r="A73" s="399">
        <v>202</v>
      </c>
      <c r="B73" s="399" t="s">
        <v>367</v>
      </c>
      <c r="C73" s="399">
        <v>2</v>
      </c>
      <c r="D73" s="89">
        <v>-2513</v>
      </c>
      <c r="E73" s="89">
        <v>-2647</v>
      </c>
      <c r="F73" s="89">
        <f t="shared" si="1"/>
        <v>-2580</v>
      </c>
      <c r="G73" s="400">
        <f t="shared" si="2"/>
        <v>5.4600343474253714E-3</v>
      </c>
      <c r="H73" s="89">
        <f t="shared" si="0"/>
        <v>2649.629088015542</v>
      </c>
    </row>
    <row r="74" spans="1:8" x14ac:dyDescent="0.25">
      <c r="A74" s="399">
        <v>204</v>
      </c>
      <c r="B74" s="399" t="s">
        <v>366</v>
      </c>
      <c r="C74" s="399">
        <v>11</v>
      </c>
      <c r="D74" s="89">
        <v>-304</v>
      </c>
      <c r="E74" s="89">
        <v>-359</v>
      </c>
      <c r="F74" s="89">
        <f t="shared" si="1"/>
        <v>-331.5</v>
      </c>
      <c r="G74" s="400">
        <f t="shared" si="2"/>
        <v>7.0155092487267855E-4</v>
      </c>
      <c r="H74" s="89">
        <f t="shared" si="0"/>
        <v>340.44652816943881</v>
      </c>
    </row>
    <row r="75" spans="1:8" x14ac:dyDescent="0.25">
      <c r="A75" s="399">
        <v>205</v>
      </c>
      <c r="B75" s="399" t="s">
        <v>365</v>
      </c>
      <c r="C75" s="399">
        <v>18</v>
      </c>
      <c r="D75" s="89">
        <v>-5077</v>
      </c>
      <c r="E75" s="89">
        <v>-5244</v>
      </c>
      <c r="F75" s="89">
        <f t="shared" si="1"/>
        <v>-5160.5</v>
      </c>
      <c r="G75" s="400">
        <f t="shared" si="2"/>
        <v>1.0921126841042106E-2</v>
      </c>
      <c r="H75" s="89">
        <f t="shared" si="0"/>
        <v>5299.7716700403898</v>
      </c>
    </row>
    <row r="76" spans="1:8" x14ac:dyDescent="0.25">
      <c r="A76" s="399">
        <v>208</v>
      </c>
      <c r="B76" s="399" t="s">
        <v>364</v>
      </c>
      <c r="C76" s="399">
        <v>17</v>
      </c>
      <c r="D76" s="89">
        <v>-1452</v>
      </c>
      <c r="E76" s="89">
        <v>-1464</v>
      </c>
      <c r="F76" s="89">
        <f t="shared" si="1"/>
        <v>-1458</v>
      </c>
      <c r="G76" s="400">
        <f t="shared" si="2"/>
        <v>3.0855542940101521E-3</v>
      </c>
      <c r="H76" s="89">
        <f t="shared" si="0"/>
        <v>1497.3485311343645</v>
      </c>
    </row>
    <row r="77" spans="1:8" x14ac:dyDescent="0.25">
      <c r="A77" s="399">
        <v>211</v>
      </c>
      <c r="B77" s="399" t="s">
        <v>363</v>
      </c>
      <c r="C77" s="399">
        <v>6</v>
      </c>
      <c r="D77" s="89">
        <v>-2400</v>
      </c>
      <c r="E77" s="89">
        <v>-2400</v>
      </c>
      <c r="F77" s="89">
        <f t="shared" si="1"/>
        <v>-2400</v>
      </c>
      <c r="G77" s="400">
        <f t="shared" si="2"/>
        <v>5.0791017185352295E-3</v>
      </c>
      <c r="H77" s="89">
        <f t="shared" ref="H77:H140" si="3">(G77*E$12)*(-1)</f>
        <v>2464.7712446656205</v>
      </c>
    </row>
    <row r="78" spans="1:8" x14ac:dyDescent="0.25">
      <c r="A78" s="399">
        <v>213</v>
      </c>
      <c r="B78" s="399" t="s">
        <v>362</v>
      </c>
      <c r="C78" s="399">
        <v>10</v>
      </c>
      <c r="D78" s="89">
        <v>-450</v>
      </c>
      <c r="E78" s="89">
        <v>-468</v>
      </c>
      <c r="F78" s="89">
        <f t="shared" ref="F78:F141" si="4">(D78+E78)/2</f>
        <v>-459</v>
      </c>
      <c r="G78" s="400">
        <f t="shared" ref="G78:G141" si="5">F78/F$12</f>
        <v>9.7137820366986261E-4</v>
      </c>
      <c r="H78" s="89">
        <f t="shared" si="3"/>
        <v>471.3875005422999</v>
      </c>
    </row>
    <row r="79" spans="1:8" x14ac:dyDescent="0.25">
      <c r="A79" s="399">
        <v>214</v>
      </c>
      <c r="B79" s="399" t="s">
        <v>361</v>
      </c>
      <c r="C79" s="399">
        <v>4</v>
      </c>
      <c r="D79" s="89">
        <v>-1412</v>
      </c>
      <c r="E79" s="89">
        <v>-1365</v>
      </c>
      <c r="F79" s="89">
        <f t="shared" si="4"/>
        <v>-1388.5</v>
      </c>
      <c r="G79" s="400">
        <f t="shared" si="5"/>
        <v>2.9384719734109025E-3</v>
      </c>
      <c r="H79" s="89">
        <f t="shared" si="3"/>
        <v>1425.9728638409224</v>
      </c>
    </row>
    <row r="80" spans="1:8" x14ac:dyDescent="0.25">
      <c r="A80" s="399">
        <v>216</v>
      </c>
      <c r="B80" s="399" t="s">
        <v>360</v>
      </c>
      <c r="C80" s="399">
        <v>13</v>
      </c>
      <c r="D80" s="89">
        <v>-127</v>
      </c>
      <c r="E80" s="89">
        <v>-129</v>
      </c>
      <c r="F80" s="89">
        <f t="shared" si="4"/>
        <v>-128</v>
      </c>
      <c r="G80" s="400">
        <f t="shared" si="5"/>
        <v>2.7088542498854555E-4</v>
      </c>
      <c r="H80" s="89">
        <f t="shared" si="3"/>
        <v>131.45446638216643</v>
      </c>
    </row>
    <row r="81" spans="1:8" x14ac:dyDescent="0.25">
      <c r="A81" s="399">
        <v>217</v>
      </c>
      <c r="B81" s="399" t="s">
        <v>359</v>
      </c>
      <c r="C81" s="399">
        <v>16</v>
      </c>
      <c r="D81" s="89">
        <v>-614</v>
      </c>
      <c r="E81" s="89">
        <v>-645</v>
      </c>
      <c r="F81" s="89">
        <f t="shared" si="4"/>
        <v>-629.5</v>
      </c>
      <c r="G81" s="400">
        <f t="shared" si="5"/>
        <v>1.3322060549241363E-3</v>
      </c>
      <c r="H81" s="89">
        <f t="shared" si="3"/>
        <v>646.48895771542004</v>
      </c>
    </row>
    <row r="82" spans="1:8" x14ac:dyDescent="0.25">
      <c r="A82" s="399">
        <v>218</v>
      </c>
      <c r="B82" s="399" t="s">
        <v>358</v>
      </c>
      <c r="C82" s="399">
        <v>14</v>
      </c>
      <c r="D82" s="89">
        <v>-127</v>
      </c>
      <c r="E82" s="89">
        <v>-128</v>
      </c>
      <c r="F82" s="89">
        <f t="shared" si="4"/>
        <v>-127.5</v>
      </c>
      <c r="G82" s="400">
        <f t="shared" si="5"/>
        <v>2.6982727879718406E-4</v>
      </c>
      <c r="H82" s="89">
        <f t="shared" si="3"/>
        <v>130.9409723728611</v>
      </c>
    </row>
    <row r="83" spans="1:8" x14ac:dyDescent="0.25">
      <c r="A83" s="399">
        <v>224</v>
      </c>
      <c r="B83" s="399" t="s">
        <v>357</v>
      </c>
      <c r="C83" s="399">
        <v>33</v>
      </c>
      <c r="D83" s="89">
        <v>-633</v>
      </c>
      <c r="E83" s="89">
        <v>-602</v>
      </c>
      <c r="F83" s="89">
        <f t="shared" si="4"/>
        <v>-617.5</v>
      </c>
      <c r="G83" s="400">
        <f t="shared" si="5"/>
        <v>1.3068105463314602E-3</v>
      </c>
      <c r="H83" s="89">
        <f t="shared" si="3"/>
        <v>634.16510149209194</v>
      </c>
    </row>
    <row r="84" spans="1:8" x14ac:dyDescent="0.25">
      <c r="A84" s="399">
        <v>226</v>
      </c>
      <c r="B84" s="399" t="s">
        <v>356</v>
      </c>
      <c r="C84" s="399">
        <v>13</v>
      </c>
      <c r="D84" s="89">
        <v>-360</v>
      </c>
      <c r="E84" s="89">
        <v>-362</v>
      </c>
      <c r="F84" s="89">
        <f t="shared" si="4"/>
        <v>-361</v>
      </c>
      <c r="G84" s="400">
        <f t="shared" si="5"/>
        <v>7.6398155016300744E-4</v>
      </c>
      <c r="H84" s="89">
        <f t="shared" si="3"/>
        <v>370.74267471845377</v>
      </c>
    </row>
    <row r="85" spans="1:8" x14ac:dyDescent="0.25">
      <c r="A85" s="399">
        <v>230</v>
      </c>
      <c r="B85" s="399" t="s">
        <v>355</v>
      </c>
      <c r="C85" s="399">
        <v>4</v>
      </c>
      <c r="D85" s="89">
        <v>-328</v>
      </c>
      <c r="E85" s="89">
        <v>-335</v>
      </c>
      <c r="F85" s="89">
        <f t="shared" si="4"/>
        <v>-331.5</v>
      </c>
      <c r="G85" s="400">
        <f t="shared" si="5"/>
        <v>7.0155092487267855E-4</v>
      </c>
      <c r="H85" s="89">
        <f t="shared" si="3"/>
        <v>340.44652816943881</v>
      </c>
    </row>
    <row r="86" spans="1:8" x14ac:dyDescent="0.25">
      <c r="A86" s="399">
        <v>231</v>
      </c>
      <c r="B86" s="399" t="s">
        <v>354</v>
      </c>
      <c r="C86" s="399">
        <v>15</v>
      </c>
      <c r="D86" s="89">
        <v>-71</v>
      </c>
      <c r="E86" s="89">
        <v>-75</v>
      </c>
      <c r="F86" s="89">
        <f t="shared" si="4"/>
        <v>-73</v>
      </c>
      <c r="G86" s="400">
        <f t="shared" si="5"/>
        <v>1.5448934393877989E-4</v>
      </c>
      <c r="H86" s="89">
        <f t="shared" si="3"/>
        <v>74.970125358579281</v>
      </c>
    </row>
    <row r="87" spans="1:8" x14ac:dyDescent="0.25">
      <c r="A87" s="399">
        <v>232</v>
      </c>
      <c r="B87" s="399" t="s">
        <v>353</v>
      </c>
      <c r="C87" s="399">
        <v>14</v>
      </c>
      <c r="D87" s="89">
        <v>-1333</v>
      </c>
      <c r="E87" s="89">
        <v>-1345</v>
      </c>
      <c r="F87" s="89">
        <f t="shared" si="4"/>
        <v>-1339</v>
      </c>
      <c r="G87" s="400">
        <f t="shared" si="5"/>
        <v>2.8337155004661135E-3</v>
      </c>
      <c r="H87" s="89">
        <f t="shared" si="3"/>
        <v>1375.1369569196943</v>
      </c>
    </row>
    <row r="88" spans="1:8" x14ac:dyDescent="0.25">
      <c r="A88" s="399">
        <v>233</v>
      </c>
      <c r="B88" s="399" t="s">
        <v>352</v>
      </c>
      <c r="C88" s="399">
        <v>14</v>
      </c>
      <c r="D88" s="89">
        <v>-1598</v>
      </c>
      <c r="E88" s="89">
        <v>-1617</v>
      </c>
      <c r="F88" s="89">
        <f t="shared" si="4"/>
        <v>-1607.5</v>
      </c>
      <c r="G88" s="400">
        <f t="shared" si="5"/>
        <v>3.4019400052272422E-3</v>
      </c>
      <c r="H88" s="89">
        <f t="shared" si="3"/>
        <v>1650.8832399166604</v>
      </c>
    </row>
    <row r="89" spans="1:8" x14ac:dyDescent="0.25">
      <c r="A89" s="399">
        <v>235</v>
      </c>
      <c r="B89" s="399" t="s">
        <v>351</v>
      </c>
      <c r="C89" s="399">
        <v>33</v>
      </c>
      <c r="D89" s="89">
        <v>-744</v>
      </c>
      <c r="E89" s="89">
        <v>-750</v>
      </c>
      <c r="F89" s="89">
        <f t="shared" si="4"/>
        <v>-747</v>
      </c>
      <c r="G89" s="400">
        <f t="shared" si="5"/>
        <v>1.5808704098940901E-3</v>
      </c>
      <c r="H89" s="89">
        <f t="shared" si="3"/>
        <v>767.16004990217436</v>
      </c>
    </row>
    <row r="90" spans="1:8" x14ac:dyDescent="0.25">
      <c r="A90" s="399">
        <v>236</v>
      </c>
      <c r="B90" s="399" t="s">
        <v>350</v>
      </c>
      <c r="C90" s="399">
        <v>16</v>
      </c>
      <c r="D90" s="89">
        <v>-420</v>
      </c>
      <c r="E90" s="89">
        <v>-478</v>
      </c>
      <c r="F90" s="89">
        <f t="shared" si="4"/>
        <v>-449</v>
      </c>
      <c r="G90" s="400">
        <f t="shared" si="5"/>
        <v>9.5021527984263249E-4</v>
      </c>
      <c r="H90" s="89">
        <f t="shared" si="3"/>
        <v>461.11762035619319</v>
      </c>
    </row>
    <row r="91" spans="1:8" x14ac:dyDescent="0.25">
      <c r="A91" s="399">
        <v>239</v>
      </c>
      <c r="B91" s="399" t="s">
        <v>349</v>
      </c>
      <c r="C91" s="399">
        <v>11</v>
      </c>
      <c r="D91" s="89">
        <v>-268</v>
      </c>
      <c r="E91" s="89">
        <v>-259</v>
      </c>
      <c r="F91" s="89">
        <f t="shared" si="4"/>
        <v>-263.5</v>
      </c>
      <c r="G91" s="400">
        <f t="shared" si="5"/>
        <v>5.5764304284751376E-4</v>
      </c>
      <c r="H91" s="89">
        <f t="shared" si="3"/>
        <v>270.61134290391294</v>
      </c>
    </row>
    <row r="92" spans="1:8" x14ac:dyDescent="0.25">
      <c r="A92" s="399">
        <v>240</v>
      </c>
      <c r="B92" s="399" t="s">
        <v>348</v>
      </c>
      <c r="C92" s="399">
        <v>19</v>
      </c>
      <c r="D92" s="89">
        <v>-2380</v>
      </c>
      <c r="E92" s="89">
        <v>-2383</v>
      </c>
      <c r="F92" s="89">
        <f t="shared" si="4"/>
        <v>-2381.5</v>
      </c>
      <c r="G92" s="400">
        <f t="shared" si="5"/>
        <v>5.0399503094548537E-3</v>
      </c>
      <c r="H92" s="89">
        <f t="shared" si="3"/>
        <v>2445.7719663213229</v>
      </c>
    </row>
    <row r="93" spans="1:8" x14ac:dyDescent="0.25">
      <c r="A93" s="399">
        <v>241</v>
      </c>
      <c r="B93" s="399" t="s">
        <v>347</v>
      </c>
      <c r="C93" s="399">
        <v>19</v>
      </c>
      <c r="D93" s="89">
        <v>-550</v>
      </c>
      <c r="E93" s="89">
        <v>-570</v>
      </c>
      <c r="F93" s="89">
        <f t="shared" si="4"/>
        <v>-560</v>
      </c>
      <c r="G93" s="400">
        <f t="shared" si="5"/>
        <v>1.1851237343248869E-3</v>
      </c>
      <c r="H93" s="89">
        <f t="shared" si="3"/>
        <v>575.11329042197815</v>
      </c>
    </row>
    <row r="94" spans="1:8" x14ac:dyDescent="0.25">
      <c r="A94" s="399">
        <v>244</v>
      </c>
      <c r="B94" s="399" t="s">
        <v>346</v>
      </c>
      <c r="C94" s="399">
        <v>17</v>
      </c>
      <c r="D94" s="89">
        <v>-1312</v>
      </c>
      <c r="E94" s="89">
        <v>-1326</v>
      </c>
      <c r="F94" s="89">
        <f t="shared" si="4"/>
        <v>-1319</v>
      </c>
      <c r="G94" s="400">
        <f t="shared" si="5"/>
        <v>2.7913896528116533E-3</v>
      </c>
      <c r="H94" s="89">
        <f t="shared" si="3"/>
        <v>1354.5971965474807</v>
      </c>
    </row>
    <row r="95" spans="1:8" x14ac:dyDescent="0.25">
      <c r="A95" s="399">
        <v>245</v>
      </c>
      <c r="B95" s="399" t="s">
        <v>345</v>
      </c>
      <c r="C95" s="399">
        <v>32</v>
      </c>
      <c r="D95" s="89">
        <v>-2842</v>
      </c>
      <c r="E95" s="89">
        <v>-2811</v>
      </c>
      <c r="F95" s="89">
        <f t="shared" si="4"/>
        <v>-2826.5</v>
      </c>
      <c r="G95" s="400">
        <f t="shared" si="5"/>
        <v>5.9817004197665943E-3</v>
      </c>
      <c r="H95" s="89">
        <f t="shared" si="3"/>
        <v>2902.7816346030736</v>
      </c>
    </row>
    <row r="96" spans="1:8" x14ac:dyDescent="0.25">
      <c r="A96" s="399">
        <v>249</v>
      </c>
      <c r="B96" s="399" t="s">
        <v>344</v>
      </c>
      <c r="C96" s="399">
        <v>13</v>
      </c>
      <c r="D96" s="89">
        <v>-945</v>
      </c>
      <c r="E96" s="89">
        <v>-911</v>
      </c>
      <c r="F96" s="89">
        <f t="shared" si="4"/>
        <v>-928</v>
      </c>
      <c r="G96" s="400">
        <f t="shared" si="5"/>
        <v>1.9639193311669556E-3</v>
      </c>
      <c r="H96" s="89">
        <f t="shared" si="3"/>
        <v>953.0448812707067</v>
      </c>
    </row>
    <row r="97" spans="1:8" x14ac:dyDescent="0.25">
      <c r="A97" s="399">
        <v>250</v>
      </c>
      <c r="B97" s="399" t="s">
        <v>343</v>
      </c>
      <c r="C97" s="399">
        <v>6</v>
      </c>
      <c r="D97" s="89">
        <v>-157</v>
      </c>
      <c r="E97" s="89">
        <v>-157</v>
      </c>
      <c r="F97" s="89">
        <f t="shared" si="4"/>
        <v>-157</v>
      </c>
      <c r="G97" s="400">
        <f t="shared" si="5"/>
        <v>3.3225790408751294E-4</v>
      </c>
      <c r="H97" s="89">
        <f t="shared" si="3"/>
        <v>161.23711892187603</v>
      </c>
    </row>
    <row r="98" spans="1:8" x14ac:dyDescent="0.25">
      <c r="A98" s="399">
        <v>256</v>
      </c>
      <c r="B98" s="399" t="s">
        <v>342</v>
      </c>
      <c r="C98" s="399">
        <v>13</v>
      </c>
      <c r="D98" s="89">
        <v>-158</v>
      </c>
      <c r="E98" s="89">
        <v>-143</v>
      </c>
      <c r="F98" s="89">
        <f t="shared" si="4"/>
        <v>-150.5</v>
      </c>
      <c r="G98" s="400">
        <f t="shared" si="5"/>
        <v>3.1850200359981334E-4</v>
      </c>
      <c r="H98" s="89">
        <f t="shared" si="3"/>
        <v>154.56169680090662</v>
      </c>
    </row>
    <row r="99" spans="1:8" x14ac:dyDescent="0.25">
      <c r="A99" s="399">
        <v>257</v>
      </c>
      <c r="B99" s="399" t="s">
        <v>341</v>
      </c>
      <c r="C99" s="399">
        <v>33</v>
      </c>
      <c r="D99" s="89">
        <v>-2789</v>
      </c>
      <c r="E99" s="89">
        <v>-2867</v>
      </c>
      <c r="F99" s="89">
        <f t="shared" si="4"/>
        <v>-2828</v>
      </c>
      <c r="G99" s="400">
        <f t="shared" si="5"/>
        <v>5.9848748583406783E-3</v>
      </c>
      <c r="H99" s="89">
        <f t="shared" si="3"/>
        <v>2904.3221166309895</v>
      </c>
    </row>
    <row r="100" spans="1:8" x14ac:dyDescent="0.25">
      <c r="A100" s="399">
        <v>260</v>
      </c>
      <c r="B100" s="399" t="s">
        <v>340</v>
      </c>
      <c r="C100" s="399">
        <v>12</v>
      </c>
      <c r="D100" s="89">
        <v>-892</v>
      </c>
      <c r="E100" s="89">
        <v>-931</v>
      </c>
      <c r="F100" s="89">
        <f t="shared" si="4"/>
        <v>-911.5</v>
      </c>
      <c r="G100" s="400">
        <f t="shared" si="5"/>
        <v>1.9290005068520256E-3</v>
      </c>
      <c r="H100" s="89">
        <f t="shared" si="3"/>
        <v>936.09957896363039</v>
      </c>
    </row>
    <row r="101" spans="1:8" x14ac:dyDescent="0.25">
      <c r="A101" s="399">
        <v>261</v>
      </c>
      <c r="B101" s="399" t="s">
        <v>339</v>
      </c>
      <c r="C101" s="399">
        <v>19</v>
      </c>
      <c r="D101" s="89">
        <v>-950</v>
      </c>
      <c r="E101" s="89">
        <v>-984</v>
      </c>
      <c r="F101" s="89">
        <f t="shared" si="4"/>
        <v>-967</v>
      </c>
      <c r="G101" s="400">
        <f t="shared" si="5"/>
        <v>2.0464547340931527E-3</v>
      </c>
      <c r="H101" s="89">
        <f t="shared" si="3"/>
        <v>993.09741399652285</v>
      </c>
    </row>
    <row r="102" spans="1:8" x14ac:dyDescent="0.25">
      <c r="A102" s="399">
        <v>263</v>
      </c>
      <c r="B102" s="399" t="s">
        <v>338</v>
      </c>
      <c r="C102" s="399">
        <v>11</v>
      </c>
      <c r="D102" s="89">
        <v>-871</v>
      </c>
      <c r="E102" s="89">
        <v>-918</v>
      </c>
      <c r="F102" s="89">
        <f t="shared" si="4"/>
        <v>-894.5</v>
      </c>
      <c r="G102" s="400">
        <f t="shared" si="5"/>
        <v>1.8930235363457345E-3</v>
      </c>
      <c r="H102" s="89">
        <f t="shared" si="3"/>
        <v>918.64078264724901</v>
      </c>
    </row>
    <row r="103" spans="1:8" x14ac:dyDescent="0.25">
      <c r="A103" s="399">
        <v>265</v>
      </c>
      <c r="B103" s="399" t="s">
        <v>337</v>
      </c>
      <c r="C103" s="399">
        <v>13</v>
      </c>
      <c r="D103" s="89">
        <v>-104</v>
      </c>
      <c r="E103" s="89">
        <v>-108</v>
      </c>
      <c r="F103" s="89">
        <f t="shared" si="4"/>
        <v>-106</v>
      </c>
      <c r="G103" s="400">
        <f t="shared" si="5"/>
        <v>2.2432699256863929E-4</v>
      </c>
      <c r="H103" s="89">
        <f t="shared" si="3"/>
        <v>108.86072997273158</v>
      </c>
    </row>
    <row r="104" spans="1:8" x14ac:dyDescent="0.25">
      <c r="A104" s="399">
        <v>271</v>
      </c>
      <c r="B104" s="399" t="s">
        <v>336</v>
      </c>
      <c r="C104" s="399">
        <v>4</v>
      </c>
      <c r="D104" s="89">
        <v>-682</v>
      </c>
      <c r="E104" s="89">
        <v>-689</v>
      </c>
      <c r="F104" s="89">
        <f t="shared" si="4"/>
        <v>-685.5</v>
      </c>
      <c r="G104" s="400">
        <f t="shared" si="5"/>
        <v>1.4507184283566248E-3</v>
      </c>
      <c r="H104" s="89">
        <f t="shared" si="3"/>
        <v>704.0002867576178</v>
      </c>
    </row>
    <row r="105" spans="1:8" x14ac:dyDescent="0.25">
      <c r="A105" s="399">
        <v>272</v>
      </c>
      <c r="B105" s="399" t="s">
        <v>335</v>
      </c>
      <c r="C105" s="399">
        <v>16</v>
      </c>
      <c r="D105" s="89">
        <v>-5069</v>
      </c>
      <c r="E105" s="89">
        <v>-6051</v>
      </c>
      <c r="F105" s="89">
        <f t="shared" si="4"/>
        <v>-5560</v>
      </c>
      <c r="G105" s="400">
        <f t="shared" si="5"/>
        <v>1.1766585647939948E-2</v>
      </c>
      <c r="H105" s="89">
        <f t="shared" si="3"/>
        <v>5710.0533834753542</v>
      </c>
    </row>
    <row r="106" spans="1:8" x14ac:dyDescent="0.25">
      <c r="A106" s="399">
        <v>273</v>
      </c>
      <c r="B106" s="399" t="s">
        <v>334</v>
      </c>
      <c r="C106" s="399">
        <v>19</v>
      </c>
      <c r="D106" s="89">
        <v>-523</v>
      </c>
      <c r="E106" s="89">
        <v>-531</v>
      </c>
      <c r="F106" s="89">
        <f t="shared" si="4"/>
        <v>-527</v>
      </c>
      <c r="G106" s="400">
        <f t="shared" si="5"/>
        <v>1.1152860856950275E-3</v>
      </c>
      <c r="H106" s="89">
        <f t="shared" si="3"/>
        <v>541.22268580782588</v>
      </c>
    </row>
    <row r="107" spans="1:8" x14ac:dyDescent="0.25">
      <c r="A107" s="399">
        <v>275</v>
      </c>
      <c r="B107" s="399" t="s">
        <v>333</v>
      </c>
      <c r="C107" s="399">
        <v>13</v>
      </c>
      <c r="D107" s="89">
        <v>-244</v>
      </c>
      <c r="E107" s="89">
        <v>-243</v>
      </c>
      <c r="F107" s="89">
        <f t="shared" si="4"/>
        <v>-243.5</v>
      </c>
      <c r="G107" s="400">
        <f t="shared" si="5"/>
        <v>5.1531719519305351E-4</v>
      </c>
      <c r="H107" s="89">
        <f t="shared" si="3"/>
        <v>250.07158253169942</v>
      </c>
    </row>
    <row r="108" spans="1:8" x14ac:dyDescent="0.25">
      <c r="A108" s="399">
        <v>276</v>
      </c>
      <c r="B108" s="399" t="s">
        <v>332</v>
      </c>
      <c r="C108" s="399">
        <v>12</v>
      </c>
      <c r="D108" s="89">
        <v>-1263</v>
      </c>
      <c r="E108" s="89">
        <v>-1478</v>
      </c>
      <c r="F108" s="89">
        <f t="shared" si="4"/>
        <v>-1370.5</v>
      </c>
      <c r="G108" s="400">
        <f t="shared" si="5"/>
        <v>2.9003787105218882E-3</v>
      </c>
      <c r="H108" s="89">
        <f t="shared" si="3"/>
        <v>1407.4870795059303</v>
      </c>
    </row>
    <row r="109" spans="1:8" x14ac:dyDescent="0.25">
      <c r="A109" s="399">
        <v>280</v>
      </c>
      <c r="B109" s="399" t="s">
        <v>331</v>
      </c>
      <c r="C109" s="399">
        <v>15</v>
      </c>
      <c r="D109" s="89">
        <v>-165</v>
      </c>
      <c r="E109" s="89">
        <v>-170</v>
      </c>
      <c r="F109" s="89">
        <f t="shared" si="4"/>
        <v>-167.5</v>
      </c>
      <c r="G109" s="400">
        <f t="shared" si="5"/>
        <v>3.5447897410610457E-4</v>
      </c>
      <c r="H109" s="89">
        <f t="shared" si="3"/>
        <v>172.02049311728811</v>
      </c>
    </row>
    <row r="110" spans="1:8" x14ac:dyDescent="0.25">
      <c r="A110" s="399">
        <v>284</v>
      </c>
      <c r="B110" s="399" t="s">
        <v>330</v>
      </c>
      <c r="C110" s="399">
        <v>2</v>
      </c>
      <c r="D110" s="89">
        <v>-171</v>
      </c>
      <c r="E110" s="89">
        <v>-173</v>
      </c>
      <c r="F110" s="89">
        <f t="shared" si="4"/>
        <v>-172</v>
      </c>
      <c r="G110" s="400">
        <f t="shared" si="5"/>
        <v>3.6400228982835808E-4</v>
      </c>
      <c r="H110" s="89">
        <f t="shared" si="3"/>
        <v>176.64193920103614</v>
      </c>
    </row>
    <row r="111" spans="1:8" x14ac:dyDescent="0.25">
      <c r="A111" s="399">
        <v>285</v>
      </c>
      <c r="B111" s="399" t="s">
        <v>329</v>
      </c>
      <c r="C111" s="399">
        <v>8</v>
      </c>
      <c r="D111" s="89">
        <v>-4602</v>
      </c>
      <c r="E111" s="89">
        <v>-4429</v>
      </c>
      <c r="F111" s="89">
        <f t="shared" si="4"/>
        <v>-4515.5</v>
      </c>
      <c r="G111" s="400">
        <f t="shared" si="5"/>
        <v>9.5561182541857616E-3</v>
      </c>
      <c r="H111" s="89">
        <f t="shared" si="3"/>
        <v>4637.3643980365041</v>
      </c>
    </row>
    <row r="112" spans="1:8" x14ac:dyDescent="0.25">
      <c r="A112" s="399">
        <v>286</v>
      </c>
      <c r="B112" s="399" t="s">
        <v>328</v>
      </c>
      <c r="C112" s="399">
        <v>8</v>
      </c>
      <c r="D112" s="89">
        <v>-7850</v>
      </c>
      <c r="E112" s="89">
        <v>-8557</v>
      </c>
      <c r="F112" s="89">
        <f t="shared" si="4"/>
        <v>-8203.5</v>
      </c>
      <c r="G112" s="400">
        <f t="shared" si="5"/>
        <v>1.7361004561668232E-2</v>
      </c>
      <c r="H112" s="89">
        <f t="shared" si="3"/>
        <v>8424.896210672674</v>
      </c>
    </row>
    <row r="113" spans="1:8" x14ac:dyDescent="0.25">
      <c r="A113" s="399">
        <v>287</v>
      </c>
      <c r="B113" s="399" t="s">
        <v>327</v>
      </c>
      <c r="C113" s="399">
        <v>15</v>
      </c>
      <c r="D113" s="89">
        <v>-498</v>
      </c>
      <c r="E113" s="89">
        <v>-490</v>
      </c>
      <c r="F113" s="89">
        <f t="shared" si="4"/>
        <v>-494</v>
      </c>
      <c r="G113" s="400">
        <f t="shared" si="5"/>
        <v>1.0454484370651679E-3</v>
      </c>
      <c r="H113" s="89">
        <f t="shared" si="3"/>
        <v>507.3320811936735</v>
      </c>
    </row>
    <row r="114" spans="1:8" x14ac:dyDescent="0.25">
      <c r="A114" s="399">
        <v>288</v>
      </c>
      <c r="B114" s="399" t="s">
        <v>326</v>
      </c>
      <c r="C114" s="399">
        <v>15</v>
      </c>
      <c r="D114" s="89">
        <v>-923</v>
      </c>
      <c r="E114" s="89">
        <v>-980</v>
      </c>
      <c r="F114" s="89">
        <f t="shared" si="4"/>
        <v>-951.5</v>
      </c>
      <c r="G114" s="400">
        <f t="shared" si="5"/>
        <v>2.0136522021609463E-3</v>
      </c>
      <c r="H114" s="89">
        <f t="shared" si="3"/>
        <v>977.17909970805749</v>
      </c>
    </row>
    <row r="115" spans="1:8" x14ac:dyDescent="0.25">
      <c r="A115" s="399">
        <v>290</v>
      </c>
      <c r="B115" s="399" t="s">
        <v>325</v>
      </c>
      <c r="C115" s="399">
        <v>18</v>
      </c>
      <c r="D115" s="89">
        <v>-1094</v>
      </c>
      <c r="E115" s="89">
        <v>-1183</v>
      </c>
      <c r="F115" s="89">
        <f t="shared" si="4"/>
        <v>-1138.5</v>
      </c>
      <c r="G115" s="400">
        <f t="shared" si="5"/>
        <v>2.4093988777301495E-3</v>
      </c>
      <c r="H115" s="89">
        <f t="shared" si="3"/>
        <v>1169.2258591882537</v>
      </c>
    </row>
    <row r="116" spans="1:8" x14ac:dyDescent="0.25">
      <c r="A116" s="399">
        <v>291</v>
      </c>
      <c r="B116" s="399" t="s">
        <v>324</v>
      </c>
      <c r="C116" s="399">
        <v>6</v>
      </c>
      <c r="D116" s="89">
        <v>-230</v>
      </c>
      <c r="E116" s="89">
        <v>-230</v>
      </c>
      <c r="F116" s="89">
        <f t="shared" si="4"/>
        <v>-230</v>
      </c>
      <c r="G116" s="400">
        <f t="shared" si="5"/>
        <v>4.867472480262928E-4</v>
      </c>
      <c r="H116" s="89">
        <f t="shared" si="3"/>
        <v>236.20724428045528</v>
      </c>
    </row>
    <row r="117" spans="1:8" x14ac:dyDescent="0.25">
      <c r="A117" s="399">
        <v>297</v>
      </c>
      <c r="B117" s="399" t="s">
        <v>323</v>
      </c>
      <c r="C117" s="399">
        <v>11</v>
      </c>
      <c r="D117" s="89">
        <v>-7785</v>
      </c>
      <c r="E117" s="89">
        <v>-9508</v>
      </c>
      <c r="F117" s="89">
        <f t="shared" si="4"/>
        <v>-8646.5</v>
      </c>
      <c r="G117" s="400">
        <f t="shared" si="5"/>
        <v>1.8298522087214525E-2</v>
      </c>
      <c r="H117" s="89">
        <f t="shared" si="3"/>
        <v>8879.8519029172021</v>
      </c>
    </row>
    <row r="118" spans="1:8" x14ac:dyDescent="0.25">
      <c r="A118" s="399">
        <v>300</v>
      </c>
      <c r="B118" s="399" t="s">
        <v>322</v>
      </c>
      <c r="C118" s="399">
        <v>14</v>
      </c>
      <c r="D118" s="89">
        <v>-356</v>
      </c>
      <c r="E118" s="89">
        <v>-356</v>
      </c>
      <c r="F118" s="89">
        <f t="shared" si="4"/>
        <v>-356</v>
      </c>
      <c r="G118" s="400">
        <f t="shared" si="5"/>
        <v>7.5340008824939238E-4</v>
      </c>
      <c r="H118" s="89">
        <f t="shared" si="3"/>
        <v>365.60773462540038</v>
      </c>
    </row>
    <row r="119" spans="1:8" x14ac:dyDescent="0.25">
      <c r="A119" s="399">
        <v>301</v>
      </c>
      <c r="B119" s="399" t="s">
        <v>321</v>
      </c>
      <c r="C119" s="399">
        <v>14</v>
      </c>
      <c r="D119" s="89">
        <v>-2097</v>
      </c>
      <c r="E119" s="89">
        <v>-2089</v>
      </c>
      <c r="F119" s="89">
        <f t="shared" si="4"/>
        <v>-2093</v>
      </c>
      <c r="G119" s="400">
        <f t="shared" si="5"/>
        <v>4.4293999570392643E-3</v>
      </c>
      <c r="H119" s="89">
        <f t="shared" si="3"/>
        <v>2149.485922952143</v>
      </c>
    </row>
    <row r="120" spans="1:8" x14ac:dyDescent="0.25">
      <c r="A120" s="399">
        <v>304</v>
      </c>
      <c r="B120" s="399" t="s">
        <v>320</v>
      </c>
      <c r="C120" s="399">
        <v>2</v>
      </c>
      <c r="D120" s="89">
        <v>-85</v>
      </c>
      <c r="E120" s="89">
        <v>-85</v>
      </c>
      <c r="F120" s="89">
        <f t="shared" si="4"/>
        <v>-85</v>
      </c>
      <c r="G120" s="400">
        <f t="shared" si="5"/>
        <v>1.7988485253145605E-4</v>
      </c>
      <c r="H120" s="89">
        <f t="shared" si="3"/>
        <v>87.293981581907403</v>
      </c>
    </row>
    <row r="121" spans="1:8" x14ac:dyDescent="0.25">
      <c r="A121" s="399">
        <v>305</v>
      </c>
      <c r="B121" s="399" t="s">
        <v>319</v>
      </c>
      <c r="C121" s="399">
        <v>17</v>
      </c>
      <c r="D121" s="89">
        <v>-1140</v>
      </c>
      <c r="E121" s="89">
        <v>-1160</v>
      </c>
      <c r="F121" s="89">
        <f t="shared" si="4"/>
        <v>-1150</v>
      </c>
      <c r="G121" s="400">
        <f t="shared" si="5"/>
        <v>2.4337362401314639E-3</v>
      </c>
      <c r="H121" s="89">
        <f t="shared" si="3"/>
        <v>1181.0362214022764</v>
      </c>
    </row>
    <row r="122" spans="1:8" x14ac:dyDescent="0.25">
      <c r="A122" s="399">
        <v>309</v>
      </c>
      <c r="B122" s="399" t="s">
        <v>318</v>
      </c>
      <c r="C122" s="399">
        <v>12</v>
      </c>
      <c r="D122" s="89">
        <v>-570</v>
      </c>
      <c r="E122" s="89">
        <v>-609</v>
      </c>
      <c r="F122" s="89">
        <f t="shared" si="4"/>
        <v>-589.5</v>
      </c>
      <c r="G122" s="400">
        <f t="shared" si="5"/>
        <v>1.2475543596152158E-3</v>
      </c>
      <c r="H122" s="89">
        <f t="shared" si="3"/>
        <v>605.40943697099306</v>
      </c>
    </row>
    <row r="123" spans="1:8" x14ac:dyDescent="0.25">
      <c r="A123" s="399">
        <v>312</v>
      </c>
      <c r="B123" s="399" t="s">
        <v>317</v>
      </c>
      <c r="C123" s="399">
        <v>13</v>
      </c>
      <c r="D123" s="89">
        <v>-122</v>
      </c>
      <c r="E123" s="89">
        <v>-123</v>
      </c>
      <c r="F123" s="89">
        <f t="shared" si="4"/>
        <v>-122.5</v>
      </c>
      <c r="G123" s="400">
        <f t="shared" si="5"/>
        <v>2.59245816883569E-4</v>
      </c>
      <c r="H123" s="89">
        <f t="shared" si="3"/>
        <v>125.80603227980771</v>
      </c>
    </row>
    <row r="124" spans="1:8" x14ac:dyDescent="0.25">
      <c r="A124" s="399">
        <v>316</v>
      </c>
      <c r="B124" s="399" t="s">
        <v>316</v>
      </c>
      <c r="C124" s="399">
        <v>7</v>
      </c>
      <c r="D124" s="89">
        <v>-437</v>
      </c>
      <c r="E124" s="89">
        <v>-445</v>
      </c>
      <c r="F124" s="89">
        <f t="shared" si="4"/>
        <v>-441</v>
      </c>
      <c r="G124" s="400">
        <f t="shared" si="5"/>
        <v>9.3328494078084845E-4</v>
      </c>
      <c r="H124" s="89">
        <f t="shared" si="3"/>
        <v>452.9017162073078</v>
      </c>
    </row>
    <row r="125" spans="1:8" x14ac:dyDescent="0.25">
      <c r="A125" s="399">
        <v>317</v>
      </c>
      <c r="B125" s="399" t="s">
        <v>315</v>
      </c>
      <c r="C125" s="399">
        <v>17</v>
      </c>
      <c r="D125" s="89">
        <v>-253</v>
      </c>
      <c r="E125" s="89">
        <v>-312</v>
      </c>
      <c r="F125" s="89">
        <f t="shared" si="4"/>
        <v>-282.5</v>
      </c>
      <c r="G125" s="400">
        <f t="shared" si="5"/>
        <v>5.9785259811925091E-4</v>
      </c>
      <c r="H125" s="89">
        <f t="shared" si="3"/>
        <v>290.12411525751571</v>
      </c>
    </row>
    <row r="126" spans="1:8" x14ac:dyDescent="0.25">
      <c r="A126" s="399">
        <v>320</v>
      </c>
      <c r="B126" s="399" t="s">
        <v>314</v>
      </c>
      <c r="C126" s="399">
        <v>19</v>
      </c>
      <c r="D126" s="89">
        <v>-786</v>
      </c>
      <c r="E126" s="89">
        <v>-795</v>
      </c>
      <c r="F126" s="89">
        <f t="shared" si="4"/>
        <v>-790.5</v>
      </c>
      <c r="G126" s="400">
        <f t="shared" si="5"/>
        <v>1.6729291285425413E-3</v>
      </c>
      <c r="H126" s="89">
        <f t="shared" si="3"/>
        <v>811.83402871173882</v>
      </c>
    </row>
    <row r="127" spans="1:8" x14ac:dyDescent="0.25">
      <c r="A127" s="399">
        <v>322</v>
      </c>
      <c r="B127" s="399" t="s">
        <v>313</v>
      </c>
      <c r="C127" s="399">
        <v>2</v>
      </c>
      <c r="D127" s="89">
        <v>-500</v>
      </c>
      <c r="E127" s="89">
        <v>-526</v>
      </c>
      <c r="F127" s="89">
        <f t="shared" si="4"/>
        <v>-513</v>
      </c>
      <c r="G127" s="400">
        <f t="shared" si="5"/>
        <v>1.0856579923369052E-3</v>
      </c>
      <c r="H127" s="89">
        <f t="shared" si="3"/>
        <v>526.84485354727633</v>
      </c>
    </row>
    <row r="128" spans="1:8" x14ac:dyDescent="0.25">
      <c r="A128" s="399">
        <v>398</v>
      </c>
      <c r="B128" s="399" t="s">
        <v>312</v>
      </c>
      <c r="C128" s="399">
        <v>7</v>
      </c>
      <c r="D128" s="89">
        <v>-11269</v>
      </c>
      <c r="E128" s="89">
        <v>-11520</v>
      </c>
      <c r="F128" s="89">
        <f t="shared" si="4"/>
        <v>-11394.5</v>
      </c>
      <c r="G128" s="400">
        <f t="shared" si="5"/>
        <v>2.4114093554937363E-2</v>
      </c>
      <c r="H128" s="89">
        <f t="shared" si="3"/>
        <v>11702.014978059338</v>
      </c>
    </row>
    <row r="129" spans="1:8" x14ac:dyDescent="0.25">
      <c r="A129" s="399">
        <v>399</v>
      </c>
      <c r="B129" s="399" t="s">
        <v>311</v>
      </c>
      <c r="C129" s="399">
        <v>15</v>
      </c>
      <c r="D129" s="89">
        <v>-626</v>
      </c>
      <c r="E129" s="89">
        <v>-619</v>
      </c>
      <c r="F129" s="89">
        <f t="shared" si="4"/>
        <v>-622.5</v>
      </c>
      <c r="G129" s="400">
        <f t="shared" si="5"/>
        <v>1.3173920082450751E-3</v>
      </c>
      <c r="H129" s="89">
        <f t="shared" si="3"/>
        <v>639.30004158514532</v>
      </c>
    </row>
    <row r="130" spans="1:8" x14ac:dyDescent="0.25">
      <c r="A130" s="399">
        <v>400</v>
      </c>
      <c r="B130" s="399" t="s">
        <v>310</v>
      </c>
      <c r="C130" s="399">
        <v>2</v>
      </c>
      <c r="D130" s="89">
        <v>-785</v>
      </c>
      <c r="E130" s="89">
        <v>-793</v>
      </c>
      <c r="F130" s="89">
        <f t="shared" si="4"/>
        <v>-789</v>
      </c>
      <c r="G130" s="400">
        <f t="shared" si="5"/>
        <v>1.6697546899684566E-3</v>
      </c>
      <c r="H130" s="89">
        <f t="shared" si="3"/>
        <v>810.29354668382268</v>
      </c>
    </row>
    <row r="131" spans="1:8" x14ac:dyDescent="0.25">
      <c r="A131" s="399">
        <v>402</v>
      </c>
      <c r="B131" s="399" t="s">
        <v>309</v>
      </c>
      <c r="C131" s="399">
        <v>11</v>
      </c>
      <c r="D131" s="89">
        <v>-718</v>
      </c>
      <c r="E131" s="89">
        <v>-738</v>
      </c>
      <c r="F131" s="89">
        <f t="shared" si="4"/>
        <v>-728</v>
      </c>
      <c r="G131" s="400">
        <f t="shared" si="5"/>
        <v>1.5406608546223528E-3</v>
      </c>
      <c r="H131" s="89">
        <f t="shared" si="3"/>
        <v>747.64727754857154</v>
      </c>
    </row>
    <row r="132" spans="1:8" x14ac:dyDescent="0.25">
      <c r="A132" s="399">
        <v>403</v>
      </c>
      <c r="B132" s="399" t="s">
        <v>308</v>
      </c>
      <c r="C132" s="399">
        <v>14</v>
      </c>
      <c r="D132" s="89">
        <v>-301</v>
      </c>
      <c r="E132" s="89">
        <v>-301</v>
      </c>
      <c r="F132" s="89">
        <f t="shared" si="4"/>
        <v>-301</v>
      </c>
      <c r="G132" s="400">
        <f t="shared" si="5"/>
        <v>6.3700400719962668E-4</v>
      </c>
      <c r="H132" s="89">
        <f t="shared" si="3"/>
        <v>309.12339360181323</v>
      </c>
    </row>
    <row r="133" spans="1:8" x14ac:dyDescent="0.25">
      <c r="A133" s="399">
        <v>405</v>
      </c>
      <c r="B133" s="399" t="s">
        <v>307</v>
      </c>
      <c r="C133" s="399">
        <v>9</v>
      </c>
      <c r="D133" s="89">
        <v>-7563</v>
      </c>
      <c r="E133" s="89">
        <v>-7803</v>
      </c>
      <c r="F133" s="89">
        <f t="shared" si="4"/>
        <v>-7683</v>
      </c>
      <c r="G133" s="400">
        <f t="shared" si="5"/>
        <v>1.6259474376460904E-2</v>
      </c>
      <c r="H133" s="89">
        <f t="shared" si="3"/>
        <v>7890.3489469858177</v>
      </c>
    </row>
    <row r="134" spans="1:8" x14ac:dyDescent="0.25">
      <c r="A134" s="399">
        <v>407</v>
      </c>
      <c r="B134" s="399" t="s">
        <v>306</v>
      </c>
      <c r="C134" s="399">
        <v>34</v>
      </c>
      <c r="D134" s="89">
        <v>-307</v>
      </c>
      <c r="E134" s="89">
        <v>-318</v>
      </c>
      <c r="F134" s="89">
        <f t="shared" si="4"/>
        <v>-312.5</v>
      </c>
      <c r="G134" s="400">
        <f t="shared" si="5"/>
        <v>6.6134136960094129E-4</v>
      </c>
      <c r="H134" s="89">
        <f t="shared" si="3"/>
        <v>320.93375581583598</v>
      </c>
    </row>
    <row r="135" spans="1:8" x14ac:dyDescent="0.25">
      <c r="A135" s="399">
        <v>408</v>
      </c>
      <c r="B135" s="399" t="s">
        <v>305</v>
      </c>
      <c r="C135" s="399">
        <v>14</v>
      </c>
      <c r="D135" s="89">
        <v>-1414</v>
      </c>
      <c r="E135" s="89">
        <v>-1426</v>
      </c>
      <c r="F135" s="89">
        <f t="shared" si="4"/>
        <v>-1420</v>
      </c>
      <c r="G135" s="400">
        <f t="shared" si="5"/>
        <v>3.0051351834666775E-3</v>
      </c>
      <c r="H135" s="89">
        <f t="shared" si="3"/>
        <v>1458.3229864271589</v>
      </c>
    </row>
    <row r="136" spans="1:8" x14ac:dyDescent="0.25">
      <c r="A136" s="399">
        <v>410</v>
      </c>
      <c r="B136" s="399" t="s">
        <v>304</v>
      </c>
      <c r="C136" s="399">
        <v>13</v>
      </c>
      <c r="D136" s="89">
        <v>-1762</v>
      </c>
      <c r="E136" s="89">
        <v>-1799</v>
      </c>
      <c r="F136" s="89">
        <f t="shared" si="4"/>
        <v>-1780.5</v>
      </c>
      <c r="G136" s="400">
        <f t="shared" si="5"/>
        <v>3.7680585874383232E-3</v>
      </c>
      <c r="H136" s="89">
        <f t="shared" si="3"/>
        <v>1828.5521671363072</v>
      </c>
    </row>
    <row r="137" spans="1:8" x14ac:dyDescent="0.25">
      <c r="A137" s="399">
        <v>416</v>
      </c>
      <c r="B137" s="399" t="s">
        <v>303</v>
      </c>
      <c r="C137" s="399">
        <v>9</v>
      </c>
      <c r="D137" s="89">
        <v>-319</v>
      </c>
      <c r="E137" s="89">
        <v>-317</v>
      </c>
      <c r="F137" s="89">
        <f t="shared" si="4"/>
        <v>-318</v>
      </c>
      <c r="G137" s="400">
        <f t="shared" si="5"/>
        <v>6.7298097770591785E-4</v>
      </c>
      <c r="H137" s="89">
        <f t="shared" si="3"/>
        <v>326.58218991819467</v>
      </c>
    </row>
    <row r="138" spans="1:8" x14ac:dyDescent="0.25">
      <c r="A138" s="399">
        <v>418</v>
      </c>
      <c r="B138" s="399" t="s">
        <v>302</v>
      </c>
      <c r="C138" s="399">
        <v>6</v>
      </c>
      <c r="D138" s="89">
        <v>-1885</v>
      </c>
      <c r="E138" s="89">
        <v>-1961</v>
      </c>
      <c r="F138" s="89">
        <f t="shared" si="4"/>
        <v>-1923</v>
      </c>
      <c r="G138" s="400">
        <f t="shared" si="5"/>
        <v>4.0696302519763524E-3</v>
      </c>
      <c r="H138" s="89">
        <f t="shared" si="3"/>
        <v>1974.8979597883283</v>
      </c>
    </row>
    <row r="139" spans="1:8" x14ac:dyDescent="0.25">
      <c r="A139" s="399">
        <v>420</v>
      </c>
      <c r="B139" s="399" t="s">
        <v>301</v>
      </c>
      <c r="C139" s="399">
        <v>11</v>
      </c>
      <c r="D139" s="89">
        <v>-657</v>
      </c>
      <c r="E139" s="89">
        <v>-705</v>
      </c>
      <c r="F139" s="89">
        <f t="shared" si="4"/>
        <v>-681</v>
      </c>
      <c r="G139" s="400">
        <f t="shared" si="5"/>
        <v>1.4411951126343714E-3</v>
      </c>
      <c r="H139" s="89">
        <f t="shared" si="3"/>
        <v>699.37884067386983</v>
      </c>
    </row>
    <row r="140" spans="1:8" x14ac:dyDescent="0.25">
      <c r="A140" s="399">
        <v>421</v>
      </c>
      <c r="B140" s="399" t="s">
        <v>300</v>
      </c>
      <c r="C140" s="399">
        <v>16</v>
      </c>
      <c r="D140" s="89">
        <v>-158</v>
      </c>
      <c r="E140" s="89">
        <v>-219</v>
      </c>
      <c r="F140" s="89">
        <f t="shared" si="4"/>
        <v>-188.5</v>
      </c>
      <c r="G140" s="400">
        <f t="shared" si="5"/>
        <v>3.9892111414328781E-4</v>
      </c>
      <c r="H140" s="89">
        <f t="shared" si="3"/>
        <v>193.58724150811227</v>
      </c>
    </row>
    <row r="141" spans="1:8" x14ac:dyDescent="0.25">
      <c r="A141" s="399">
        <v>422</v>
      </c>
      <c r="B141" s="399" t="s">
        <v>299</v>
      </c>
      <c r="C141" s="399">
        <v>12</v>
      </c>
      <c r="D141" s="89">
        <v>-1073</v>
      </c>
      <c r="E141" s="89">
        <v>-1142</v>
      </c>
      <c r="F141" s="89">
        <f t="shared" si="4"/>
        <v>-1107.5</v>
      </c>
      <c r="G141" s="400">
        <f t="shared" si="5"/>
        <v>2.3437938138657359E-3</v>
      </c>
      <c r="H141" s="89">
        <f t="shared" ref="H141:H204" si="6">(G141*E$12)*(-1)</f>
        <v>1137.3892306113228</v>
      </c>
    </row>
    <row r="142" spans="1:8" x14ac:dyDescent="0.25">
      <c r="A142" s="399">
        <v>423</v>
      </c>
      <c r="B142" s="399" t="s">
        <v>298</v>
      </c>
      <c r="C142" s="399">
        <v>2</v>
      </c>
      <c r="D142" s="89">
        <v>-1499</v>
      </c>
      <c r="E142" s="89">
        <v>-1528</v>
      </c>
      <c r="F142" s="89">
        <f t="shared" ref="F142:F205" si="7">(D142+E142)/2</f>
        <v>-1513.5</v>
      </c>
      <c r="G142" s="400">
        <f t="shared" ref="G142:G205" si="8">F142/F$12</f>
        <v>3.2030085212512789E-3</v>
      </c>
      <c r="H142" s="89">
        <f t="shared" si="6"/>
        <v>1554.346366167257</v>
      </c>
    </row>
    <row r="143" spans="1:8" x14ac:dyDescent="0.25">
      <c r="A143" s="399">
        <v>425</v>
      </c>
      <c r="B143" s="399" t="s">
        <v>297</v>
      </c>
      <c r="C143" s="399">
        <v>17</v>
      </c>
      <c r="D143" s="89">
        <v>-709</v>
      </c>
      <c r="E143" s="89">
        <v>-721</v>
      </c>
      <c r="F143" s="89">
        <f t="shared" si="7"/>
        <v>-715</v>
      </c>
      <c r="G143" s="400">
        <f t="shared" si="8"/>
        <v>1.5131490536469537E-3</v>
      </c>
      <c r="H143" s="89">
        <f t="shared" si="6"/>
        <v>734.29643330663271</v>
      </c>
    </row>
    <row r="144" spans="1:8" x14ac:dyDescent="0.25">
      <c r="A144" s="399">
        <v>426</v>
      </c>
      <c r="B144" s="399" t="s">
        <v>296</v>
      </c>
      <c r="C144" s="399">
        <v>12</v>
      </c>
      <c r="D144" s="89">
        <v>-1030</v>
      </c>
      <c r="E144" s="89">
        <v>-1130</v>
      </c>
      <c r="F144" s="89">
        <f t="shared" si="7"/>
        <v>-1080</v>
      </c>
      <c r="G144" s="400">
        <f t="shared" si="8"/>
        <v>2.2855957733408532E-3</v>
      </c>
      <c r="H144" s="89">
        <f t="shared" si="6"/>
        <v>1109.1470600995292</v>
      </c>
    </row>
    <row r="145" spans="1:8" x14ac:dyDescent="0.25">
      <c r="A145" s="399">
        <v>430</v>
      </c>
      <c r="B145" s="399" t="s">
        <v>295</v>
      </c>
      <c r="C145" s="399">
        <v>2</v>
      </c>
      <c r="D145" s="89">
        <v>-1207</v>
      </c>
      <c r="E145" s="89">
        <v>-1222</v>
      </c>
      <c r="F145" s="89">
        <f t="shared" si="7"/>
        <v>-1214.5</v>
      </c>
      <c r="G145" s="400">
        <f t="shared" si="8"/>
        <v>2.5702370988170986E-3</v>
      </c>
      <c r="H145" s="89">
        <f t="shared" si="6"/>
        <v>1247.2769486026652</v>
      </c>
    </row>
    <row r="146" spans="1:8" x14ac:dyDescent="0.25">
      <c r="A146" s="399">
        <v>433</v>
      </c>
      <c r="B146" s="399" t="s">
        <v>294</v>
      </c>
      <c r="C146" s="399">
        <v>5</v>
      </c>
      <c r="D146" s="89">
        <v>-495</v>
      </c>
      <c r="E146" s="89">
        <v>-516</v>
      </c>
      <c r="F146" s="89">
        <f t="shared" si="7"/>
        <v>-505.5</v>
      </c>
      <c r="G146" s="400">
        <f t="shared" si="8"/>
        <v>1.0697857994664828E-3</v>
      </c>
      <c r="H146" s="89">
        <f t="shared" si="6"/>
        <v>519.14244340769642</v>
      </c>
    </row>
    <row r="147" spans="1:8" x14ac:dyDescent="0.25">
      <c r="A147" s="399">
        <v>434</v>
      </c>
      <c r="B147" s="399" t="s">
        <v>293</v>
      </c>
      <c r="C147" s="399">
        <v>34</v>
      </c>
      <c r="D147" s="89">
        <v>-2279</v>
      </c>
      <c r="E147" s="89">
        <v>-2425</v>
      </c>
      <c r="F147" s="89">
        <f t="shared" si="7"/>
        <v>-2352</v>
      </c>
      <c r="G147" s="400">
        <f t="shared" si="8"/>
        <v>4.9775196841645251E-3</v>
      </c>
      <c r="H147" s="89">
        <f t="shared" si="6"/>
        <v>2415.4758197723081</v>
      </c>
    </row>
    <row r="148" spans="1:8" x14ac:dyDescent="0.25">
      <c r="A148" s="399">
        <v>435</v>
      </c>
      <c r="B148" s="399" t="s">
        <v>292</v>
      </c>
      <c r="C148" s="399">
        <v>13</v>
      </c>
      <c r="D148" s="89">
        <v>-63</v>
      </c>
      <c r="E148" s="89">
        <v>-67</v>
      </c>
      <c r="F148" s="89">
        <f t="shared" si="7"/>
        <v>-65</v>
      </c>
      <c r="G148" s="400">
        <f t="shared" si="8"/>
        <v>1.375590048769958E-4</v>
      </c>
      <c r="H148" s="89">
        <f t="shared" si="6"/>
        <v>66.754221209693895</v>
      </c>
    </row>
    <row r="149" spans="1:8" x14ac:dyDescent="0.25">
      <c r="A149" s="399">
        <v>436</v>
      </c>
      <c r="B149" s="399" t="s">
        <v>291</v>
      </c>
      <c r="C149" s="399">
        <v>17</v>
      </c>
      <c r="D149" s="89">
        <v>-139</v>
      </c>
      <c r="E149" s="89">
        <v>-141</v>
      </c>
      <c r="F149" s="89">
        <f t="shared" si="7"/>
        <v>-140</v>
      </c>
      <c r="G149" s="400">
        <f t="shared" si="8"/>
        <v>2.9628093358122172E-4</v>
      </c>
      <c r="H149" s="89">
        <f t="shared" si="6"/>
        <v>143.77832260549454</v>
      </c>
    </row>
    <row r="150" spans="1:8" x14ac:dyDescent="0.25">
      <c r="A150" s="399">
        <v>440</v>
      </c>
      <c r="B150" s="399" t="s">
        <v>290</v>
      </c>
      <c r="C150" s="399">
        <v>15</v>
      </c>
      <c r="D150" s="89">
        <v>-391</v>
      </c>
      <c r="E150" s="89">
        <v>-405</v>
      </c>
      <c r="F150" s="89">
        <f t="shared" si="7"/>
        <v>-398</v>
      </c>
      <c r="G150" s="400">
        <f t="shared" si="8"/>
        <v>8.4228436832375886E-4</v>
      </c>
      <c r="H150" s="89">
        <f t="shared" si="6"/>
        <v>408.74123140704876</v>
      </c>
    </row>
    <row r="151" spans="1:8" x14ac:dyDescent="0.25">
      <c r="A151" s="399">
        <v>441</v>
      </c>
      <c r="B151" s="399" t="s">
        <v>289</v>
      </c>
      <c r="C151" s="399">
        <v>9</v>
      </c>
      <c r="D151" s="89">
        <v>-541</v>
      </c>
      <c r="E151" s="89">
        <v>-549</v>
      </c>
      <c r="F151" s="89">
        <f t="shared" si="7"/>
        <v>-545</v>
      </c>
      <c r="G151" s="400">
        <f t="shared" si="8"/>
        <v>1.1533793485840416E-3</v>
      </c>
      <c r="H151" s="89">
        <f t="shared" si="6"/>
        <v>559.70847014281799</v>
      </c>
    </row>
    <row r="152" spans="1:8" x14ac:dyDescent="0.25">
      <c r="A152" s="399">
        <v>444</v>
      </c>
      <c r="B152" s="399" t="s">
        <v>288</v>
      </c>
      <c r="C152" s="399">
        <v>33</v>
      </c>
      <c r="D152" s="89">
        <v>-3059</v>
      </c>
      <c r="E152" s="89">
        <v>-3213</v>
      </c>
      <c r="F152" s="89">
        <f t="shared" si="7"/>
        <v>-3136</v>
      </c>
      <c r="G152" s="400">
        <f t="shared" si="8"/>
        <v>6.6366929122193665E-3</v>
      </c>
      <c r="H152" s="89">
        <f t="shared" si="6"/>
        <v>3220.6344263630776</v>
      </c>
    </row>
    <row r="153" spans="1:8" x14ac:dyDescent="0.25">
      <c r="A153" s="399">
        <v>445</v>
      </c>
      <c r="B153" s="399" t="s">
        <v>287</v>
      </c>
      <c r="C153" s="399">
        <v>2</v>
      </c>
      <c r="D153" s="89">
        <v>-1351</v>
      </c>
      <c r="E153" s="89">
        <v>-1391</v>
      </c>
      <c r="F153" s="89">
        <f t="shared" si="7"/>
        <v>-1371</v>
      </c>
      <c r="G153" s="400">
        <f t="shared" si="8"/>
        <v>2.9014368567132497E-3</v>
      </c>
      <c r="H153" s="89">
        <f t="shared" si="6"/>
        <v>1408.0005735152356</v>
      </c>
    </row>
    <row r="154" spans="1:8" x14ac:dyDescent="0.25">
      <c r="A154" s="399">
        <v>475</v>
      </c>
      <c r="B154" s="399" t="s">
        <v>286</v>
      </c>
      <c r="C154" s="399">
        <v>15</v>
      </c>
      <c r="D154" s="89">
        <v>-419</v>
      </c>
      <c r="E154" s="89">
        <v>-429</v>
      </c>
      <c r="F154" s="89">
        <f t="shared" si="7"/>
        <v>-424</v>
      </c>
      <c r="G154" s="400">
        <f t="shared" si="8"/>
        <v>8.9730797027455717E-4</v>
      </c>
      <c r="H154" s="89">
        <f t="shared" si="6"/>
        <v>435.44291989092631</v>
      </c>
    </row>
    <row r="155" spans="1:8" x14ac:dyDescent="0.25">
      <c r="A155" s="399">
        <v>480</v>
      </c>
      <c r="B155" s="399" t="s">
        <v>285</v>
      </c>
      <c r="C155" s="399">
        <v>2</v>
      </c>
      <c r="D155" s="89">
        <v>-153</v>
      </c>
      <c r="E155" s="89">
        <v>-156</v>
      </c>
      <c r="F155" s="89">
        <f t="shared" si="7"/>
        <v>-154.5</v>
      </c>
      <c r="G155" s="400">
        <f t="shared" si="8"/>
        <v>3.2696717313070541E-4</v>
      </c>
      <c r="H155" s="89">
        <f t="shared" si="6"/>
        <v>158.66964887534934</v>
      </c>
    </row>
    <row r="156" spans="1:8" x14ac:dyDescent="0.25">
      <c r="A156" s="399">
        <v>481</v>
      </c>
      <c r="B156" s="399" t="s">
        <v>284</v>
      </c>
      <c r="C156" s="399">
        <v>2</v>
      </c>
      <c r="D156" s="89">
        <v>-715</v>
      </c>
      <c r="E156" s="89">
        <v>-735</v>
      </c>
      <c r="F156" s="89">
        <f t="shared" si="7"/>
        <v>-725</v>
      </c>
      <c r="G156" s="400">
        <f t="shared" si="8"/>
        <v>1.5343119774741839E-3</v>
      </c>
      <c r="H156" s="89">
        <f t="shared" si="6"/>
        <v>744.56631349273948</v>
      </c>
    </row>
    <row r="157" spans="1:8" x14ac:dyDescent="0.25">
      <c r="A157" s="399">
        <v>483</v>
      </c>
      <c r="B157" s="399" t="s">
        <v>283</v>
      </c>
      <c r="C157" s="399">
        <v>17</v>
      </c>
      <c r="D157" s="89">
        <v>-85</v>
      </c>
      <c r="E157" s="89">
        <v>-108</v>
      </c>
      <c r="F157" s="89">
        <f t="shared" si="7"/>
        <v>-96.5</v>
      </c>
      <c r="G157" s="400">
        <f t="shared" si="8"/>
        <v>2.0422221493277069E-4</v>
      </c>
      <c r="H157" s="89">
        <f t="shared" si="6"/>
        <v>99.104343795930163</v>
      </c>
    </row>
    <row r="158" spans="1:8" x14ac:dyDescent="0.25">
      <c r="A158" s="399">
        <v>484</v>
      </c>
      <c r="B158" s="399" t="s">
        <v>282</v>
      </c>
      <c r="C158" s="399">
        <v>4</v>
      </c>
      <c r="D158" s="89">
        <v>-350</v>
      </c>
      <c r="E158" s="89">
        <v>-368</v>
      </c>
      <c r="F158" s="89">
        <f t="shared" si="7"/>
        <v>-359</v>
      </c>
      <c r="G158" s="400">
        <f t="shared" si="8"/>
        <v>7.5974896539756135E-4</v>
      </c>
      <c r="H158" s="89">
        <f t="shared" si="6"/>
        <v>368.68869868123238</v>
      </c>
    </row>
    <row r="159" spans="1:8" x14ac:dyDescent="0.25">
      <c r="A159" s="399">
        <v>489</v>
      </c>
      <c r="B159" s="399" t="s">
        <v>281</v>
      </c>
      <c r="C159" s="399">
        <v>8</v>
      </c>
      <c r="D159" s="89">
        <v>-302</v>
      </c>
      <c r="E159" s="89">
        <v>-329</v>
      </c>
      <c r="F159" s="89">
        <f t="shared" si="7"/>
        <v>-315.5</v>
      </c>
      <c r="G159" s="400">
        <f t="shared" si="8"/>
        <v>6.6769024674911037E-4</v>
      </c>
      <c r="H159" s="89">
        <f t="shared" si="6"/>
        <v>324.01471987166804</v>
      </c>
    </row>
    <row r="160" spans="1:8" x14ac:dyDescent="0.25">
      <c r="A160" s="399">
        <v>491</v>
      </c>
      <c r="B160" s="399" t="s">
        <v>280</v>
      </c>
      <c r="C160" s="399">
        <v>10</v>
      </c>
      <c r="D160" s="89">
        <v>-5320</v>
      </c>
      <c r="E160" s="89">
        <v>-5527</v>
      </c>
      <c r="F160" s="89">
        <f t="shared" si="7"/>
        <v>-5423.5</v>
      </c>
      <c r="G160" s="400">
        <f t="shared" si="8"/>
        <v>1.1477711737698256E-2</v>
      </c>
      <c r="H160" s="89">
        <f t="shared" si="6"/>
        <v>5569.8695189349964</v>
      </c>
    </row>
    <row r="161" spans="1:8" x14ac:dyDescent="0.25">
      <c r="A161" s="399">
        <v>494</v>
      </c>
      <c r="B161" s="399" t="s">
        <v>279</v>
      </c>
      <c r="C161" s="399">
        <v>17</v>
      </c>
      <c r="D161" s="89">
        <v>-638</v>
      </c>
      <c r="E161" s="89">
        <v>-646</v>
      </c>
      <c r="F161" s="89">
        <f t="shared" si="7"/>
        <v>-642</v>
      </c>
      <c r="G161" s="400">
        <f t="shared" si="8"/>
        <v>1.3586597097081739E-3</v>
      </c>
      <c r="H161" s="89">
        <f t="shared" si="6"/>
        <v>659.32630794805345</v>
      </c>
    </row>
    <row r="162" spans="1:8" x14ac:dyDescent="0.25">
      <c r="A162" s="399">
        <v>495</v>
      </c>
      <c r="B162" s="399" t="s">
        <v>278</v>
      </c>
      <c r="C162" s="399">
        <v>13</v>
      </c>
      <c r="D162" s="89">
        <v>-141</v>
      </c>
      <c r="E162" s="89">
        <v>-145</v>
      </c>
      <c r="F162" s="89">
        <f t="shared" si="7"/>
        <v>-143</v>
      </c>
      <c r="G162" s="400">
        <f t="shared" si="8"/>
        <v>3.0262981072939074E-4</v>
      </c>
      <c r="H162" s="89">
        <f t="shared" si="6"/>
        <v>146.85928666132656</v>
      </c>
    </row>
    <row r="163" spans="1:8" x14ac:dyDescent="0.25">
      <c r="A163" s="399">
        <v>498</v>
      </c>
      <c r="B163" s="399" t="s">
        <v>277</v>
      </c>
      <c r="C163" s="399">
        <v>19</v>
      </c>
      <c r="D163" s="89">
        <v>-315</v>
      </c>
      <c r="E163" s="89">
        <v>-339</v>
      </c>
      <c r="F163" s="89">
        <f t="shared" si="7"/>
        <v>-327</v>
      </c>
      <c r="G163" s="400">
        <f t="shared" si="8"/>
        <v>6.9202760915042499E-4</v>
      </c>
      <c r="H163" s="89">
        <f t="shared" si="6"/>
        <v>335.82508208569078</v>
      </c>
    </row>
    <row r="164" spans="1:8" x14ac:dyDescent="0.25">
      <c r="A164" s="399">
        <v>499</v>
      </c>
      <c r="B164" s="399" t="s">
        <v>276</v>
      </c>
      <c r="C164" s="399">
        <v>15</v>
      </c>
      <c r="D164" s="89">
        <v>-1490</v>
      </c>
      <c r="E164" s="89">
        <v>-1491</v>
      </c>
      <c r="F164" s="89">
        <f t="shared" si="7"/>
        <v>-1490.5</v>
      </c>
      <c r="G164" s="400">
        <f t="shared" si="8"/>
        <v>3.1543337964486497E-3</v>
      </c>
      <c r="H164" s="89">
        <f t="shared" si="6"/>
        <v>1530.7256417392114</v>
      </c>
    </row>
    <row r="165" spans="1:8" x14ac:dyDescent="0.25">
      <c r="A165" s="399">
        <v>500</v>
      </c>
      <c r="B165" s="399" t="s">
        <v>275</v>
      </c>
      <c r="C165" s="399">
        <v>13</v>
      </c>
      <c r="D165" s="89">
        <v>-918</v>
      </c>
      <c r="E165" s="89">
        <v>-953</v>
      </c>
      <c r="F165" s="89">
        <f t="shared" si="7"/>
        <v>-935.5</v>
      </c>
      <c r="G165" s="400">
        <f t="shared" si="8"/>
        <v>1.979791524037378E-3</v>
      </c>
      <c r="H165" s="89">
        <f t="shared" si="6"/>
        <v>960.74729141028672</v>
      </c>
    </row>
    <row r="166" spans="1:8" x14ac:dyDescent="0.25">
      <c r="A166" s="399">
        <v>503</v>
      </c>
      <c r="B166" s="399" t="s">
        <v>274</v>
      </c>
      <c r="C166" s="399">
        <v>2</v>
      </c>
      <c r="D166" s="89">
        <v>-582</v>
      </c>
      <c r="E166" s="89">
        <v>-582</v>
      </c>
      <c r="F166" s="89">
        <f t="shared" si="7"/>
        <v>-582</v>
      </c>
      <c r="G166" s="400">
        <f t="shared" si="8"/>
        <v>1.2316821667447931E-3</v>
      </c>
      <c r="H166" s="89">
        <f t="shared" si="6"/>
        <v>597.70702683141292</v>
      </c>
    </row>
    <row r="167" spans="1:8" x14ac:dyDescent="0.25">
      <c r="A167" s="399">
        <v>504</v>
      </c>
      <c r="B167" s="399" t="s">
        <v>273</v>
      </c>
      <c r="C167" s="399">
        <v>34</v>
      </c>
      <c r="D167" s="89">
        <v>-225</v>
      </c>
      <c r="E167" s="89">
        <v>-249</v>
      </c>
      <c r="F167" s="89">
        <f t="shared" si="7"/>
        <v>-237</v>
      </c>
      <c r="G167" s="400">
        <f t="shared" si="8"/>
        <v>5.0156129470535396E-4</v>
      </c>
      <c r="H167" s="89">
        <f t="shared" si="6"/>
        <v>243.39616041073006</v>
      </c>
    </row>
    <row r="168" spans="1:8" x14ac:dyDescent="0.25">
      <c r="A168" s="399">
        <v>505</v>
      </c>
      <c r="B168" s="399" t="s">
        <v>272</v>
      </c>
      <c r="C168" s="399">
        <v>35</v>
      </c>
      <c r="D168" s="89">
        <v>-1890</v>
      </c>
      <c r="E168" s="89">
        <v>-1878</v>
      </c>
      <c r="F168" s="89">
        <f t="shared" si="7"/>
        <v>-1884</v>
      </c>
      <c r="G168" s="400">
        <f t="shared" si="8"/>
        <v>3.9870948490501549E-3</v>
      </c>
      <c r="H168" s="89">
        <f t="shared" si="6"/>
        <v>1934.845427062512</v>
      </c>
    </row>
    <row r="169" spans="1:8" x14ac:dyDescent="0.25">
      <c r="A169" s="399">
        <v>507</v>
      </c>
      <c r="B169" s="399" t="s">
        <v>271</v>
      </c>
      <c r="C169" s="399">
        <v>10</v>
      </c>
      <c r="D169" s="89">
        <v>-549</v>
      </c>
      <c r="E169" s="89">
        <v>-532</v>
      </c>
      <c r="F169" s="89">
        <f t="shared" si="7"/>
        <v>-540.5</v>
      </c>
      <c r="G169" s="400">
        <f t="shared" si="8"/>
        <v>1.1438560328617881E-3</v>
      </c>
      <c r="H169" s="89">
        <f t="shared" si="6"/>
        <v>555.0870240590699</v>
      </c>
    </row>
    <row r="170" spans="1:8" x14ac:dyDescent="0.25">
      <c r="A170" s="399">
        <v>508</v>
      </c>
      <c r="B170" s="399" t="s">
        <v>270</v>
      </c>
      <c r="C170" s="399">
        <v>6</v>
      </c>
      <c r="D170" s="89">
        <v>-791</v>
      </c>
      <c r="E170" s="89">
        <v>-795</v>
      </c>
      <c r="F170" s="89">
        <f t="shared" si="7"/>
        <v>-793</v>
      </c>
      <c r="G170" s="400">
        <f t="shared" si="8"/>
        <v>1.6782198594993488E-3</v>
      </c>
      <c r="H170" s="89">
        <f t="shared" si="6"/>
        <v>814.40149875826546</v>
      </c>
    </row>
    <row r="171" spans="1:8" x14ac:dyDescent="0.25">
      <c r="A171" s="399">
        <v>529</v>
      </c>
      <c r="B171" s="399" t="s">
        <v>269</v>
      </c>
      <c r="C171" s="399">
        <v>2</v>
      </c>
      <c r="D171" s="89">
        <v>-1518</v>
      </c>
      <c r="E171" s="89">
        <v>-1544</v>
      </c>
      <c r="F171" s="89">
        <f t="shared" si="7"/>
        <v>-1531</v>
      </c>
      <c r="G171" s="400">
        <f t="shared" si="8"/>
        <v>3.2400436379489317E-3</v>
      </c>
      <c r="H171" s="89">
        <f t="shared" si="6"/>
        <v>1572.3186564929438</v>
      </c>
    </row>
    <row r="172" spans="1:8" x14ac:dyDescent="0.25">
      <c r="A172" s="399">
        <v>531</v>
      </c>
      <c r="B172" s="399" t="s">
        <v>268</v>
      </c>
      <c r="C172" s="399">
        <v>4</v>
      </c>
      <c r="D172" s="89">
        <v>-587</v>
      </c>
      <c r="E172" s="89">
        <v>-588</v>
      </c>
      <c r="F172" s="89">
        <f t="shared" si="7"/>
        <v>-587.5</v>
      </c>
      <c r="G172" s="400">
        <f t="shared" si="8"/>
        <v>1.2433217748497698E-3</v>
      </c>
      <c r="H172" s="89">
        <f t="shared" si="6"/>
        <v>603.35546093377172</v>
      </c>
    </row>
    <row r="173" spans="1:8" x14ac:dyDescent="0.25">
      <c r="A173" s="399">
        <v>535</v>
      </c>
      <c r="B173" s="399" t="s">
        <v>267</v>
      </c>
      <c r="C173" s="399">
        <v>17</v>
      </c>
      <c r="D173" s="89">
        <v>-1063</v>
      </c>
      <c r="E173" s="89">
        <v>-1261</v>
      </c>
      <c r="F173" s="89">
        <f t="shared" si="7"/>
        <v>-1162</v>
      </c>
      <c r="G173" s="400">
        <f t="shared" si="8"/>
        <v>2.4591317487241402E-3</v>
      </c>
      <c r="H173" s="89">
        <f t="shared" si="6"/>
        <v>1193.3600776256046</v>
      </c>
    </row>
    <row r="174" spans="1:8" x14ac:dyDescent="0.25">
      <c r="A174" s="399">
        <v>536</v>
      </c>
      <c r="B174" s="399" t="s">
        <v>266</v>
      </c>
      <c r="C174" s="399">
        <v>6</v>
      </c>
      <c r="D174" s="89">
        <v>-2689</v>
      </c>
      <c r="E174" s="89">
        <v>-2802</v>
      </c>
      <c r="F174" s="89">
        <f t="shared" si="7"/>
        <v>-2745.5</v>
      </c>
      <c r="G174" s="400">
        <f t="shared" si="8"/>
        <v>5.8102807367660303E-3</v>
      </c>
      <c r="H174" s="89">
        <f t="shared" si="6"/>
        <v>2819.5956050956088</v>
      </c>
    </row>
    <row r="175" spans="1:8" x14ac:dyDescent="0.25">
      <c r="A175" s="399">
        <v>538</v>
      </c>
      <c r="B175" s="399" t="s">
        <v>265</v>
      </c>
      <c r="C175" s="399">
        <v>2</v>
      </c>
      <c r="D175" s="89">
        <v>-350</v>
      </c>
      <c r="E175" s="89">
        <v>-361</v>
      </c>
      <c r="F175" s="89">
        <f t="shared" si="7"/>
        <v>-355.5</v>
      </c>
      <c r="G175" s="400">
        <f t="shared" si="8"/>
        <v>7.5234194205803088E-4</v>
      </c>
      <c r="H175" s="89">
        <f t="shared" si="6"/>
        <v>365.09424061609508</v>
      </c>
    </row>
    <row r="176" spans="1:8" x14ac:dyDescent="0.25">
      <c r="A176" s="399">
        <v>541</v>
      </c>
      <c r="B176" s="399" t="s">
        <v>264</v>
      </c>
      <c r="C176" s="399">
        <v>12</v>
      </c>
      <c r="D176" s="89">
        <v>-846</v>
      </c>
      <c r="E176" s="89">
        <v>-1042</v>
      </c>
      <c r="F176" s="89">
        <f t="shared" si="7"/>
        <v>-944</v>
      </c>
      <c r="G176" s="400">
        <f t="shared" si="8"/>
        <v>1.9977800092905234E-3</v>
      </c>
      <c r="H176" s="89">
        <f t="shared" si="6"/>
        <v>969.47668956847735</v>
      </c>
    </row>
    <row r="177" spans="1:8" x14ac:dyDescent="0.25">
      <c r="A177" s="399">
        <v>543</v>
      </c>
      <c r="B177" s="399" t="s">
        <v>263</v>
      </c>
      <c r="C177" s="399">
        <v>35</v>
      </c>
      <c r="D177" s="89">
        <v>-3514</v>
      </c>
      <c r="E177" s="89">
        <v>-3514</v>
      </c>
      <c r="F177" s="89">
        <f t="shared" si="7"/>
        <v>-3514</v>
      </c>
      <c r="G177" s="400">
        <f t="shared" si="8"/>
        <v>7.4366514328886649E-3</v>
      </c>
      <c r="H177" s="89">
        <f t="shared" si="6"/>
        <v>3608.8358973979125</v>
      </c>
    </row>
    <row r="178" spans="1:8" x14ac:dyDescent="0.25">
      <c r="A178" s="399">
        <v>545</v>
      </c>
      <c r="B178" s="399" t="s">
        <v>262</v>
      </c>
      <c r="C178" s="399">
        <v>15</v>
      </c>
      <c r="D178" s="89">
        <v>-703</v>
      </c>
      <c r="E178" s="89">
        <v>-704</v>
      </c>
      <c r="F178" s="89">
        <f t="shared" si="7"/>
        <v>-703.5</v>
      </c>
      <c r="G178" s="400">
        <f t="shared" si="8"/>
        <v>1.4888116912456391E-3</v>
      </c>
      <c r="H178" s="89">
        <f t="shared" si="6"/>
        <v>722.48607109261002</v>
      </c>
    </row>
    <row r="179" spans="1:8" x14ac:dyDescent="0.25">
      <c r="A179" s="399">
        <v>560</v>
      </c>
      <c r="B179" s="399" t="s">
        <v>261</v>
      </c>
      <c r="C179" s="399">
        <v>7</v>
      </c>
      <c r="D179" s="89">
        <v>-1877</v>
      </c>
      <c r="E179" s="89">
        <v>-1773</v>
      </c>
      <c r="F179" s="89">
        <f t="shared" si="7"/>
        <v>-1825</v>
      </c>
      <c r="G179" s="400">
        <f t="shared" si="8"/>
        <v>3.8622335984694976E-3</v>
      </c>
      <c r="H179" s="89">
        <f t="shared" si="6"/>
        <v>1874.2531339644825</v>
      </c>
    </row>
    <row r="180" spans="1:8" x14ac:dyDescent="0.25">
      <c r="A180" s="399">
        <v>561</v>
      </c>
      <c r="B180" s="399" t="s">
        <v>260</v>
      </c>
      <c r="C180" s="399">
        <v>2</v>
      </c>
      <c r="D180" s="89">
        <v>-96</v>
      </c>
      <c r="E180" s="89">
        <v>-102</v>
      </c>
      <c r="F180" s="89">
        <f t="shared" si="7"/>
        <v>-99</v>
      </c>
      <c r="G180" s="400">
        <f t="shared" si="8"/>
        <v>2.0951294588957822E-4</v>
      </c>
      <c r="H180" s="89">
        <f t="shared" si="6"/>
        <v>101.67181384245686</v>
      </c>
    </row>
    <row r="181" spans="1:8" x14ac:dyDescent="0.25">
      <c r="A181" s="399">
        <v>562</v>
      </c>
      <c r="B181" s="399" t="s">
        <v>259</v>
      </c>
      <c r="C181" s="399">
        <v>6</v>
      </c>
      <c r="D181" s="89">
        <v>-721</v>
      </c>
      <c r="E181" s="89">
        <v>-732</v>
      </c>
      <c r="F181" s="89">
        <f t="shared" si="7"/>
        <v>-726.5</v>
      </c>
      <c r="G181" s="400">
        <f t="shared" si="8"/>
        <v>1.5374864160482683E-3</v>
      </c>
      <c r="H181" s="89">
        <f t="shared" si="6"/>
        <v>746.10679552065551</v>
      </c>
    </row>
    <row r="182" spans="1:8" x14ac:dyDescent="0.25">
      <c r="A182" s="399">
        <v>563</v>
      </c>
      <c r="B182" s="399" t="s">
        <v>258</v>
      </c>
      <c r="C182" s="399">
        <v>17</v>
      </c>
      <c r="D182" s="89">
        <v>-907</v>
      </c>
      <c r="E182" s="89">
        <v>-997</v>
      </c>
      <c r="F182" s="89">
        <f t="shared" si="7"/>
        <v>-952</v>
      </c>
      <c r="G182" s="400">
        <f t="shared" si="8"/>
        <v>2.0147103483523078E-3</v>
      </c>
      <c r="H182" s="89">
        <f t="shared" si="6"/>
        <v>977.69259371736291</v>
      </c>
    </row>
    <row r="183" spans="1:8" x14ac:dyDescent="0.25">
      <c r="A183" s="399">
        <v>564</v>
      </c>
      <c r="B183" s="399" t="s">
        <v>257</v>
      </c>
      <c r="C183" s="399">
        <v>17</v>
      </c>
      <c r="D183" s="89">
        <v>-13733</v>
      </c>
      <c r="E183" s="89">
        <v>-15452</v>
      </c>
      <c r="F183" s="89">
        <f t="shared" si="7"/>
        <v>-14592.5</v>
      </c>
      <c r="G183" s="400">
        <f t="shared" si="8"/>
        <v>3.0881996594885556E-2</v>
      </c>
      <c r="H183" s="89">
        <f t="shared" si="6"/>
        <v>14986.322661576278</v>
      </c>
    </row>
    <row r="184" spans="1:8" x14ac:dyDescent="0.25">
      <c r="A184" s="399">
        <v>576</v>
      </c>
      <c r="B184" s="399" t="s">
        <v>256</v>
      </c>
      <c r="C184" s="399">
        <v>7</v>
      </c>
      <c r="D184" s="89">
        <v>-287</v>
      </c>
      <c r="E184" s="89">
        <v>-300</v>
      </c>
      <c r="F184" s="89">
        <f t="shared" si="7"/>
        <v>-293.5</v>
      </c>
      <c r="G184" s="400">
        <f t="shared" si="8"/>
        <v>6.2113181432920414E-4</v>
      </c>
      <c r="H184" s="89">
        <f t="shared" si="6"/>
        <v>301.42098346223321</v>
      </c>
    </row>
    <row r="185" spans="1:8" x14ac:dyDescent="0.25">
      <c r="A185" s="399">
        <v>577</v>
      </c>
      <c r="B185" s="399" t="s">
        <v>255</v>
      </c>
      <c r="C185" s="399">
        <v>2</v>
      </c>
      <c r="D185" s="89">
        <v>-804</v>
      </c>
      <c r="E185" s="89">
        <v>-825</v>
      </c>
      <c r="F185" s="89">
        <f t="shared" si="7"/>
        <v>-814.5</v>
      </c>
      <c r="G185" s="400">
        <f t="shared" si="8"/>
        <v>1.7237201457278935E-3</v>
      </c>
      <c r="H185" s="89">
        <f t="shared" si="6"/>
        <v>836.48174115839493</v>
      </c>
    </row>
    <row r="186" spans="1:8" x14ac:dyDescent="0.25">
      <c r="A186" s="399">
        <v>578</v>
      </c>
      <c r="B186" s="399" t="s">
        <v>254</v>
      </c>
      <c r="C186" s="399">
        <v>18</v>
      </c>
      <c r="D186" s="89">
        <v>-435</v>
      </c>
      <c r="E186" s="89">
        <v>-474</v>
      </c>
      <c r="F186" s="89">
        <f t="shared" si="7"/>
        <v>-454.5</v>
      </c>
      <c r="G186" s="400">
        <f t="shared" si="8"/>
        <v>9.6185488794760905E-4</v>
      </c>
      <c r="H186" s="89">
        <f t="shared" si="6"/>
        <v>466.76605445855188</v>
      </c>
    </row>
    <row r="187" spans="1:8" x14ac:dyDescent="0.25">
      <c r="A187" s="399">
        <v>580</v>
      </c>
      <c r="B187" s="399" t="s">
        <v>253</v>
      </c>
      <c r="C187" s="399">
        <v>9</v>
      </c>
      <c r="D187" s="89">
        <v>-527</v>
      </c>
      <c r="E187" s="89">
        <v>-535</v>
      </c>
      <c r="F187" s="89">
        <f t="shared" si="7"/>
        <v>-531</v>
      </c>
      <c r="G187" s="400">
        <f t="shared" si="8"/>
        <v>1.1237512552259195E-3</v>
      </c>
      <c r="H187" s="89">
        <f t="shared" si="6"/>
        <v>545.33063788226855</v>
      </c>
    </row>
    <row r="188" spans="1:8" x14ac:dyDescent="0.25">
      <c r="A188" s="399">
        <v>581</v>
      </c>
      <c r="B188" s="399" t="s">
        <v>252</v>
      </c>
      <c r="C188" s="399">
        <v>6</v>
      </c>
      <c r="D188" s="89">
        <v>-489</v>
      </c>
      <c r="E188" s="89">
        <v>-500</v>
      </c>
      <c r="F188" s="89">
        <f t="shared" si="7"/>
        <v>-494.5</v>
      </c>
      <c r="G188" s="400">
        <f t="shared" si="8"/>
        <v>1.0465065832565297E-3</v>
      </c>
      <c r="H188" s="89">
        <f t="shared" si="6"/>
        <v>507.84557520297892</v>
      </c>
    </row>
    <row r="189" spans="1:8" x14ac:dyDescent="0.25">
      <c r="A189" s="399">
        <v>583</v>
      </c>
      <c r="B189" s="399" t="s">
        <v>251</v>
      </c>
      <c r="C189" s="399">
        <v>19</v>
      </c>
      <c r="D189" s="89">
        <v>-205</v>
      </c>
      <c r="E189" s="89">
        <v>-310</v>
      </c>
      <c r="F189" s="89">
        <f t="shared" si="7"/>
        <v>-257.5</v>
      </c>
      <c r="G189" s="400">
        <f t="shared" si="8"/>
        <v>5.449452885511757E-4</v>
      </c>
      <c r="H189" s="89">
        <f t="shared" si="6"/>
        <v>264.44941479224889</v>
      </c>
    </row>
    <row r="190" spans="1:8" x14ac:dyDescent="0.25">
      <c r="A190" s="399">
        <v>584</v>
      </c>
      <c r="B190" s="399" t="s">
        <v>250</v>
      </c>
      <c r="C190" s="399">
        <v>16</v>
      </c>
      <c r="D190" s="89">
        <v>-381</v>
      </c>
      <c r="E190" s="89">
        <v>-457</v>
      </c>
      <c r="F190" s="89">
        <f t="shared" si="7"/>
        <v>-419</v>
      </c>
      <c r="G190" s="400">
        <f t="shared" si="8"/>
        <v>8.8672650836094211E-4</v>
      </c>
      <c r="H190" s="89">
        <f t="shared" si="6"/>
        <v>430.30797979787292</v>
      </c>
    </row>
    <row r="191" spans="1:8" x14ac:dyDescent="0.25">
      <c r="A191" s="399">
        <v>588</v>
      </c>
      <c r="B191" s="399" t="s">
        <v>249</v>
      </c>
      <c r="C191" s="399">
        <v>10</v>
      </c>
      <c r="D191" s="89">
        <v>-162</v>
      </c>
      <c r="E191" s="89">
        <v>-166</v>
      </c>
      <c r="F191" s="89">
        <f t="shared" si="7"/>
        <v>-164</v>
      </c>
      <c r="G191" s="400">
        <f t="shared" si="8"/>
        <v>3.4707195076657399E-4</v>
      </c>
      <c r="H191" s="89">
        <f t="shared" si="6"/>
        <v>168.42603505215072</v>
      </c>
    </row>
    <row r="192" spans="1:8" x14ac:dyDescent="0.25">
      <c r="A192" s="399">
        <v>592</v>
      </c>
      <c r="B192" s="399" t="s">
        <v>248</v>
      </c>
      <c r="C192" s="399">
        <v>13</v>
      </c>
      <c r="D192" s="89">
        <v>-347</v>
      </c>
      <c r="E192" s="89">
        <v>-351</v>
      </c>
      <c r="F192" s="89">
        <f t="shared" si="7"/>
        <v>-349</v>
      </c>
      <c r="G192" s="400">
        <f t="shared" si="8"/>
        <v>7.3858604157033122E-4</v>
      </c>
      <c r="H192" s="89">
        <f t="shared" si="6"/>
        <v>358.41881849512561</v>
      </c>
    </row>
    <row r="193" spans="1:8" x14ac:dyDescent="0.25">
      <c r="A193" s="399">
        <v>593</v>
      </c>
      <c r="B193" s="399" t="s">
        <v>247</v>
      </c>
      <c r="C193" s="399">
        <v>10</v>
      </c>
      <c r="D193" s="89">
        <v>-1606</v>
      </c>
      <c r="E193" s="89">
        <v>-1605</v>
      </c>
      <c r="F193" s="89">
        <f t="shared" si="7"/>
        <v>-1605.5</v>
      </c>
      <c r="G193" s="400">
        <f t="shared" si="8"/>
        <v>3.3977074204617963E-3</v>
      </c>
      <c r="H193" s="89">
        <f t="shared" si="6"/>
        <v>1648.8292638794392</v>
      </c>
    </row>
    <row r="194" spans="1:8" x14ac:dyDescent="0.25">
      <c r="A194" s="399">
        <v>595</v>
      </c>
      <c r="B194" s="399" t="s">
        <v>246</v>
      </c>
      <c r="C194" s="399">
        <v>11</v>
      </c>
      <c r="D194" s="89">
        <v>-450</v>
      </c>
      <c r="E194" s="89">
        <v>-479</v>
      </c>
      <c r="F194" s="89">
        <f t="shared" si="7"/>
        <v>-464.5</v>
      </c>
      <c r="G194" s="400">
        <f t="shared" si="8"/>
        <v>9.8301781177483928E-4</v>
      </c>
      <c r="H194" s="89">
        <f t="shared" si="6"/>
        <v>477.03593464465871</v>
      </c>
    </row>
    <row r="195" spans="1:8" x14ac:dyDescent="0.25">
      <c r="A195" s="399">
        <v>598</v>
      </c>
      <c r="B195" s="399" t="s">
        <v>245</v>
      </c>
      <c r="C195" s="399">
        <v>15</v>
      </c>
      <c r="D195" s="89">
        <v>-2788</v>
      </c>
      <c r="E195" s="89">
        <v>-2800</v>
      </c>
      <c r="F195" s="89">
        <f t="shared" si="7"/>
        <v>-2794</v>
      </c>
      <c r="G195" s="400">
        <f t="shared" si="8"/>
        <v>5.9129209173280966E-3</v>
      </c>
      <c r="H195" s="89">
        <f t="shared" si="6"/>
        <v>2869.4045239982265</v>
      </c>
    </row>
    <row r="196" spans="1:8" x14ac:dyDescent="0.25">
      <c r="A196" s="399">
        <v>599</v>
      </c>
      <c r="B196" s="399" t="s">
        <v>244</v>
      </c>
      <c r="C196" s="399">
        <v>15</v>
      </c>
      <c r="D196" s="89">
        <v>-850</v>
      </c>
      <c r="E196" s="89">
        <v>-879</v>
      </c>
      <c r="F196" s="89">
        <f t="shared" si="7"/>
        <v>-864.5</v>
      </c>
      <c r="G196" s="400">
        <f t="shared" si="8"/>
        <v>1.8295347648640441E-3</v>
      </c>
      <c r="H196" s="89">
        <f t="shared" si="6"/>
        <v>887.83114208892869</v>
      </c>
    </row>
    <row r="197" spans="1:8" x14ac:dyDescent="0.25">
      <c r="A197" s="399">
        <v>601</v>
      </c>
      <c r="B197" s="399" t="s">
        <v>243</v>
      </c>
      <c r="C197" s="399">
        <v>13</v>
      </c>
      <c r="D197" s="89">
        <v>-364</v>
      </c>
      <c r="E197" s="89">
        <v>-364</v>
      </c>
      <c r="F197" s="89">
        <f t="shared" si="7"/>
        <v>-364</v>
      </c>
      <c r="G197" s="400">
        <f t="shared" si="8"/>
        <v>7.7033042731117641E-4</v>
      </c>
      <c r="H197" s="89">
        <f t="shared" si="6"/>
        <v>373.82363877428577</v>
      </c>
    </row>
    <row r="198" spans="1:8" x14ac:dyDescent="0.25">
      <c r="A198" s="399">
        <v>604</v>
      </c>
      <c r="B198" s="399" t="s">
        <v>242</v>
      </c>
      <c r="C198" s="399">
        <v>6</v>
      </c>
      <c r="D198" s="89">
        <v>-1499</v>
      </c>
      <c r="E198" s="89">
        <v>-1561</v>
      </c>
      <c r="F198" s="89">
        <f t="shared" si="7"/>
        <v>-1530</v>
      </c>
      <c r="G198" s="400">
        <f t="shared" si="8"/>
        <v>3.2379273455662087E-3</v>
      </c>
      <c r="H198" s="89">
        <f t="shared" si="6"/>
        <v>1571.2916684743332</v>
      </c>
    </row>
    <row r="199" spans="1:8" x14ac:dyDescent="0.25">
      <c r="A199" s="399">
        <v>607</v>
      </c>
      <c r="B199" s="399" t="s">
        <v>241</v>
      </c>
      <c r="C199" s="399">
        <v>12</v>
      </c>
      <c r="D199" s="89">
        <v>-388</v>
      </c>
      <c r="E199" s="89">
        <v>-425</v>
      </c>
      <c r="F199" s="89">
        <f t="shared" si="7"/>
        <v>-406.5</v>
      </c>
      <c r="G199" s="400">
        <f t="shared" si="8"/>
        <v>8.602728535769045E-4</v>
      </c>
      <c r="H199" s="89">
        <f t="shared" si="6"/>
        <v>417.47062956523951</v>
      </c>
    </row>
    <row r="200" spans="1:8" x14ac:dyDescent="0.25">
      <c r="A200" s="399">
        <v>608</v>
      </c>
      <c r="B200" s="399" t="s">
        <v>240</v>
      </c>
      <c r="C200" s="399">
        <v>4</v>
      </c>
      <c r="D200" s="89">
        <v>-286</v>
      </c>
      <c r="E200" s="89">
        <v>-282</v>
      </c>
      <c r="F200" s="89">
        <f t="shared" si="7"/>
        <v>-284</v>
      </c>
      <c r="G200" s="400">
        <f t="shared" si="8"/>
        <v>6.0102703669333551E-4</v>
      </c>
      <c r="H200" s="89">
        <f t="shared" si="6"/>
        <v>291.6645972854318</v>
      </c>
    </row>
    <row r="201" spans="1:8" x14ac:dyDescent="0.25">
      <c r="A201" s="399">
        <v>609</v>
      </c>
      <c r="B201" s="399" t="s">
        <v>239</v>
      </c>
      <c r="C201" s="399">
        <v>4</v>
      </c>
      <c r="D201" s="89">
        <v>-7506</v>
      </c>
      <c r="E201" s="89">
        <v>-7997</v>
      </c>
      <c r="F201" s="89">
        <f t="shared" si="7"/>
        <v>-7751.5</v>
      </c>
      <c r="G201" s="400">
        <f t="shared" si="8"/>
        <v>1.640444040467743E-2</v>
      </c>
      <c r="H201" s="89">
        <f t="shared" si="6"/>
        <v>7960.6976262606495</v>
      </c>
    </row>
    <row r="202" spans="1:8" x14ac:dyDescent="0.25">
      <c r="A202" s="399">
        <v>611</v>
      </c>
      <c r="B202" s="399" t="s">
        <v>238</v>
      </c>
      <c r="C202" s="399">
        <v>35</v>
      </c>
      <c r="D202" s="89">
        <v>-411</v>
      </c>
      <c r="E202" s="89">
        <v>-411</v>
      </c>
      <c r="F202" s="89">
        <f t="shared" si="7"/>
        <v>-411</v>
      </c>
      <c r="G202" s="400">
        <f t="shared" si="8"/>
        <v>8.6979616929915807E-4</v>
      </c>
      <c r="H202" s="89">
        <f t="shared" si="6"/>
        <v>422.09207564898753</v>
      </c>
    </row>
    <row r="203" spans="1:8" x14ac:dyDescent="0.25">
      <c r="A203" s="399">
        <v>614</v>
      </c>
      <c r="B203" s="399" t="s">
        <v>237</v>
      </c>
      <c r="C203" s="399">
        <v>19</v>
      </c>
      <c r="D203" s="89">
        <v>-379</v>
      </c>
      <c r="E203" s="89">
        <v>-390</v>
      </c>
      <c r="F203" s="89">
        <f t="shared" si="7"/>
        <v>-384.5</v>
      </c>
      <c r="G203" s="400">
        <f t="shared" si="8"/>
        <v>8.1371442115699816E-4</v>
      </c>
      <c r="H203" s="89">
        <f t="shared" si="6"/>
        <v>394.87689315580462</v>
      </c>
    </row>
    <row r="204" spans="1:8" x14ac:dyDescent="0.25">
      <c r="A204" s="399">
        <v>615</v>
      </c>
      <c r="B204" s="399" t="s">
        <v>236</v>
      </c>
      <c r="C204" s="399">
        <v>17</v>
      </c>
      <c r="D204" s="89">
        <v>-555</v>
      </c>
      <c r="E204" s="89">
        <v>-555</v>
      </c>
      <c r="F204" s="89">
        <f t="shared" si="7"/>
        <v>-555</v>
      </c>
      <c r="G204" s="400">
        <f t="shared" si="8"/>
        <v>1.1745422724112717E-3</v>
      </c>
      <c r="H204" s="89">
        <f t="shared" si="6"/>
        <v>569.97835032892465</v>
      </c>
    </row>
    <row r="205" spans="1:8" x14ac:dyDescent="0.25">
      <c r="A205" s="399">
        <v>616</v>
      </c>
      <c r="B205" s="399" t="s">
        <v>235</v>
      </c>
      <c r="C205" s="399">
        <v>34</v>
      </c>
      <c r="D205" s="89">
        <v>-195</v>
      </c>
      <c r="E205" s="89">
        <v>-213</v>
      </c>
      <c r="F205" s="89">
        <f t="shared" si="7"/>
        <v>-204</v>
      </c>
      <c r="G205" s="400">
        <f t="shared" si="8"/>
        <v>4.317236460754945E-4</v>
      </c>
      <c r="H205" s="89">
        <f t="shared" ref="H205:H268" si="9">(G205*E$12)*(-1)</f>
        <v>209.50555579657774</v>
      </c>
    </row>
    <row r="206" spans="1:8" x14ac:dyDescent="0.25">
      <c r="A206" s="399">
        <v>619</v>
      </c>
      <c r="B206" s="399" t="s">
        <v>234</v>
      </c>
      <c r="C206" s="399">
        <v>6</v>
      </c>
      <c r="D206" s="89">
        <v>-216</v>
      </c>
      <c r="E206" s="89">
        <v>-216</v>
      </c>
      <c r="F206" s="89">
        <f t="shared" ref="F206:F269" si="10">(D206+E206)/2</f>
        <v>-216</v>
      </c>
      <c r="G206" s="400">
        <f t="shared" ref="G206:G269" si="11">F206/F$12</f>
        <v>4.5711915466817066E-4</v>
      </c>
      <c r="H206" s="89">
        <f t="shared" si="9"/>
        <v>221.82941201990585</v>
      </c>
    </row>
    <row r="207" spans="1:8" x14ac:dyDescent="0.25">
      <c r="A207" s="399">
        <v>620</v>
      </c>
      <c r="B207" s="399" t="s">
        <v>233</v>
      </c>
      <c r="C207" s="399">
        <v>18</v>
      </c>
      <c r="D207" s="89">
        <v>-345</v>
      </c>
      <c r="E207" s="89">
        <v>-362</v>
      </c>
      <c r="F207" s="89">
        <f t="shared" si="10"/>
        <v>-353.5</v>
      </c>
      <c r="G207" s="400">
        <f t="shared" si="11"/>
        <v>7.4810935729258479E-4</v>
      </c>
      <c r="H207" s="89">
        <f t="shared" si="9"/>
        <v>363.04026457887369</v>
      </c>
    </row>
    <row r="208" spans="1:8" x14ac:dyDescent="0.25">
      <c r="A208" s="399">
        <v>623</v>
      </c>
      <c r="B208" s="399" t="s">
        <v>232</v>
      </c>
      <c r="C208" s="399">
        <v>10</v>
      </c>
      <c r="D208" s="89">
        <v>-220</v>
      </c>
      <c r="E208" s="89">
        <v>-223</v>
      </c>
      <c r="F208" s="89">
        <f t="shared" si="10"/>
        <v>-221.5</v>
      </c>
      <c r="G208" s="400">
        <f t="shared" si="11"/>
        <v>4.6875876277314722E-4</v>
      </c>
      <c r="H208" s="89">
        <f t="shared" si="9"/>
        <v>227.47784612226457</v>
      </c>
    </row>
    <row r="209" spans="1:8" x14ac:dyDescent="0.25">
      <c r="A209" s="399">
        <v>624</v>
      </c>
      <c r="B209" s="399" t="s">
        <v>231</v>
      </c>
      <c r="C209" s="399">
        <v>8</v>
      </c>
      <c r="D209" s="89">
        <v>-357</v>
      </c>
      <c r="E209" s="89">
        <v>-382</v>
      </c>
      <c r="F209" s="89">
        <f t="shared" si="10"/>
        <v>-369.5</v>
      </c>
      <c r="G209" s="400">
        <f t="shared" si="11"/>
        <v>7.8197003541615308E-4</v>
      </c>
      <c r="H209" s="89">
        <f t="shared" si="9"/>
        <v>379.47207287664452</v>
      </c>
    </row>
    <row r="210" spans="1:8" x14ac:dyDescent="0.25">
      <c r="A210" s="399">
        <v>625</v>
      </c>
      <c r="B210" s="399" t="s">
        <v>230</v>
      </c>
      <c r="C210" s="399">
        <v>17</v>
      </c>
      <c r="D210" s="89">
        <v>-356</v>
      </c>
      <c r="E210" s="89">
        <v>-381</v>
      </c>
      <c r="F210" s="89">
        <f t="shared" si="10"/>
        <v>-368.5</v>
      </c>
      <c r="G210" s="400">
        <f t="shared" si="11"/>
        <v>7.7985374303342998E-4</v>
      </c>
      <c r="H210" s="89">
        <f t="shared" si="9"/>
        <v>378.44508485803379</v>
      </c>
    </row>
    <row r="211" spans="1:8" x14ac:dyDescent="0.25">
      <c r="A211" s="399">
        <v>626</v>
      </c>
      <c r="B211" s="399" t="s">
        <v>229</v>
      </c>
      <c r="C211" s="399">
        <v>17</v>
      </c>
      <c r="D211" s="89">
        <v>-553</v>
      </c>
      <c r="E211" s="89">
        <v>-582</v>
      </c>
      <c r="F211" s="89">
        <f t="shared" si="10"/>
        <v>-567.5</v>
      </c>
      <c r="G211" s="400">
        <f t="shared" si="11"/>
        <v>1.2009959271953095E-3</v>
      </c>
      <c r="H211" s="89">
        <f t="shared" si="9"/>
        <v>582.81570056155817</v>
      </c>
    </row>
    <row r="212" spans="1:8" x14ac:dyDescent="0.25">
      <c r="A212" s="399">
        <v>630</v>
      </c>
      <c r="B212" s="399" t="s">
        <v>228</v>
      </c>
      <c r="C212" s="399">
        <v>17</v>
      </c>
      <c r="D212" s="89">
        <v>-215</v>
      </c>
      <c r="E212" s="89">
        <v>-245</v>
      </c>
      <c r="F212" s="89">
        <f t="shared" si="10"/>
        <v>-230</v>
      </c>
      <c r="G212" s="400">
        <f t="shared" si="11"/>
        <v>4.867472480262928E-4</v>
      </c>
      <c r="H212" s="89">
        <f t="shared" si="9"/>
        <v>236.20724428045528</v>
      </c>
    </row>
    <row r="213" spans="1:8" x14ac:dyDescent="0.25">
      <c r="A213" s="399">
        <v>631</v>
      </c>
      <c r="B213" s="399" t="s">
        <v>227</v>
      </c>
      <c r="C213" s="399">
        <v>2</v>
      </c>
      <c r="D213" s="89">
        <v>-165</v>
      </c>
      <c r="E213" s="89">
        <v>-165</v>
      </c>
      <c r="F213" s="89">
        <f t="shared" si="10"/>
        <v>-165</v>
      </c>
      <c r="G213" s="400">
        <f t="shared" si="11"/>
        <v>3.4918824314929703E-4</v>
      </c>
      <c r="H213" s="89">
        <f t="shared" si="9"/>
        <v>169.45302307076142</v>
      </c>
    </row>
    <row r="214" spans="1:8" x14ac:dyDescent="0.25">
      <c r="A214" s="399">
        <v>635</v>
      </c>
      <c r="B214" s="399" t="s">
        <v>226</v>
      </c>
      <c r="C214" s="399">
        <v>6</v>
      </c>
      <c r="D214" s="89">
        <v>-496</v>
      </c>
      <c r="E214" s="89">
        <v>-503</v>
      </c>
      <c r="F214" s="89">
        <f t="shared" si="10"/>
        <v>-499.5</v>
      </c>
      <c r="G214" s="400">
        <f t="shared" si="11"/>
        <v>1.0570880451701446E-3</v>
      </c>
      <c r="H214" s="89">
        <f t="shared" si="9"/>
        <v>512.98051529603231</v>
      </c>
    </row>
    <row r="215" spans="1:8" x14ac:dyDescent="0.25">
      <c r="A215" s="399">
        <v>636</v>
      </c>
      <c r="B215" s="399" t="s">
        <v>225</v>
      </c>
      <c r="C215" s="399">
        <v>2</v>
      </c>
      <c r="D215" s="89">
        <v>-627</v>
      </c>
      <c r="E215" s="89">
        <v>-639</v>
      </c>
      <c r="F215" s="89">
        <f t="shared" si="10"/>
        <v>-633</v>
      </c>
      <c r="G215" s="400">
        <f t="shared" si="11"/>
        <v>1.3396130782636667E-3</v>
      </c>
      <c r="H215" s="89">
        <f t="shared" si="9"/>
        <v>650.0834157805574</v>
      </c>
    </row>
    <row r="216" spans="1:8" x14ac:dyDescent="0.25">
      <c r="A216" s="399">
        <v>638</v>
      </c>
      <c r="B216" s="399" t="s">
        <v>224</v>
      </c>
      <c r="C216" s="399">
        <v>34</v>
      </c>
      <c r="D216" s="89">
        <v>-5014</v>
      </c>
      <c r="E216" s="89">
        <v>-5246</v>
      </c>
      <c r="F216" s="89">
        <f t="shared" si="10"/>
        <v>-5130</v>
      </c>
      <c r="G216" s="400">
        <f t="shared" si="11"/>
        <v>1.0856579923369053E-2</v>
      </c>
      <c r="H216" s="89">
        <f t="shared" si="9"/>
        <v>5268.448535472764</v>
      </c>
    </row>
    <row r="217" spans="1:8" x14ac:dyDescent="0.25">
      <c r="A217" s="399">
        <v>678</v>
      </c>
      <c r="B217" s="399" t="s">
        <v>223</v>
      </c>
      <c r="C217" s="399">
        <v>17</v>
      </c>
      <c r="D217" s="89">
        <v>-3100</v>
      </c>
      <c r="E217" s="89">
        <v>-3088</v>
      </c>
      <c r="F217" s="89">
        <f t="shared" si="10"/>
        <v>-3094</v>
      </c>
      <c r="G217" s="400">
        <f t="shared" si="11"/>
        <v>6.547808632145E-3</v>
      </c>
      <c r="H217" s="89">
        <f t="shared" si="9"/>
        <v>3177.5009295814293</v>
      </c>
    </row>
    <row r="218" spans="1:8" x14ac:dyDescent="0.25">
      <c r="A218" s="399">
        <v>680</v>
      </c>
      <c r="B218" s="399" t="s">
        <v>222</v>
      </c>
      <c r="C218" s="399">
        <v>2</v>
      </c>
      <c r="D218" s="89">
        <v>-1780</v>
      </c>
      <c r="E218" s="89">
        <v>-1857</v>
      </c>
      <c r="F218" s="89">
        <f t="shared" si="10"/>
        <v>-1818.5</v>
      </c>
      <c r="G218" s="400">
        <f t="shared" si="11"/>
        <v>3.8484776979817977E-3</v>
      </c>
      <c r="H218" s="89">
        <f t="shared" si="9"/>
        <v>1867.5777118435128</v>
      </c>
    </row>
    <row r="219" spans="1:8" x14ac:dyDescent="0.25">
      <c r="A219" s="399">
        <v>681</v>
      </c>
      <c r="B219" s="399" t="s">
        <v>221</v>
      </c>
      <c r="C219" s="399">
        <v>10</v>
      </c>
      <c r="D219" s="89">
        <v>-330</v>
      </c>
      <c r="E219" s="89">
        <v>-325</v>
      </c>
      <c r="F219" s="89">
        <f t="shared" si="10"/>
        <v>-327.5</v>
      </c>
      <c r="G219" s="400">
        <f t="shared" si="11"/>
        <v>6.9308575534178648E-4</v>
      </c>
      <c r="H219" s="89">
        <f t="shared" si="9"/>
        <v>336.33857609499614</v>
      </c>
    </row>
    <row r="220" spans="1:8" x14ac:dyDescent="0.25">
      <c r="A220" s="399">
        <v>683</v>
      </c>
      <c r="B220" s="399" t="s">
        <v>220</v>
      </c>
      <c r="C220" s="399">
        <v>19</v>
      </c>
      <c r="D220" s="89">
        <v>-418</v>
      </c>
      <c r="E220" s="89">
        <v>-415</v>
      </c>
      <c r="F220" s="89">
        <f t="shared" si="10"/>
        <v>-416.5</v>
      </c>
      <c r="G220" s="400">
        <f t="shared" si="11"/>
        <v>8.8143577740413463E-4</v>
      </c>
      <c r="H220" s="89">
        <f t="shared" si="9"/>
        <v>427.74050975134622</v>
      </c>
    </row>
    <row r="221" spans="1:8" x14ac:dyDescent="0.25">
      <c r="A221" s="399">
        <v>684</v>
      </c>
      <c r="B221" s="399" t="s">
        <v>219</v>
      </c>
      <c r="C221" s="399">
        <v>4</v>
      </c>
      <c r="D221" s="89">
        <v>-3629</v>
      </c>
      <c r="E221" s="89">
        <v>-3850</v>
      </c>
      <c r="F221" s="89">
        <f t="shared" si="10"/>
        <v>-3739.5</v>
      </c>
      <c r="G221" s="400">
        <f t="shared" si="11"/>
        <v>7.913875365192705E-3</v>
      </c>
      <c r="H221" s="89">
        <f t="shared" si="9"/>
        <v>3840.4216955946204</v>
      </c>
    </row>
    <row r="222" spans="1:8" x14ac:dyDescent="0.25">
      <c r="A222" s="399">
        <v>686</v>
      </c>
      <c r="B222" s="399" t="s">
        <v>218</v>
      </c>
      <c r="C222" s="399">
        <v>11</v>
      </c>
      <c r="D222" s="89">
        <v>-343</v>
      </c>
      <c r="E222" s="89">
        <v>-353</v>
      </c>
      <c r="F222" s="89">
        <f t="shared" si="10"/>
        <v>-348</v>
      </c>
      <c r="G222" s="400">
        <f t="shared" si="11"/>
        <v>7.3646974918760823E-4</v>
      </c>
      <c r="H222" s="89">
        <f t="shared" si="9"/>
        <v>357.39183047651494</v>
      </c>
    </row>
    <row r="223" spans="1:8" x14ac:dyDescent="0.25">
      <c r="A223" s="399">
        <v>687</v>
      </c>
      <c r="B223" s="399" t="s">
        <v>217</v>
      </c>
      <c r="C223" s="399">
        <v>11</v>
      </c>
      <c r="D223" s="89">
        <v>-251</v>
      </c>
      <c r="E223" s="89">
        <v>-282</v>
      </c>
      <c r="F223" s="89">
        <f t="shared" si="10"/>
        <v>-266.5</v>
      </c>
      <c r="G223" s="400">
        <f t="shared" si="11"/>
        <v>5.6399191999568273E-4</v>
      </c>
      <c r="H223" s="89">
        <f t="shared" si="9"/>
        <v>273.69230695974494</v>
      </c>
    </row>
    <row r="224" spans="1:8" x14ac:dyDescent="0.25">
      <c r="A224" s="399">
        <v>689</v>
      </c>
      <c r="B224" s="399" t="s">
        <v>216</v>
      </c>
      <c r="C224" s="399">
        <v>9</v>
      </c>
      <c r="D224" s="89">
        <v>-309</v>
      </c>
      <c r="E224" s="89">
        <v>-330</v>
      </c>
      <c r="F224" s="89">
        <f t="shared" si="10"/>
        <v>-319.5</v>
      </c>
      <c r="G224" s="400">
        <f t="shared" si="11"/>
        <v>6.7615541628000245E-4</v>
      </c>
      <c r="H224" s="89">
        <f t="shared" si="9"/>
        <v>328.12267194611076</v>
      </c>
    </row>
    <row r="225" spans="1:8" x14ac:dyDescent="0.25">
      <c r="A225" s="399">
        <v>691</v>
      </c>
      <c r="B225" s="399" t="s">
        <v>215</v>
      </c>
      <c r="C225" s="399">
        <v>17</v>
      </c>
      <c r="D225" s="89">
        <v>-250</v>
      </c>
      <c r="E225" s="89">
        <v>-241</v>
      </c>
      <c r="F225" s="89">
        <f t="shared" si="10"/>
        <v>-245.5</v>
      </c>
      <c r="G225" s="400">
        <f t="shared" si="11"/>
        <v>5.1954977995849949E-4</v>
      </c>
      <c r="H225" s="89">
        <f t="shared" si="9"/>
        <v>252.12555856892075</v>
      </c>
    </row>
    <row r="226" spans="1:8" x14ac:dyDescent="0.25">
      <c r="A226" s="399">
        <v>694</v>
      </c>
      <c r="B226" s="399" t="s">
        <v>214</v>
      </c>
      <c r="C226" s="399">
        <v>5</v>
      </c>
      <c r="D226" s="89">
        <v>-2203</v>
      </c>
      <c r="E226" s="89">
        <v>-2376</v>
      </c>
      <c r="F226" s="89">
        <f t="shared" si="10"/>
        <v>-2289.5</v>
      </c>
      <c r="G226" s="400">
        <f t="shared" si="11"/>
        <v>4.8452514102443368E-3</v>
      </c>
      <c r="H226" s="89">
        <f t="shared" si="9"/>
        <v>2351.2890686091409</v>
      </c>
    </row>
    <row r="227" spans="1:8" x14ac:dyDescent="0.25">
      <c r="A227" s="399">
        <v>697</v>
      </c>
      <c r="B227" s="399" t="s">
        <v>213</v>
      </c>
      <c r="C227" s="399">
        <v>18</v>
      </c>
      <c r="D227" s="89">
        <v>-168</v>
      </c>
      <c r="E227" s="89">
        <v>-179</v>
      </c>
      <c r="F227" s="89">
        <f t="shared" si="10"/>
        <v>-173.5</v>
      </c>
      <c r="G227" s="400">
        <f t="shared" si="11"/>
        <v>3.6717672840244262E-4</v>
      </c>
      <c r="H227" s="89">
        <f t="shared" si="9"/>
        <v>178.18242122895214</v>
      </c>
    </row>
    <row r="228" spans="1:8" x14ac:dyDescent="0.25">
      <c r="A228" s="399">
        <v>698</v>
      </c>
      <c r="B228" s="399" t="s">
        <v>212</v>
      </c>
      <c r="C228" s="399">
        <v>19</v>
      </c>
      <c r="D228" s="89">
        <v>-5062</v>
      </c>
      <c r="E228" s="89">
        <v>-5537</v>
      </c>
      <c r="F228" s="89">
        <f t="shared" si="10"/>
        <v>-5299.5</v>
      </c>
      <c r="G228" s="400">
        <f t="shared" si="11"/>
        <v>1.1215291482240604E-2</v>
      </c>
      <c r="H228" s="89">
        <f t="shared" si="9"/>
        <v>5442.5230046272736</v>
      </c>
    </row>
    <row r="229" spans="1:8" x14ac:dyDescent="0.25">
      <c r="A229" s="399">
        <v>700</v>
      </c>
      <c r="B229" s="399" t="s">
        <v>211</v>
      </c>
      <c r="C229" s="399">
        <v>9</v>
      </c>
      <c r="D229" s="89">
        <v>-417</v>
      </c>
      <c r="E229" s="89">
        <v>-438</v>
      </c>
      <c r="F229" s="89">
        <f t="shared" si="10"/>
        <v>-427.5</v>
      </c>
      <c r="G229" s="400">
        <f t="shared" si="11"/>
        <v>9.0471499361408775E-4</v>
      </c>
      <c r="H229" s="89">
        <f t="shared" si="9"/>
        <v>439.03737795606366</v>
      </c>
    </row>
    <row r="230" spans="1:8" x14ac:dyDescent="0.25">
      <c r="A230" s="399">
        <v>702</v>
      </c>
      <c r="B230" s="399" t="s">
        <v>210</v>
      </c>
      <c r="C230" s="399">
        <v>6</v>
      </c>
      <c r="D230" s="89">
        <v>-343</v>
      </c>
      <c r="E230" s="89">
        <v>-345</v>
      </c>
      <c r="F230" s="89">
        <f t="shared" si="10"/>
        <v>-344</v>
      </c>
      <c r="G230" s="400">
        <f t="shared" si="11"/>
        <v>7.2800457965671616E-4</v>
      </c>
      <c r="H230" s="89">
        <f t="shared" si="9"/>
        <v>353.28387840207228</v>
      </c>
    </row>
    <row r="231" spans="1:8" x14ac:dyDescent="0.25">
      <c r="A231" s="399">
        <v>704</v>
      </c>
      <c r="B231" s="399" t="s">
        <v>209</v>
      </c>
      <c r="C231" s="399">
        <v>2</v>
      </c>
      <c r="D231" s="89">
        <v>-514</v>
      </c>
      <c r="E231" s="89">
        <v>-542</v>
      </c>
      <c r="F231" s="89">
        <f t="shared" si="10"/>
        <v>-528</v>
      </c>
      <c r="G231" s="400">
        <f t="shared" si="11"/>
        <v>1.1174023780777505E-3</v>
      </c>
      <c r="H231" s="89">
        <f t="shared" si="9"/>
        <v>542.24967382643649</v>
      </c>
    </row>
    <row r="232" spans="1:8" x14ac:dyDescent="0.25">
      <c r="A232" s="399">
        <v>707</v>
      </c>
      <c r="B232" s="399" t="s">
        <v>208</v>
      </c>
      <c r="C232" s="399">
        <v>12</v>
      </c>
      <c r="D232" s="89">
        <v>-179</v>
      </c>
      <c r="E232" s="89">
        <v>-201</v>
      </c>
      <c r="F232" s="89">
        <f t="shared" si="10"/>
        <v>-190</v>
      </c>
      <c r="G232" s="400">
        <f t="shared" si="11"/>
        <v>4.0209555271737235E-4</v>
      </c>
      <c r="H232" s="89">
        <f t="shared" si="9"/>
        <v>195.1277235360283</v>
      </c>
    </row>
    <row r="233" spans="1:8" x14ac:dyDescent="0.25">
      <c r="A233" s="399">
        <v>710</v>
      </c>
      <c r="B233" s="399" t="s">
        <v>207</v>
      </c>
      <c r="C233" s="399">
        <v>33</v>
      </c>
      <c r="D233" s="89">
        <v>-1886</v>
      </c>
      <c r="E233" s="89">
        <v>-1937</v>
      </c>
      <c r="F233" s="89">
        <f t="shared" si="10"/>
        <v>-1911.5</v>
      </c>
      <c r="G233" s="400">
        <f t="shared" si="11"/>
        <v>4.0452928895750376E-3</v>
      </c>
      <c r="H233" s="89">
        <f t="shared" si="9"/>
        <v>1963.0875975743056</v>
      </c>
    </row>
    <row r="234" spans="1:8" x14ac:dyDescent="0.25">
      <c r="A234" s="399">
        <v>729</v>
      </c>
      <c r="B234" s="399" t="s">
        <v>206</v>
      </c>
      <c r="C234" s="399">
        <v>13</v>
      </c>
      <c r="D234" s="89">
        <v>-864</v>
      </c>
      <c r="E234" s="89">
        <v>-880</v>
      </c>
      <c r="F234" s="89">
        <f t="shared" si="10"/>
        <v>-872</v>
      </c>
      <c r="G234" s="400">
        <f t="shared" si="11"/>
        <v>1.8454069577344668E-3</v>
      </c>
      <c r="H234" s="89">
        <f t="shared" si="9"/>
        <v>895.53355222850882</v>
      </c>
    </row>
    <row r="235" spans="1:8" x14ac:dyDescent="0.25">
      <c r="A235" s="399">
        <v>732</v>
      </c>
      <c r="B235" s="399" t="s">
        <v>205</v>
      </c>
      <c r="C235" s="399">
        <v>19</v>
      </c>
      <c r="D235" s="89">
        <v>-383</v>
      </c>
      <c r="E235" s="89">
        <v>-414</v>
      </c>
      <c r="F235" s="89">
        <f t="shared" si="10"/>
        <v>-398.5</v>
      </c>
      <c r="G235" s="400">
        <f t="shared" si="11"/>
        <v>8.4334251451512036E-4</v>
      </c>
      <c r="H235" s="89">
        <f t="shared" si="9"/>
        <v>409.25472541635406</v>
      </c>
    </row>
    <row r="236" spans="1:8" x14ac:dyDescent="0.25">
      <c r="A236" s="399">
        <v>734</v>
      </c>
      <c r="B236" s="399" t="s">
        <v>204</v>
      </c>
      <c r="C236" s="399">
        <v>2</v>
      </c>
      <c r="D236" s="89">
        <v>-3931</v>
      </c>
      <c r="E236" s="89">
        <v>-3955</v>
      </c>
      <c r="F236" s="89">
        <f t="shared" si="10"/>
        <v>-3943</v>
      </c>
      <c r="G236" s="400">
        <f t="shared" si="11"/>
        <v>8.3445408650768375E-3</v>
      </c>
      <c r="H236" s="89">
        <f t="shared" si="9"/>
        <v>4049.4137573818925</v>
      </c>
    </row>
    <row r="237" spans="1:8" x14ac:dyDescent="0.25">
      <c r="A237" s="399">
        <v>738</v>
      </c>
      <c r="B237" s="399" t="s">
        <v>203</v>
      </c>
      <c r="C237" s="399">
        <v>2</v>
      </c>
      <c r="D237" s="89">
        <v>-235</v>
      </c>
      <c r="E237" s="89">
        <v>-255</v>
      </c>
      <c r="F237" s="89">
        <f t="shared" si="10"/>
        <v>-245</v>
      </c>
      <c r="G237" s="400">
        <f t="shared" si="11"/>
        <v>5.1849163376713799E-4</v>
      </c>
      <c r="H237" s="89">
        <f t="shared" si="9"/>
        <v>251.61206455961542</v>
      </c>
    </row>
    <row r="238" spans="1:8" x14ac:dyDescent="0.25">
      <c r="A238" s="399">
        <v>739</v>
      </c>
      <c r="B238" s="399" t="s">
        <v>202</v>
      </c>
      <c r="C238" s="399">
        <v>9</v>
      </c>
      <c r="D238" s="89">
        <v>-320</v>
      </c>
      <c r="E238" s="89">
        <v>-330</v>
      </c>
      <c r="F238" s="89">
        <f t="shared" si="10"/>
        <v>-325</v>
      </c>
      <c r="G238" s="400">
        <f t="shared" si="11"/>
        <v>6.87795024384979E-4</v>
      </c>
      <c r="H238" s="89">
        <f t="shared" si="9"/>
        <v>333.77110604846945</v>
      </c>
    </row>
    <row r="239" spans="1:8" x14ac:dyDescent="0.25">
      <c r="A239" s="399">
        <v>740</v>
      </c>
      <c r="B239" s="399" t="s">
        <v>201</v>
      </c>
      <c r="C239" s="399">
        <v>10</v>
      </c>
      <c r="D239" s="89">
        <v>-3208</v>
      </c>
      <c r="E239" s="89">
        <v>-3329</v>
      </c>
      <c r="F239" s="89">
        <f t="shared" si="10"/>
        <v>-3268.5</v>
      </c>
      <c r="G239" s="400">
        <f t="shared" si="11"/>
        <v>6.9171016529301658E-3</v>
      </c>
      <c r="H239" s="89">
        <f t="shared" si="9"/>
        <v>3356.710338828992</v>
      </c>
    </row>
    <row r="240" spans="1:8" x14ac:dyDescent="0.25">
      <c r="A240" s="399">
        <v>742</v>
      </c>
      <c r="B240" s="399" t="s">
        <v>200</v>
      </c>
      <c r="C240" s="399">
        <v>19</v>
      </c>
      <c r="D240" s="89">
        <v>-205</v>
      </c>
      <c r="E240" s="89">
        <v>-224</v>
      </c>
      <c r="F240" s="89">
        <f t="shared" si="10"/>
        <v>-214.5</v>
      </c>
      <c r="G240" s="400">
        <f t="shared" si="11"/>
        <v>4.5394471609408612E-4</v>
      </c>
      <c r="H240" s="89">
        <f t="shared" si="9"/>
        <v>220.28892999198982</v>
      </c>
    </row>
    <row r="241" spans="1:8" x14ac:dyDescent="0.25">
      <c r="A241" s="399">
        <v>743</v>
      </c>
      <c r="B241" s="399" t="s">
        <v>199</v>
      </c>
      <c r="C241" s="399">
        <v>14</v>
      </c>
      <c r="D241" s="89">
        <v>-6222</v>
      </c>
      <c r="E241" s="89">
        <v>-6399</v>
      </c>
      <c r="F241" s="89">
        <f t="shared" si="10"/>
        <v>-6310.5</v>
      </c>
      <c r="G241" s="400">
        <f t="shared" si="11"/>
        <v>1.3354863081173569E-2</v>
      </c>
      <c r="H241" s="89">
        <f t="shared" si="9"/>
        <v>6480.807891442666</v>
      </c>
    </row>
    <row r="242" spans="1:8" x14ac:dyDescent="0.25">
      <c r="A242" s="399">
        <v>746</v>
      </c>
      <c r="B242" s="399" t="s">
        <v>198</v>
      </c>
      <c r="C242" s="399">
        <v>17</v>
      </c>
      <c r="D242" s="89">
        <v>-550</v>
      </c>
      <c r="E242" s="89">
        <v>-531</v>
      </c>
      <c r="F242" s="89">
        <f t="shared" si="10"/>
        <v>-540.5</v>
      </c>
      <c r="G242" s="400">
        <f t="shared" si="11"/>
        <v>1.1438560328617881E-3</v>
      </c>
      <c r="H242" s="89">
        <f t="shared" si="9"/>
        <v>555.0870240590699</v>
      </c>
    </row>
    <row r="243" spans="1:8" x14ac:dyDescent="0.25">
      <c r="A243" s="399">
        <v>747</v>
      </c>
      <c r="B243" s="399" t="s">
        <v>197</v>
      </c>
      <c r="C243" s="399">
        <v>4</v>
      </c>
      <c r="D243" s="89">
        <v>-172</v>
      </c>
      <c r="E243" s="89">
        <v>-165</v>
      </c>
      <c r="F243" s="89">
        <f t="shared" si="10"/>
        <v>-168.5</v>
      </c>
      <c r="G243" s="400">
        <f t="shared" si="11"/>
        <v>3.5659526648882756E-4</v>
      </c>
      <c r="H243" s="89">
        <f t="shared" si="9"/>
        <v>173.04748113589878</v>
      </c>
    </row>
    <row r="244" spans="1:8" x14ac:dyDescent="0.25">
      <c r="A244" s="399">
        <v>748</v>
      </c>
      <c r="B244" s="399" t="s">
        <v>196</v>
      </c>
      <c r="C244" s="399">
        <v>17</v>
      </c>
      <c r="D244" s="89">
        <v>-518</v>
      </c>
      <c r="E244" s="89">
        <v>-635</v>
      </c>
      <c r="F244" s="89">
        <f t="shared" si="10"/>
        <v>-576.5</v>
      </c>
      <c r="G244" s="400">
        <f t="shared" si="11"/>
        <v>1.2200425586398167E-3</v>
      </c>
      <c r="H244" s="89">
        <f t="shared" si="9"/>
        <v>592.05859272905434</v>
      </c>
    </row>
    <row r="245" spans="1:8" x14ac:dyDescent="0.25">
      <c r="A245" s="399">
        <v>749</v>
      </c>
      <c r="B245" s="399" t="s">
        <v>195</v>
      </c>
      <c r="C245" s="399">
        <v>11</v>
      </c>
      <c r="D245" s="89">
        <v>-1861</v>
      </c>
      <c r="E245" s="89">
        <v>-2097</v>
      </c>
      <c r="F245" s="89">
        <f t="shared" si="10"/>
        <v>-1979</v>
      </c>
      <c r="G245" s="400">
        <f t="shared" si="11"/>
        <v>4.1881426254088416E-3</v>
      </c>
      <c r="H245" s="89">
        <f t="shared" si="9"/>
        <v>2032.4092888305265</v>
      </c>
    </row>
    <row r="246" spans="1:8" x14ac:dyDescent="0.25">
      <c r="A246" s="399">
        <v>751</v>
      </c>
      <c r="B246" s="399" t="s">
        <v>194</v>
      </c>
      <c r="C246" s="399">
        <v>19</v>
      </c>
      <c r="D246" s="89">
        <v>-272</v>
      </c>
      <c r="E246" s="89">
        <v>-272</v>
      </c>
      <c r="F246" s="89">
        <f t="shared" si="10"/>
        <v>-272</v>
      </c>
      <c r="G246" s="400">
        <f t="shared" si="11"/>
        <v>5.7563152810065929E-4</v>
      </c>
      <c r="H246" s="89">
        <f t="shared" si="9"/>
        <v>279.34074106210363</v>
      </c>
    </row>
    <row r="247" spans="1:8" x14ac:dyDescent="0.25">
      <c r="A247" s="399">
        <v>753</v>
      </c>
      <c r="B247" s="399" t="s">
        <v>193</v>
      </c>
      <c r="C247" s="399">
        <v>34</v>
      </c>
      <c r="D247" s="89">
        <v>-2482</v>
      </c>
      <c r="E247" s="89">
        <v>-2490</v>
      </c>
      <c r="F247" s="89">
        <f t="shared" si="10"/>
        <v>-2486</v>
      </c>
      <c r="G247" s="400">
        <f t="shared" si="11"/>
        <v>5.2611028634494085E-3</v>
      </c>
      <c r="H247" s="89">
        <f t="shared" si="9"/>
        <v>2553.0922142661384</v>
      </c>
    </row>
    <row r="248" spans="1:8" x14ac:dyDescent="0.25">
      <c r="A248" s="399">
        <v>755</v>
      </c>
      <c r="B248" s="399" t="s">
        <v>192</v>
      </c>
      <c r="C248" s="399">
        <v>33</v>
      </c>
      <c r="D248" s="89">
        <v>-450</v>
      </c>
      <c r="E248" s="89">
        <v>-464</v>
      </c>
      <c r="F248" s="89">
        <f t="shared" si="10"/>
        <v>-457</v>
      </c>
      <c r="G248" s="400">
        <f t="shared" si="11"/>
        <v>9.6714561890441663E-4</v>
      </c>
      <c r="H248" s="89">
        <f t="shared" si="9"/>
        <v>469.33352450507857</v>
      </c>
    </row>
    <row r="249" spans="1:8" x14ac:dyDescent="0.25">
      <c r="A249" s="399">
        <v>758</v>
      </c>
      <c r="B249" s="399" t="s">
        <v>191</v>
      </c>
      <c r="C249" s="399">
        <v>19</v>
      </c>
      <c r="D249" s="89">
        <v>-935</v>
      </c>
      <c r="E249" s="89">
        <v>-1020</v>
      </c>
      <c r="F249" s="89">
        <f t="shared" si="10"/>
        <v>-977.5</v>
      </c>
      <c r="G249" s="400">
        <f t="shared" si="11"/>
        <v>2.0686758041117445E-3</v>
      </c>
      <c r="H249" s="89">
        <f t="shared" si="9"/>
        <v>1003.880788191935</v>
      </c>
    </row>
    <row r="250" spans="1:8" x14ac:dyDescent="0.25">
      <c r="A250" s="399">
        <v>759</v>
      </c>
      <c r="B250" s="399" t="s">
        <v>190</v>
      </c>
      <c r="C250" s="399">
        <v>14</v>
      </c>
      <c r="D250" s="89">
        <v>-184</v>
      </c>
      <c r="E250" s="89">
        <v>-186</v>
      </c>
      <c r="F250" s="89">
        <f t="shared" si="10"/>
        <v>-185</v>
      </c>
      <c r="G250" s="400">
        <f t="shared" si="11"/>
        <v>3.9151409080375729E-4</v>
      </c>
      <c r="H250" s="89">
        <f t="shared" si="9"/>
        <v>189.99278344297491</v>
      </c>
    </row>
    <row r="251" spans="1:8" x14ac:dyDescent="0.25">
      <c r="A251" s="399">
        <v>761</v>
      </c>
      <c r="B251" s="399" t="s">
        <v>189</v>
      </c>
      <c r="C251" s="399">
        <v>2</v>
      </c>
      <c r="D251" s="89">
        <v>-633</v>
      </c>
      <c r="E251" s="89">
        <v>-658</v>
      </c>
      <c r="F251" s="89">
        <f t="shared" si="10"/>
        <v>-645.5</v>
      </c>
      <c r="G251" s="400">
        <f t="shared" si="11"/>
        <v>1.3660667330477043E-3</v>
      </c>
      <c r="H251" s="89">
        <f t="shared" si="9"/>
        <v>662.92076601319081</v>
      </c>
    </row>
    <row r="252" spans="1:8" x14ac:dyDescent="0.25">
      <c r="A252" s="399">
        <v>762</v>
      </c>
      <c r="B252" s="399" t="s">
        <v>188</v>
      </c>
      <c r="C252" s="399">
        <v>11</v>
      </c>
      <c r="D252" s="89">
        <v>-414</v>
      </c>
      <c r="E252" s="89">
        <v>-420</v>
      </c>
      <c r="F252" s="89">
        <f t="shared" si="10"/>
        <v>-417</v>
      </c>
      <c r="G252" s="400">
        <f t="shared" si="11"/>
        <v>8.8249392359549613E-4</v>
      </c>
      <c r="H252" s="89">
        <f t="shared" si="9"/>
        <v>428.25400376065159</v>
      </c>
    </row>
    <row r="253" spans="1:8" x14ac:dyDescent="0.25">
      <c r="A253" s="399">
        <v>765</v>
      </c>
      <c r="B253" s="399" t="s">
        <v>187</v>
      </c>
      <c r="C253" s="399">
        <v>18</v>
      </c>
      <c r="D253" s="89">
        <v>-1362</v>
      </c>
      <c r="E253" s="89">
        <v>-1538</v>
      </c>
      <c r="F253" s="89">
        <f t="shared" si="10"/>
        <v>-1450</v>
      </c>
      <c r="G253" s="400">
        <f t="shared" si="11"/>
        <v>3.0686239549483677E-3</v>
      </c>
      <c r="H253" s="89">
        <f t="shared" si="9"/>
        <v>1489.132626985479</v>
      </c>
    </row>
    <row r="254" spans="1:8" x14ac:dyDescent="0.25">
      <c r="A254" s="399">
        <v>768</v>
      </c>
      <c r="B254" s="399" t="s">
        <v>186</v>
      </c>
      <c r="C254" s="399">
        <v>10</v>
      </c>
      <c r="D254" s="89">
        <v>-302</v>
      </c>
      <c r="E254" s="89">
        <v>-316</v>
      </c>
      <c r="F254" s="89">
        <f t="shared" si="10"/>
        <v>-309</v>
      </c>
      <c r="G254" s="400">
        <f t="shared" si="11"/>
        <v>6.5393434626141082E-4</v>
      </c>
      <c r="H254" s="89">
        <f t="shared" si="9"/>
        <v>317.33929775069868</v>
      </c>
    </row>
    <row r="255" spans="1:8" x14ac:dyDescent="0.25">
      <c r="A255" s="399">
        <v>777</v>
      </c>
      <c r="B255" s="399" t="s">
        <v>185</v>
      </c>
      <c r="C255" s="399">
        <v>18</v>
      </c>
      <c r="D255" s="89">
        <v>-1019</v>
      </c>
      <c r="E255" s="89">
        <v>-1103</v>
      </c>
      <c r="F255" s="89">
        <f t="shared" si="10"/>
        <v>-1061</v>
      </c>
      <c r="G255" s="400">
        <f t="shared" si="11"/>
        <v>2.245386218069116E-3</v>
      </c>
      <c r="H255" s="89">
        <f t="shared" si="9"/>
        <v>1089.6342877459265</v>
      </c>
    </row>
    <row r="256" spans="1:8" x14ac:dyDescent="0.25">
      <c r="A256" s="399">
        <v>778</v>
      </c>
      <c r="B256" s="399" t="s">
        <v>184</v>
      </c>
      <c r="C256" s="399">
        <v>11</v>
      </c>
      <c r="D256" s="89">
        <v>-638</v>
      </c>
      <c r="E256" s="89">
        <v>-651</v>
      </c>
      <c r="F256" s="89">
        <f t="shared" si="10"/>
        <v>-644.5</v>
      </c>
      <c r="G256" s="400">
        <f t="shared" si="11"/>
        <v>1.3639504406649813E-3</v>
      </c>
      <c r="H256" s="89">
        <f t="shared" si="9"/>
        <v>661.8937779945802</v>
      </c>
    </row>
    <row r="257" spans="1:8" x14ac:dyDescent="0.25">
      <c r="A257" s="399">
        <v>781</v>
      </c>
      <c r="B257" s="399" t="s">
        <v>183</v>
      </c>
      <c r="C257" s="399">
        <v>7</v>
      </c>
      <c r="D257" s="89">
        <v>-277</v>
      </c>
      <c r="E257" s="89">
        <v>-275</v>
      </c>
      <c r="F257" s="89">
        <f t="shared" si="10"/>
        <v>-276</v>
      </c>
      <c r="G257" s="400">
        <f t="shared" si="11"/>
        <v>5.8409669763155136E-4</v>
      </c>
      <c r="H257" s="89">
        <f t="shared" si="9"/>
        <v>283.44869313654635</v>
      </c>
    </row>
    <row r="258" spans="1:8" x14ac:dyDescent="0.25">
      <c r="A258" s="399">
        <v>783</v>
      </c>
      <c r="B258" s="399" t="s">
        <v>182</v>
      </c>
      <c r="C258" s="399">
        <v>4</v>
      </c>
      <c r="D258" s="89">
        <v>-764</v>
      </c>
      <c r="E258" s="89">
        <v>-742</v>
      </c>
      <c r="F258" s="89">
        <f t="shared" si="10"/>
        <v>-753</v>
      </c>
      <c r="G258" s="400">
        <f t="shared" si="11"/>
        <v>1.5935681641904282E-3</v>
      </c>
      <c r="H258" s="89">
        <f t="shared" si="9"/>
        <v>773.32197801383847</v>
      </c>
    </row>
    <row r="259" spans="1:8" x14ac:dyDescent="0.25">
      <c r="A259" s="399">
        <v>785</v>
      </c>
      <c r="B259" s="399" t="s">
        <v>181</v>
      </c>
      <c r="C259" s="399">
        <v>17</v>
      </c>
      <c r="D259" s="89">
        <v>-213</v>
      </c>
      <c r="E259" s="89">
        <v>-215</v>
      </c>
      <c r="F259" s="89">
        <f t="shared" si="10"/>
        <v>-214</v>
      </c>
      <c r="G259" s="400">
        <f t="shared" si="11"/>
        <v>4.5288656990272462E-4</v>
      </c>
      <c r="H259" s="89">
        <f t="shared" si="9"/>
        <v>219.77543598268448</v>
      </c>
    </row>
    <row r="260" spans="1:8" x14ac:dyDescent="0.25">
      <c r="A260" s="399">
        <v>790</v>
      </c>
      <c r="B260" s="399" t="s">
        <v>180</v>
      </c>
      <c r="C260" s="399">
        <v>6</v>
      </c>
      <c r="D260" s="89">
        <v>-1938</v>
      </c>
      <c r="E260" s="89">
        <v>-1973</v>
      </c>
      <c r="F260" s="89">
        <f t="shared" si="10"/>
        <v>-1955.5</v>
      </c>
      <c r="G260" s="400">
        <f t="shared" si="11"/>
        <v>4.13840975441485E-3</v>
      </c>
      <c r="H260" s="89">
        <f t="shared" si="9"/>
        <v>2008.2750703931752</v>
      </c>
    </row>
    <row r="261" spans="1:8" x14ac:dyDescent="0.25">
      <c r="A261" s="399">
        <v>791</v>
      </c>
      <c r="B261" s="399" t="s">
        <v>179</v>
      </c>
      <c r="C261" s="399">
        <v>17</v>
      </c>
      <c r="D261" s="89">
        <v>-618</v>
      </c>
      <c r="E261" s="89">
        <v>-800</v>
      </c>
      <c r="F261" s="89">
        <f t="shared" si="10"/>
        <v>-709</v>
      </c>
      <c r="G261" s="400">
        <f t="shared" si="11"/>
        <v>1.5004512993506158E-3</v>
      </c>
      <c r="H261" s="89">
        <f t="shared" si="9"/>
        <v>728.13450519496882</v>
      </c>
    </row>
    <row r="262" spans="1:8" x14ac:dyDescent="0.25">
      <c r="A262" s="399">
        <v>831</v>
      </c>
      <c r="B262" s="399" t="s">
        <v>178</v>
      </c>
      <c r="C262" s="399">
        <v>9</v>
      </c>
      <c r="D262" s="89">
        <v>-444</v>
      </c>
      <c r="E262" s="89">
        <v>-439</v>
      </c>
      <c r="F262" s="89">
        <f t="shared" si="10"/>
        <v>-441.5</v>
      </c>
      <c r="G262" s="400">
        <f t="shared" si="11"/>
        <v>9.3434308697220995E-4</v>
      </c>
      <c r="H262" s="89">
        <f t="shared" si="9"/>
        <v>453.4152102166131</v>
      </c>
    </row>
    <row r="263" spans="1:8" x14ac:dyDescent="0.25">
      <c r="A263" s="399">
        <v>832</v>
      </c>
      <c r="B263" s="399" t="s">
        <v>177</v>
      </c>
      <c r="C263" s="399">
        <v>17</v>
      </c>
      <c r="D263" s="89">
        <v>-278</v>
      </c>
      <c r="E263" s="89">
        <v>-277</v>
      </c>
      <c r="F263" s="89">
        <f t="shared" si="10"/>
        <v>-277.5</v>
      </c>
      <c r="G263" s="400">
        <f t="shared" si="11"/>
        <v>5.8727113620563585E-4</v>
      </c>
      <c r="H263" s="89">
        <f t="shared" si="9"/>
        <v>284.98917516446232</v>
      </c>
    </row>
    <row r="264" spans="1:8" x14ac:dyDescent="0.25">
      <c r="A264" s="399">
        <v>833</v>
      </c>
      <c r="B264" s="399" t="s">
        <v>176</v>
      </c>
      <c r="C264" s="399">
        <v>2</v>
      </c>
      <c r="D264" s="89">
        <v>-128</v>
      </c>
      <c r="E264" s="89">
        <v>-130</v>
      </c>
      <c r="F264" s="89">
        <f t="shared" si="10"/>
        <v>-129</v>
      </c>
      <c r="G264" s="400">
        <f t="shared" si="11"/>
        <v>2.730017173712686E-4</v>
      </c>
      <c r="H264" s="89">
        <f t="shared" si="9"/>
        <v>132.48145440077712</v>
      </c>
    </row>
    <row r="265" spans="1:8" x14ac:dyDescent="0.25">
      <c r="A265" s="399">
        <v>834</v>
      </c>
      <c r="B265" s="399" t="s">
        <v>175</v>
      </c>
      <c r="C265" s="399">
        <v>5</v>
      </c>
      <c r="D265" s="89">
        <v>-430</v>
      </c>
      <c r="E265" s="89">
        <v>-444</v>
      </c>
      <c r="F265" s="89">
        <f t="shared" si="10"/>
        <v>-437</v>
      </c>
      <c r="G265" s="400">
        <f t="shared" si="11"/>
        <v>9.2481977124995638E-4</v>
      </c>
      <c r="H265" s="89">
        <f t="shared" si="9"/>
        <v>448.79376413286508</v>
      </c>
    </row>
    <row r="266" spans="1:8" x14ac:dyDescent="0.25">
      <c r="A266" s="399">
        <v>837</v>
      </c>
      <c r="B266" s="399" t="s">
        <v>174</v>
      </c>
      <c r="C266" s="399">
        <v>6</v>
      </c>
      <c r="D266" s="89">
        <v>-19535</v>
      </c>
      <c r="E266" s="89">
        <v>-20329</v>
      </c>
      <c r="F266" s="89">
        <f t="shared" si="10"/>
        <v>-19932</v>
      </c>
      <c r="G266" s="400">
        <f t="shared" si="11"/>
        <v>4.2181939772435083E-2</v>
      </c>
      <c r="H266" s="89">
        <f t="shared" si="9"/>
        <v>20469.925186947981</v>
      </c>
    </row>
    <row r="267" spans="1:8" x14ac:dyDescent="0.25">
      <c r="A267" s="399">
        <v>844</v>
      </c>
      <c r="B267" s="399" t="s">
        <v>173</v>
      </c>
      <c r="C267" s="399">
        <v>11</v>
      </c>
      <c r="D267" s="89">
        <v>-162</v>
      </c>
      <c r="E267" s="89">
        <v>-167</v>
      </c>
      <c r="F267" s="89">
        <f t="shared" si="10"/>
        <v>-164.5</v>
      </c>
      <c r="G267" s="400">
        <f t="shared" si="11"/>
        <v>3.4813009695793554E-4</v>
      </c>
      <c r="H267" s="89">
        <f t="shared" si="9"/>
        <v>168.93952906145608</v>
      </c>
    </row>
    <row r="268" spans="1:8" x14ac:dyDescent="0.25">
      <c r="A268" s="399">
        <v>845</v>
      </c>
      <c r="B268" s="399" t="s">
        <v>172</v>
      </c>
      <c r="C268" s="399">
        <v>19</v>
      </c>
      <c r="D268" s="89">
        <v>-303</v>
      </c>
      <c r="E268" s="89">
        <v>-331</v>
      </c>
      <c r="F268" s="89">
        <f t="shared" si="10"/>
        <v>-317</v>
      </c>
      <c r="G268" s="400">
        <f t="shared" si="11"/>
        <v>6.7086468532319486E-4</v>
      </c>
      <c r="H268" s="89">
        <f t="shared" si="9"/>
        <v>325.55520189958401</v>
      </c>
    </row>
    <row r="269" spans="1:8" x14ac:dyDescent="0.25">
      <c r="A269" s="399">
        <v>846</v>
      </c>
      <c r="B269" s="399" t="s">
        <v>171</v>
      </c>
      <c r="C269" s="399">
        <v>14</v>
      </c>
      <c r="D269" s="89">
        <v>-503</v>
      </c>
      <c r="E269" s="89">
        <v>-509</v>
      </c>
      <c r="F269" s="89">
        <f t="shared" si="10"/>
        <v>-506</v>
      </c>
      <c r="G269" s="400">
        <f t="shared" si="11"/>
        <v>1.0708439456578443E-3</v>
      </c>
      <c r="H269" s="89">
        <f t="shared" ref="H269:H305" si="12">(G269*E$12)*(-1)</f>
        <v>519.65593741700172</v>
      </c>
    </row>
    <row r="270" spans="1:8" x14ac:dyDescent="0.25">
      <c r="A270" s="399">
        <v>848</v>
      </c>
      <c r="B270" s="399" t="s">
        <v>170</v>
      </c>
      <c r="C270" s="399">
        <v>12</v>
      </c>
      <c r="D270" s="89">
        <v>-407</v>
      </c>
      <c r="E270" s="89">
        <v>-425</v>
      </c>
      <c r="F270" s="89">
        <f t="shared" ref="F270:F305" si="13">(D270+E270)/2</f>
        <v>-416</v>
      </c>
      <c r="G270" s="400">
        <f t="shared" ref="G270:G305" si="14">F270/F$12</f>
        <v>8.8037763121277313E-4</v>
      </c>
      <c r="H270" s="89">
        <f t="shared" si="12"/>
        <v>427.22701574204092</v>
      </c>
    </row>
    <row r="271" spans="1:8" x14ac:dyDescent="0.25">
      <c r="A271" s="399">
        <v>849</v>
      </c>
      <c r="B271" s="399" t="s">
        <v>169</v>
      </c>
      <c r="C271" s="399">
        <v>16</v>
      </c>
      <c r="D271" s="89">
        <v>-376</v>
      </c>
      <c r="E271" s="89">
        <v>-385</v>
      </c>
      <c r="F271" s="89">
        <f t="shared" si="13"/>
        <v>-380.5</v>
      </c>
      <c r="G271" s="400">
        <f t="shared" si="14"/>
        <v>8.052492516261062E-4</v>
      </c>
      <c r="H271" s="89">
        <f t="shared" si="12"/>
        <v>390.76894108136196</v>
      </c>
    </row>
    <row r="272" spans="1:8" x14ac:dyDescent="0.25">
      <c r="A272" s="399">
        <v>850</v>
      </c>
      <c r="B272" s="399" t="s">
        <v>168</v>
      </c>
      <c r="C272" s="399">
        <v>13</v>
      </c>
      <c r="D272" s="89">
        <v>-218</v>
      </c>
      <c r="E272" s="89">
        <v>-225</v>
      </c>
      <c r="F272" s="89">
        <f t="shared" si="13"/>
        <v>-221.5</v>
      </c>
      <c r="G272" s="400">
        <f t="shared" si="14"/>
        <v>4.6875876277314722E-4</v>
      </c>
      <c r="H272" s="89">
        <f t="shared" si="12"/>
        <v>227.47784612226457</v>
      </c>
    </row>
    <row r="273" spans="1:8" x14ac:dyDescent="0.25">
      <c r="A273" s="399">
        <v>851</v>
      </c>
      <c r="B273" s="399" t="s">
        <v>167</v>
      </c>
      <c r="C273" s="399">
        <v>19</v>
      </c>
      <c r="D273" s="89">
        <v>-2151</v>
      </c>
      <c r="E273" s="89">
        <v>-2528</v>
      </c>
      <c r="F273" s="89">
        <f t="shared" si="13"/>
        <v>-2339.5</v>
      </c>
      <c r="G273" s="400">
        <f t="shared" si="14"/>
        <v>4.9510660293804873E-3</v>
      </c>
      <c r="H273" s="89">
        <f t="shared" si="12"/>
        <v>2402.6384695396746</v>
      </c>
    </row>
    <row r="274" spans="1:8" x14ac:dyDescent="0.25">
      <c r="A274" s="399">
        <v>853</v>
      </c>
      <c r="B274" s="399" t="s">
        <v>166</v>
      </c>
      <c r="C274" s="399">
        <v>2</v>
      </c>
      <c r="D274" s="89">
        <v>-14411</v>
      </c>
      <c r="E274" s="89">
        <v>-15348</v>
      </c>
      <c r="F274" s="89">
        <f t="shared" si="13"/>
        <v>-14879.5</v>
      </c>
      <c r="G274" s="400">
        <f t="shared" si="14"/>
        <v>3.1489372508727062E-2</v>
      </c>
      <c r="H274" s="89">
        <f t="shared" si="12"/>
        <v>15281.068222917542</v>
      </c>
    </row>
    <row r="275" spans="1:8" x14ac:dyDescent="0.25">
      <c r="A275" s="399">
        <v>854</v>
      </c>
      <c r="B275" s="399" t="s">
        <v>165</v>
      </c>
      <c r="C275" s="399">
        <v>19</v>
      </c>
      <c r="D275" s="89">
        <v>-374</v>
      </c>
      <c r="E275" s="89">
        <v>-392</v>
      </c>
      <c r="F275" s="89">
        <f t="shared" si="13"/>
        <v>-383</v>
      </c>
      <c r="G275" s="400">
        <f t="shared" si="14"/>
        <v>8.1053998258291367E-4</v>
      </c>
      <c r="H275" s="89">
        <f t="shared" si="12"/>
        <v>393.3364111278886</v>
      </c>
    </row>
    <row r="276" spans="1:8" x14ac:dyDescent="0.25">
      <c r="A276" s="399">
        <v>857</v>
      </c>
      <c r="B276" s="399" t="s">
        <v>164</v>
      </c>
      <c r="C276" s="399">
        <v>11</v>
      </c>
      <c r="D276" s="89">
        <v>-282</v>
      </c>
      <c r="E276" s="89">
        <v>-320</v>
      </c>
      <c r="F276" s="89">
        <f t="shared" si="13"/>
        <v>-301</v>
      </c>
      <c r="G276" s="400">
        <f t="shared" si="14"/>
        <v>6.3700400719962668E-4</v>
      </c>
      <c r="H276" s="89">
        <f t="shared" si="12"/>
        <v>309.12339360181323</v>
      </c>
    </row>
    <row r="277" spans="1:8" x14ac:dyDescent="0.25">
      <c r="A277" s="399">
        <v>858</v>
      </c>
      <c r="B277" s="399" t="s">
        <v>163</v>
      </c>
      <c r="C277" s="399">
        <v>35</v>
      </c>
      <c r="D277" s="89">
        <v>-3099</v>
      </c>
      <c r="E277" s="89">
        <v>-3135</v>
      </c>
      <c r="F277" s="89">
        <f t="shared" si="13"/>
        <v>-3117</v>
      </c>
      <c r="G277" s="400">
        <f t="shared" si="14"/>
        <v>6.5964833569476288E-3</v>
      </c>
      <c r="H277" s="89">
        <f t="shared" si="12"/>
        <v>3201.1216540094742</v>
      </c>
    </row>
    <row r="278" spans="1:8" x14ac:dyDescent="0.25">
      <c r="A278" s="399">
        <v>859</v>
      </c>
      <c r="B278" s="399" t="s">
        <v>162</v>
      </c>
      <c r="C278" s="399">
        <v>17</v>
      </c>
      <c r="D278" s="89">
        <v>-430</v>
      </c>
      <c r="E278" s="89">
        <v>-466</v>
      </c>
      <c r="F278" s="89">
        <f t="shared" si="13"/>
        <v>-448</v>
      </c>
      <c r="G278" s="400">
        <f t="shared" si="14"/>
        <v>9.480989874599095E-4</v>
      </c>
      <c r="H278" s="89">
        <f t="shared" si="12"/>
        <v>460.09063233758252</v>
      </c>
    </row>
    <row r="279" spans="1:8" x14ac:dyDescent="0.25">
      <c r="A279" s="399">
        <v>886</v>
      </c>
      <c r="B279" s="399" t="s">
        <v>161</v>
      </c>
      <c r="C279" s="399">
        <v>4</v>
      </c>
      <c r="D279" s="89">
        <v>-1386</v>
      </c>
      <c r="E279" s="89">
        <v>-1431</v>
      </c>
      <c r="F279" s="89">
        <f t="shared" si="13"/>
        <v>-1408.5</v>
      </c>
      <c r="G279" s="400">
        <f t="shared" si="14"/>
        <v>2.9807978210653627E-3</v>
      </c>
      <c r="H279" s="89">
        <f t="shared" si="12"/>
        <v>1446.512624213136</v>
      </c>
    </row>
    <row r="280" spans="1:8" x14ac:dyDescent="0.25">
      <c r="A280" s="399">
        <v>887</v>
      </c>
      <c r="B280" s="399" t="s">
        <v>160</v>
      </c>
      <c r="C280" s="399">
        <v>6</v>
      </c>
      <c r="D280" s="89">
        <v>-372</v>
      </c>
      <c r="E280" s="89">
        <v>-373</v>
      </c>
      <c r="F280" s="89">
        <f t="shared" si="13"/>
        <v>-372.5</v>
      </c>
      <c r="G280" s="400">
        <f t="shared" si="14"/>
        <v>7.8831891256432205E-4</v>
      </c>
      <c r="H280" s="89">
        <f t="shared" si="12"/>
        <v>382.55303693247652</v>
      </c>
    </row>
    <row r="281" spans="1:8" x14ac:dyDescent="0.25">
      <c r="A281" s="399">
        <v>889</v>
      </c>
      <c r="B281" s="399" t="s">
        <v>159</v>
      </c>
      <c r="C281" s="399">
        <v>17</v>
      </c>
      <c r="D281" s="89">
        <v>-186</v>
      </c>
      <c r="E281" s="89">
        <v>-185</v>
      </c>
      <c r="F281" s="89">
        <f t="shared" si="13"/>
        <v>-185.5</v>
      </c>
      <c r="G281" s="400">
        <f t="shared" si="14"/>
        <v>3.9257223699511878E-4</v>
      </c>
      <c r="H281" s="89">
        <f t="shared" si="12"/>
        <v>190.50627745228024</v>
      </c>
    </row>
    <row r="282" spans="1:8" x14ac:dyDescent="0.25">
      <c r="A282" s="399">
        <v>890</v>
      </c>
      <c r="B282" s="399" t="s">
        <v>158</v>
      </c>
      <c r="C282" s="399">
        <v>19</v>
      </c>
      <c r="D282" s="89">
        <v>-195</v>
      </c>
      <c r="E282" s="89">
        <v>-185</v>
      </c>
      <c r="F282" s="89">
        <f t="shared" si="13"/>
        <v>-190</v>
      </c>
      <c r="G282" s="400">
        <f t="shared" si="14"/>
        <v>4.0209555271737235E-4</v>
      </c>
      <c r="H282" s="89">
        <f t="shared" si="12"/>
        <v>195.1277235360283</v>
      </c>
    </row>
    <row r="283" spans="1:8" x14ac:dyDescent="0.25">
      <c r="A283" s="399">
        <v>892</v>
      </c>
      <c r="B283" s="399" t="s">
        <v>157</v>
      </c>
      <c r="C283" s="399">
        <v>13</v>
      </c>
      <c r="D283" s="89">
        <v>-337</v>
      </c>
      <c r="E283" s="89">
        <v>-342</v>
      </c>
      <c r="F283" s="89">
        <f t="shared" si="13"/>
        <v>-339.5</v>
      </c>
      <c r="G283" s="400">
        <f t="shared" si="14"/>
        <v>7.184812639344627E-4</v>
      </c>
      <c r="H283" s="89">
        <f t="shared" si="12"/>
        <v>348.66243231832425</v>
      </c>
    </row>
    <row r="284" spans="1:8" x14ac:dyDescent="0.25">
      <c r="A284" s="399">
        <v>893</v>
      </c>
      <c r="B284" s="399" t="s">
        <v>156</v>
      </c>
      <c r="C284" s="399">
        <v>15</v>
      </c>
      <c r="D284" s="89">
        <v>-594</v>
      </c>
      <c r="E284" s="89">
        <v>-610</v>
      </c>
      <c r="F284" s="89">
        <f t="shared" si="13"/>
        <v>-602</v>
      </c>
      <c r="G284" s="400">
        <f t="shared" si="14"/>
        <v>1.2740080143992534E-3</v>
      </c>
      <c r="H284" s="89">
        <f t="shared" si="12"/>
        <v>618.24678720362647</v>
      </c>
    </row>
    <row r="285" spans="1:8" x14ac:dyDescent="0.25">
      <c r="A285" s="399">
        <v>895</v>
      </c>
      <c r="B285" s="399" t="s">
        <v>155</v>
      </c>
      <c r="C285" s="399">
        <v>2</v>
      </c>
      <c r="D285" s="89">
        <v>-1359</v>
      </c>
      <c r="E285" s="89">
        <v>-1372</v>
      </c>
      <c r="F285" s="89">
        <f t="shared" si="13"/>
        <v>-1365.5</v>
      </c>
      <c r="G285" s="400">
        <f t="shared" si="14"/>
        <v>2.8897972486082732E-3</v>
      </c>
      <c r="H285" s="89">
        <f t="shared" si="12"/>
        <v>1402.352139412877</v>
      </c>
    </row>
    <row r="286" spans="1:8" x14ac:dyDescent="0.25">
      <c r="A286" s="399">
        <v>905</v>
      </c>
      <c r="B286" s="399" t="s">
        <v>154</v>
      </c>
      <c r="C286" s="399">
        <v>15</v>
      </c>
      <c r="D286" s="89">
        <v>-5096</v>
      </c>
      <c r="E286" s="89">
        <v>-4919</v>
      </c>
      <c r="F286" s="89">
        <f t="shared" si="13"/>
        <v>-5007.5</v>
      </c>
      <c r="G286" s="400">
        <f t="shared" si="14"/>
        <v>1.0597334106485484E-2</v>
      </c>
      <c r="H286" s="89">
        <f t="shared" si="12"/>
        <v>5142.6425031929557</v>
      </c>
    </row>
    <row r="287" spans="1:8" x14ac:dyDescent="0.25">
      <c r="A287" s="399">
        <v>908</v>
      </c>
      <c r="B287" s="399" t="s">
        <v>153</v>
      </c>
      <c r="C287" s="399">
        <v>6</v>
      </c>
      <c r="D287" s="89">
        <v>-1653</v>
      </c>
      <c r="E287" s="89">
        <v>-1682</v>
      </c>
      <c r="F287" s="89">
        <f t="shared" si="13"/>
        <v>-1667.5</v>
      </c>
      <c r="G287" s="400">
        <f t="shared" si="14"/>
        <v>3.528917548190623E-3</v>
      </c>
      <c r="H287" s="89">
        <f t="shared" si="12"/>
        <v>1712.502521033301</v>
      </c>
    </row>
    <row r="288" spans="1:8" x14ac:dyDescent="0.25">
      <c r="A288" s="399">
        <v>915</v>
      </c>
      <c r="B288" s="399" t="s">
        <v>152</v>
      </c>
      <c r="C288" s="399">
        <v>11</v>
      </c>
      <c r="D288" s="89">
        <v>-2759</v>
      </c>
      <c r="E288" s="89">
        <v>-2857</v>
      </c>
      <c r="F288" s="89">
        <f t="shared" si="13"/>
        <v>-2808</v>
      </c>
      <c r="G288" s="400">
        <f t="shared" si="14"/>
        <v>5.9425490106862185E-3</v>
      </c>
      <c r="H288" s="89">
        <f t="shared" si="12"/>
        <v>2883.782356258776</v>
      </c>
    </row>
    <row r="289" spans="1:8" x14ac:dyDescent="0.25">
      <c r="A289" s="399">
        <v>918</v>
      </c>
      <c r="B289" s="399" t="s">
        <v>151</v>
      </c>
      <c r="C289" s="399">
        <v>2</v>
      </c>
      <c r="D289" s="89">
        <v>-165</v>
      </c>
      <c r="E289" s="89">
        <v>-164</v>
      </c>
      <c r="F289" s="89">
        <f t="shared" si="13"/>
        <v>-164.5</v>
      </c>
      <c r="G289" s="400">
        <f t="shared" si="14"/>
        <v>3.4813009695793554E-4</v>
      </c>
      <c r="H289" s="89">
        <f t="shared" si="12"/>
        <v>168.93952906145608</v>
      </c>
    </row>
    <row r="290" spans="1:8" x14ac:dyDescent="0.25">
      <c r="A290" s="399">
        <v>921</v>
      </c>
      <c r="B290" s="399" t="s">
        <v>150</v>
      </c>
      <c r="C290" s="399">
        <v>11</v>
      </c>
      <c r="D290" s="89">
        <v>-250</v>
      </c>
      <c r="E290" s="89">
        <v>-257</v>
      </c>
      <c r="F290" s="89">
        <f t="shared" si="13"/>
        <v>-253.5</v>
      </c>
      <c r="G290" s="400">
        <f t="shared" si="14"/>
        <v>5.3648011902028363E-4</v>
      </c>
      <c r="H290" s="89">
        <f t="shared" si="12"/>
        <v>260.34146271780617</v>
      </c>
    </row>
    <row r="291" spans="1:8" x14ac:dyDescent="0.25">
      <c r="A291" s="399">
        <v>922</v>
      </c>
      <c r="B291" s="399" t="s">
        <v>149</v>
      </c>
      <c r="C291" s="399">
        <v>6</v>
      </c>
      <c r="D291" s="89">
        <v>-333</v>
      </c>
      <c r="E291" s="89">
        <v>-344</v>
      </c>
      <c r="F291" s="89">
        <f t="shared" si="13"/>
        <v>-338.5</v>
      </c>
      <c r="G291" s="400">
        <f t="shared" si="14"/>
        <v>7.163649715517396E-4</v>
      </c>
      <c r="H291" s="89">
        <f t="shared" si="12"/>
        <v>347.63544429971353</v>
      </c>
    </row>
    <row r="292" spans="1:8" x14ac:dyDescent="0.25">
      <c r="A292" s="399">
        <v>924</v>
      </c>
      <c r="B292" s="399" t="s">
        <v>148</v>
      </c>
      <c r="C292" s="399">
        <v>16</v>
      </c>
      <c r="D292" s="89">
        <v>-402</v>
      </c>
      <c r="E292" s="89">
        <v>-423</v>
      </c>
      <c r="F292" s="89">
        <f t="shared" si="13"/>
        <v>-412.5</v>
      </c>
      <c r="G292" s="400">
        <f t="shared" si="14"/>
        <v>8.7297060787324256E-4</v>
      </c>
      <c r="H292" s="89">
        <f t="shared" si="12"/>
        <v>423.6325576769035</v>
      </c>
    </row>
    <row r="293" spans="1:8" x14ac:dyDescent="0.25">
      <c r="A293" s="399">
        <v>925</v>
      </c>
      <c r="B293" s="399" t="s">
        <v>147</v>
      </c>
      <c r="C293" s="399">
        <v>11</v>
      </c>
      <c r="D293" s="89">
        <v>-376</v>
      </c>
      <c r="E293" s="89">
        <v>-418</v>
      </c>
      <c r="F293" s="89">
        <f t="shared" si="13"/>
        <v>-397</v>
      </c>
      <c r="G293" s="400">
        <f t="shared" si="14"/>
        <v>8.4016807594103587E-4</v>
      </c>
      <c r="H293" s="89">
        <f t="shared" si="12"/>
        <v>407.71424338843809</v>
      </c>
    </row>
    <row r="294" spans="1:8" x14ac:dyDescent="0.25">
      <c r="A294" s="399">
        <v>927</v>
      </c>
      <c r="B294" s="399" t="s">
        <v>146</v>
      </c>
      <c r="C294" s="399">
        <v>33</v>
      </c>
      <c r="D294" s="89">
        <v>-2010</v>
      </c>
      <c r="E294" s="89">
        <v>-2070</v>
      </c>
      <c r="F294" s="89">
        <f t="shared" si="13"/>
        <v>-2040</v>
      </c>
      <c r="G294" s="400">
        <f t="shared" si="14"/>
        <v>4.317236460754945E-3</v>
      </c>
      <c r="H294" s="89">
        <f t="shared" si="12"/>
        <v>2095.0555579657776</v>
      </c>
    </row>
    <row r="295" spans="1:8" x14ac:dyDescent="0.25">
      <c r="A295" s="399">
        <v>931</v>
      </c>
      <c r="B295" s="399" t="s">
        <v>145</v>
      </c>
      <c r="C295" s="399">
        <v>13</v>
      </c>
      <c r="D295" s="89">
        <v>-557</v>
      </c>
      <c r="E295" s="89">
        <v>-565</v>
      </c>
      <c r="F295" s="89">
        <f t="shared" si="13"/>
        <v>-561</v>
      </c>
      <c r="G295" s="400">
        <f t="shared" si="14"/>
        <v>1.1872400267076099E-3</v>
      </c>
      <c r="H295" s="89">
        <f t="shared" si="12"/>
        <v>576.14027844058876</v>
      </c>
    </row>
    <row r="296" spans="1:8" x14ac:dyDescent="0.25">
      <c r="A296" s="399">
        <v>934</v>
      </c>
      <c r="B296" s="399" t="s">
        <v>144</v>
      </c>
      <c r="C296" s="399">
        <v>14</v>
      </c>
      <c r="D296" s="89">
        <v>-290</v>
      </c>
      <c r="E296" s="89">
        <v>-293</v>
      </c>
      <c r="F296" s="89">
        <f t="shared" si="13"/>
        <v>-291.5</v>
      </c>
      <c r="G296" s="400">
        <f t="shared" si="14"/>
        <v>6.1689922956375805E-4</v>
      </c>
      <c r="H296" s="89">
        <f t="shared" si="12"/>
        <v>299.36700742501182</v>
      </c>
    </row>
    <row r="297" spans="1:8" x14ac:dyDescent="0.25">
      <c r="A297" s="399">
        <v>935</v>
      </c>
      <c r="B297" s="399" t="s">
        <v>143</v>
      </c>
      <c r="C297" s="399">
        <v>8</v>
      </c>
      <c r="D297" s="89">
        <v>-376</v>
      </c>
      <c r="E297" s="89">
        <v>-376</v>
      </c>
      <c r="F297" s="89">
        <f t="shared" si="13"/>
        <v>-376</v>
      </c>
      <c r="G297" s="400">
        <f t="shared" si="14"/>
        <v>7.9572593590385263E-4</v>
      </c>
      <c r="H297" s="89">
        <f t="shared" si="12"/>
        <v>386.14749499761388</v>
      </c>
    </row>
    <row r="298" spans="1:8" x14ac:dyDescent="0.25">
      <c r="A298" s="399">
        <v>936</v>
      </c>
      <c r="B298" s="399" t="s">
        <v>142</v>
      </c>
      <c r="C298" s="399">
        <v>6</v>
      </c>
      <c r="D298" s="89">
        <v>-504</v>
      </c>
      <c r="E298" s="89">
        <v>-565</v>
      </c>
      <c r="F298" s="89">
        <f t="shared" si="13"/>
        <v>-534.5</v>
      </c>
      <c r="G298" s="400">
        <f t="shared" si="14"/>
        <v>1.13115827856545E-3</v>
      </c>
      <c r="H298" s="89">
        <f t="shared" si="12"/>
        <v>548.92509594740591</v>
      </c>
    </row>
    <row r="299" spans="1:8" x14ac:dyDescent="0.25">
      <c r="A299" s="399">
        <v>946</v>
      </c>
      <c r="B299" s="399" t="s">
        <v>141</v>
      </c>
      <c r="C299" s="399">
        <v>15</v>
      </c>
      <c r="D299" s="89">
        <v>-495</v>
      </c>
      <c r="E299" s="89">
        <v>-502</v>
      </c>
      <c r="F299" s="89">
        <f t="shared" si="13"/>
        <v>-498.5</v>
      </c>
      <c r="G299" s="400">
        <f t="shared" si="14"/>
        <v>1.0549717527874216E-3</v>
      </c>
      <c r="H299" s="89">
        <f t="shared" si="12"/>
        <v>511.95352727742159</v>
      </c>
    </row>
    <row r="300" spans="1:8" x14ac:dyDescent="0.25">
      <c r="A300" s="399">
        <v>976</v>
      </c>
      <c r="B300" s="399" t="s">
        <v>140</v>
      </c>
      <c r="C300" s="399">
        <v>19</v>
      </c>
      <c r="D300" s="89">
        <v>-446</v>
      </c>
      <c r="E300" s="89">
        <v>-437</v>
      </c>
      <c r="F300" s="89">
        <f t="shared" si="13"/>
        <v>-441.5</v>
      </c>
      <c r="G300" s="400">
        <f t="shared" si="14"/>
        <v>9.3434308697220995E-4</v>
      </c>
      <c r="H300" s="89">
        <f t="shared" si="12"/>
        <v>453.4152102166131</v>
      </c>
    </row>
    <row r="301" spans="1:8" x14ac:dyDescent="0.25">
      <c r="A301" s="399">
        <v>977</v>
      </c>
      <c r="B301" s="399" t="s">
        <v>139</v>
      </c>
      <c r="C301" s="399">
        <v>17</v>
      </c>
      <c r="D301" s="89">
        <v>-2289</v>
      </c>
      <c r="E301" s="89">
        <v>-2322</v>
      </c>
      <c r="F301" s="89">
        <f t="shared" si="13"/>
        <v>-2305.5</v>
      </c>
      <c r="G301" s="400">
        <f t="shared" si="14"/>
        <v>4.8791120883679047E-3</v>
      </c>
      <c r="H301" s="89">
        <f t="shared" si="12"/>
        <v>2367.7208769069116</v>
      </c>
    </row>
    <row r="302" spans="1:8" x14ac:dyDescent="0.25">
      <c r="A302" s="399">
        <v>980</v>
      </c>
      <c r="B302" s="399" t="s">
        <v>138</v>
      </c>
      <c r="C302" s="399">
        <v>6</v>
      </c>
      <c r="D302" s="89">
        <v>-2580</v>
      </c>
      <c r="E302" s="89">
        <v>-2668</v>
      </c>
      <c r="F302" s="89">
        <f t="shared" si="13"/>
        <v>-2624</v>
      </c>
      <c r="G302" s="400">
        <f t="shared" si="14"/>
        <v>5.5531512122651838E-3</v>
      </c>
      <c r="H302" s="89">
        <f t="shared" si="12"/>
        <v>2694.8165608344116</v>
      </c>
    </row>
    <row r="303" spans="1:8" x14ac:dyDescent="0.25">
      <c r="A303" s="399">
        <v>981</v>
      </c>
      <c r="B303" s="399" t="s">
        <v>137</v>
      </c>
      <c r="C303" s="399">
        <v>5</v>
      </c>
      <c r="D303" s="89">
        <v>-152</v>
      </c>
      <c r="E303" s="89">
        <v>-157</v>
      </c>
      <c r="F303" s="89">
        <f t="shared" si="13"/>
        <v>-154.5</v>
      </c>
      <c r="G303" s="400">
        <f t="shared" si="14"/>
        <v>3.2696717313070541E-4</v>
      </c>
      <c r="H303" s="89">
        <f t="shared" si="12"/>
        <v>158.66964887534934</v>
      </c>
    </row>
    <row r="304" spans="1:8" x14ac:dyDescent="0.25">
      <c r="A304" s="399">
        <v>989</v>
      </c>
      <c r="B304" s="399" t="s">
        <v>136</v>
      </c>
      <c r="C304" s="399">
        <v>14</v>
      </c>
      <c r="D304" s="89">
        <v>-577</v>
      </c>
      <c r="E304" s="89">
        <v>-577</v>
      </c>
      <c r="F304" s="89">
        <f t="shared" si="13"/>
        <v>-577</v>
      </c>
      <c r="G304" s="400">
        <f t="shared" si="14"/>
        <v>1.2211007048311782E-3</v>
      </c>
      <c r="H304" s="89">
        <f t="shared" si="12"/>
        <v>592.57208673835964</v>
      </c>
    </row>
    <row r="305" spans="1:8" x14ac:dyDescent="0.25">
      <c r="A305" s="399">
        <v>992</v>
      </c>
      <c r="B305" s="399" t="s">
        <v>135</v>
      </c>
      <c r="C305" s="399">
        <v>13</v>
      </c>
      <c r="D305" s="89">
        <v>-2192</v>
      </c>
      <c r="E305" s="89">
        <v>-2231</v>
      </c>
      <c r="F305" s="89">
        <f t="shared" si="13"/>
        <v>-2211.5</v>
      </c>
      <c r="G305" s="400">
        <f t="shared" si="14"/>
        <v>4.6801806043919418E-3</v>
      </c>
      <c r="H305" s="89">
        <f t="shared" si="12"/>
        <v>2271.1840031575084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INFO</vt:lpstr>
      <vt:lpstr>Yhteenveto ja muutos nykytilaan</vt:lpstr>
      <vt:lpstr>Vuoden 2023 siirtymätasaus</vt:lpstr>
      <vt:lpstr>SOTE laskennallinen rahoitus</vt:lpstr>
      <vt:lpstr>PELA laskennallinen rahoitus</vt:lpstr>
      <vt:lpstr>Siirtymäkausi</vt:lpstr>
      <vt:lpstr>Arvio hyten vaikutuksesta</vt:lpstr>
      <vt:lpstr>Siirtyvät sote-kustannukset</vt:lpstr>
      <vt:lpstr>Siirtyvät pela-kustannukset</vt:lpstr>
      <vt:lpstr>Määräytymistekijät</vt:lpstr>
      <vt:lpstr>Määräytymistekijät kunnittain</vt:lpstr>
      <vt:lpstr>Hyte-kerroin</vt:lpstr>
      <vt:lpstr>TH, VH ja SH tarvekertoimet</vt:lpstr>
      <vt:lpstr>TH, VH, SH sektoripainot20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Hyvinvointialueiden rahoituslaskelma 2022 tasossa_13-4-2022</dc:title>
  <dc:creator>VM</dc:creator>
  <cp:lastModifiedBy>Englund Lotta (VM)</cp:lastModifiedBy>
  <dcterms:created xsi:type="dcterms:W3CDTF">2020-05-15T09:22:39Z</dcterms:created>
  <dcterms:modified xsi:type="dcterms:W3CDTF">2022-04-13T10:11:44Z</dcterms:modified>
</cp:coreProperties>
</file>