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6/JULKAISU 30.4.2026/"/>
    </mc:Choice>
  </mc:AlternateContent>
  <xr:revisionPtr revIDLastSave="4061" documentId="13_ncr:1_{DA3ECA5D-5745-49E0-BB90-DE40BF8D74B6}" xr6:coauthVersionLast="47" xr6:coauthVersionMax="47" xr10:uidLastSave="{2B81CF1D-2D5A-4ED0-BE80-96398A270EBD}"/>
  <bookViews>
    <workbookView xWindow="-120" yWindow="-120" windowWidth="29040" windowHeight="15720" tabRatio="727" xr2:uid="{00000000-000D-0000-FFFF-FFFF00000000}"/>
  </bookViews>
  <sheets>
    <sheet name="INFO" sheetId="29" r:id="rId1"/>
    <sheet name="Yhteenveto" sheetId="31" r:id="rId2"/>
    <sheet name="Rahoituksen taso 2027" sheetId="10" r:id="rId3"/>
    <sheet name="Jälkikäteistarkistus 2027" sheetId="20" r:id="rId4"/>
    <sheet name="SOTE laskennallinen rahoitus" sheetId="28" r:id="rId5"/>
    <sheet name="PELA laskennallinen rahoitus" sheetId="14" r:id="rId6"/>
    <sheet name="Vähimmäistasoa koskeva tasaus" sheetId="32" r:id="rId7"/>
    <sheet name="Hyte-kerroin" sheetId="30" r:id="rId8"/>
    <sheet name="Tarvekertoimet" sheetId="16" r:id="rId9"/>
    <sheet name="Määräytymistekijät" sheetId="15" r:id="rId10"/>
    <sheet name="Tarvetekijät" sheetId="18" r:id="rId11"/>
  </sheets>
  <definedNames>
    <definedName name="_xlnm._FilterDatabase" localSheetId="4" hidden="1">'SOTE laskennallinen rahoitus'!#REF!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15" l="1"/>
  <c r="B45" i="10"/>
  <c r="C8" i="32"/>
  <c r="C9" i="32"/>
  <c r="C10" i="32"/>
  <c r="C11" i="32"/>
  <c r="C12" i="32"/>
  <c r="C13" i="32"/>
  <c r="C14" i="32"/>
  <c r="C15" i="32"/>
  <c r="C16" i="32"/>
  <c r="C17" i="32"/>
  <c r="C18" i="32"/>
  <c r="C19" i="32"/>
  <c r="C20" i="32"/>
  <c r="C21" i="32"/>
  <c r="C22" i="32"/>
  <c r="C23" i="32"/>
  <c r="C24" i="32"/>
  <c r="C25" i="32"/>
  <c r="C26" i="32"/>
  <c r="C27" i="32"/>
  <c r="C28" i="32"/>
  <c r="C29" i="32"/>
  <c r="A2" i="32" l="1"/>
  <c r="K28" i="28" l="1"/>
  <c r="K29" i="28"/>
  <c r="K30" i="28"/>
  <c r="K31" i="28"/>
  <c r="K32" i="28"/>
  <c r="K33" i="28"/>
  <c r="K34" i="28"/>
  <c r="K35" i="28"/>
  <c r="K36" i="28"/>
  <c r="K37" i="28"/>
  <c r="K38" i="28"/>
  <c r="K39" i="28"/>
  <c r="K40" i="28"/>
  <c r="K41" i="28"/>
  <c r="K42" i="28"/>
  <c r="K43" i="28"/>
  <c r="K44" i="28"/>
  <c r="K45" i="28"/>
  <c r="K46" i="28"/>
  <c r="K47" i="28"/>
  <c r="K48" i="28"/>
  <c r="K49" i="28"/>
  <c r="L50" i="28"/>
  <c r="J49" i="28"/>
  <c r="J48" i="28"/>
  <c r="J47" i="28"/>
  <c r="J46" i="28"/>
  <c r="J44" i="28"/>
  <c r="J43" i="28"/>
  <c r="J42" i="28"/>
  <c r="J41" i="28"/>
  <c r="J39" i="28"/>
  <c r="J38" i="28"/>
  <c r="J37" i="28"/>
  <c r="J36" i="28"/>
  <c r="J35" i="28"/>
  <c r="J34" i="28"/>
  <c r="J32" i="28"/>
  <c r="J29" i="28"/>
  <c r="J28" i="28"/>
  <c r="J29" i="15" l="1"/>
  <c r="K50" i="28" s="1"/>
  <c r="K29" i="15" l="1"/>
  <c r="G29" i="15"/>
  <c r="F29" i="15"/>
  <c r="E29" i="15"/>
  <c r="D29" i="15"/>
  <c r="C29" i="15"/>
  <c r="C57" i="15" l="1"/>
  <c r="E57" i="15" s="1"/>
  <c r="F57" i="15" s="1"/>
  <c r="C30" i="32"/>
  <c r="L29" i="15"/>
  <c r="J50" i="28" s="1"/>
  <c r="L24" i="15"/>
  <c r="J45" i="28" s="1"/>
  <c r="L19" i="15"/>
  <c r="J40" i="28" s="1"/>
  <c r="L12" i="15"/>
  <c r="J33" i="28" s="1"/>
  <c r="L10" i="15"/>
  <c r="J31" i="28" s="1"/>
  <c r="L9" i="15"/>
  <c r="J30" i="28" s="1"/>
  <c r="O54" i="30"/>
  <c r="O53" i="30"/>
  <c r="O52" i="30"/>
  <c r="O51" i="30"/>
  <c r="O50" i="30"/>
  <c r="O49" i="30"/>
  <c r="O48" i="30"/>
  <c r="O47" i="30"/>
  <c r="O46" i="30"/>
  <c r="O45" i="30"/>
  <c r="O44" i="30"/>
  <c r="O43" i="30"/>
  <c r="O42" i="30"/>
  <c r="O41" i="30"/>
  <c r="O40" i="30"/>
  <c r="O39" i="30"/>
  <c r="O38" i="30"/>
  <c r="O37" i="30"/>
  <c r="O36" i="30"/>
  <c r="O35" i="30"/>
  <c r="O34" i="30"/>
  <c r="O33" i="30"/>
  <c r="N54" i="30"/>
  <c r="P54" i="30" s="1"/>
  <c r="N53" i="30"/>
  <c r="P53" i="30" s="1"/>
  <c r="N52" i="30"/>
  <c r="P52" i="30" s="1"/>
  <c r="N51" i="30"/>
  <c r="P51" i="30" s="1"/>
  <c r="N50" i="30"/>
  <c r="N49" i="30"/>
  <c r="P49" i="30" s="1"/>
  <c r="N48" i="30"/>
  <c r="P48" i="30" s="1"/>
  <c r="N47" i="30"/>
  <c r="P47" i="30" s="1"/>
  <c r="N46" i="30"/>
  <c r="P46" i="30" s="1"/>
  <c r="N45" i="30"/>
  <c r="P45" i="30" s="1"/>
  <c r="N44" i="30"/>
  <c r="P44" i="30" s="1"/>
  <c r="N43" i="30"/>
  <c r="P43" i="30" s="1"/>
  <c r="N42" i="30"/>
  <c r="P42" i="30" s="1"/>
  <c r="N41" i="30"/>
  <c r="P41" i="30" s="1"/>
  <c r="N40" i="30"/>
  <c r="P40" i="30" s="1"/>
  <c r="N39" i="30"/>
  <c r="P39" i="30" s="1"/>
  <c r="N38" i="30"/>
  <c r="N37" i="30"/>
  <c r="P37" i="30" s="1"/>
  <c r="N36" i="30"/>
  <c r="P36" i="30" s="1"/>
  <c r="N35" i="30"/>
  <c r="N34" i="30"/>
  <c r="N33" i="30"/>
  <c r="P33" i="30" s="1"/>
  <c r="P34" i="30" l="1"/>
  <c r="P35" i="30"/>
  <c r="P38" i="30"/>
  <c r="P50" i="30"/>
  <c r="N20" i="28"/>
  <c r="E15" i="14"/>
  <c r="D17" i="20" l="1"/>
  <c r="D25" i="20" s="1"/>
  <c r="C17" i="20"/>
  <c r="C25" i="20" s="1"/>
  <c r="B17" i="20"/>
  <c r="B25" i="20"/>
  <c r="B24" i="20"/>
  <c r="B23" i="20"/>
  <c r="C12" i="20"/>
  <c r="D12" i="20"/>
  <c r="E12" i="20"/>
  <c r="F12" i="20"/>
  <c r="B21" i="20"/>
  <c r="C21" i="20"/>
  <c r="D21" i="20"/>
  <c r="C23" i="20"/>
  <c r="D23" i="20"/>
  <c r="C24" i="20"/>
  <c r="D24" i="20"/>
  <c r="D28" i="20"/>
  <c r="E28" i="20"/>
  <c r="D31" i="20"/>
  <c r="D32" i="20" s="1"/>
  <c r="E31" i="20"/>
  <c r="F31" i="20"/>
  <c r="B21" i="10" s="1"/>
  <c r="E34" i="20" l="1"/>
  <c r="D34" i="20"/>
  <c r="E32" i="20"/>
  <c r="F32" i="20" s="1"/>
  <c r="F28" i="20"/>
  <c r="D29" i="20"/>
  <c r="F34" i="20" l="1"/>
  <c r="B20" i="10"/>
  <c r="E29" i="20"/>
  <c r="F29" i="20" s="1"/>
  <c r="F35" i="20" s="1"/>
  <c r="D35" i="20"/>
  <c r="F11" i="10" l="1"/>
  <c r="B14" i="10" s="1"/>
  <c r="E18" i="10" l="1"/>
  <c r="B12" i="10" s="1"/>
  <c r="B13" i="10" l="1"/>
  <c r="B10" i="10"/>
  <c r="J35" i="15" l="1"/>
  <c r="B10" i="28" l="1"/>
  <c r="B11" i="28"/>
  <c r="B12" i="28"/>
  <c r="G29" i="30" l="1"/>
  <c r="D7" i="30" l="1"/>
  <c r="E7" i="16" l="1"/>
  <c r="D28" i="16"/>
  <c r="D7" i="16"/>
  <c r="D8" i="16" l="1"/>
  <c r="E8" i="16"/>
  <c r="F8" i="16"/>
  <c r="D9" i="16"/>
  <c r="E9" i="16"/>
  <c r="F9" i="16"/>
  <c r="D10" i="16"/>
  <c r="E10" i="16"/>
  <c r="F10" i="16"/>
  <c r="D11" i="16"/>
  <c r="E11" i="16"/>
  <c r="F11" i="16"/>
  <c r="D12" i="16"/>
  <c r="E12" i="16"/>
  <c r="F12" i="16"/>
  <c r="D13" i="16"/>
  <c r="E13" i="16"/>
  <c r="F13" i="16"/>
  <c r="D14" i="16"/>
  <c r="E14" i="16"/>
  <c r="F14" i="16"/>
  <c r="D15" i="16"/>
  <c r="E15" i="16"/>
  <c r="F15" i="16"/>
  <c r="D16" i="16"/>
  <c r="E16" i="16"/>
  <c r="F16" i="16"/>
  <c r="D17" i="16"/>
  <c r="E17" i="16"/>
  <c r="F17" i="16"/>
  <c r="D18" i="16"/>
  <c r="E18" i="16"/>
  <c r="F18" i="16"/>
  <c r="D19" i="16"/>
  <c r="E19" i="16"/>
  <c r="F19" i="16"/>
  <c r="D20" i="16"/>
  <c r="E20" i="16"/>
  <c r="F20" i="16"/>
  <c r="D21" i="16"/>
  <c r="E21" i="16"/>
  <c r="F21" i="16"/>
  <c r="D22" i="16"/>
  <c r="E22" i="16"/>
  <c r="F22" i="16"/>
  <c r="D23" i="16"/>
  <c r="E23" i="16"/>
  <c r="F23" i="16"/>
  <c r="D24" i="16"/>
  <c r="E24" i="16"/>
  <c r="F24" i="16"/>
  <c r="D25" i="16"/>
  <c r="E25" i="16"/>
  <c r="F25" i="16"/>
  <c r="D26" i="16"/>
  <c r="E26" i="16"/>
  <c r="F26" i="16"/>
  <c r="D27" i="16"/>
  <c r="E27" i="16"/>
  <c r="F27" i="16"/>
  <c r="E28" i="16"/>
  <c r="F28" i="16"/>
  <c r="F7" i="16"/>
  <c r="A2" i="15" l="1"/>
  <c r="A2" i="16"/>
  <c r="A2" i="30"/>
  <c r="A2" i="14"/>
  <c r="A2" i="28"/>
  <c r="A2" i="20"/>
  <c r="A2" i="10"/>
  <c r="A2" i="31"/>
  <c r="D8" i="30" l="1"/>
  <c r="E8" i="30"/>
  <c r="D9" i="30"/>
  <c r="E9" i="30"/>
  <c r="D10" i="30"/>
  <c r="E10" i="30"/>
  <c r="D11" i="30"/>
  <c r="E11" i="30"/>
  <c r="D12" i="30"/>
  <c r="E12" i="30"/>
  <c r="D13" i="30"/>
  <c r="E13" i="30"/>
  <c r="D14" i="30"/>
  <c r="E14" i="30"/>
  <c r="D15" i="30"/>
  <c r="E15" i="30"/>
  <c r="D16" i="30"/>
  <c r="E16" i="30"/>
  <c r="D17" i="30"/>
  <c r="E17" i="30"/>
  <c r="D18" i="30"/>
  <c r="E18" i="30"/>
  <c r="D19" i="30"/>
  <c r="E19" i="30"/>
  <c r="D20" i="30"/>
  <c r="E20" i="30"/>
  <c r="D21" i="30"/>
  <c r="E21" i="30"/>
  <c r="D22" i="30"/>
  <c r="E22" i="30"/>
  <c r="D23" i="30"/>
  <c r="E23" i="30"/>
  <c r="D24" i="30"/>
  <c r="E24" i="30"/>
  <c r="D25" i="30"/>
  <c r="E25" i="30"/>
  <c r="D26" i="30"/>
  <c r="E26" i="30"/>
  <c r="D27" i="30"/>
  <c r="E27" i="30"/>
  <c r="D28" i="30"/>
  <c r="E28" i="30"/>
  <c r="E7" i="30"/>
  <c r="F7" i="30" s="1"/>
  <c r="F27" i="30" l="1"/>
  <c r="F25" i="30"/>
  <c r="F9" i="30"/>
  <c r="F11" i="30"/>
  <c r="F15" i="30"/>
  <c r="F26" i="30"/>
  <c r="F21" i="30"/>
  <c r="F8" i="30"/>
  <c r="F20" i="30"/>
  <c r="F14" i="30"/>
  <c r="F19" i="30"/>
  <c r="F12" i="30"/>
  <c r="F18" i="30"/>
  <c r="F10" i="30"/>
  <c r="F23" i="30"/>
  <c r="F28" i="30"/>
  <c r="F16" i="30"/>
  <c r="F13" i="30"/>
  <c r="F24" i="30"/>
  <c r="F17" i="30"/>
  <c r="F22" i="30"/>
  <c r="H49" i="28" l="1"/>
  <c r="M48" i="28"/>
  <c r="H48" i="28"/>
  <c r="M47" i="28"/>
  <c r="H47" i="28"/>
  <c r="M46" i="28"/>
  <c r="M45" i="28"/>
  <c r="M44" i="28"/>
  <c r="H44" i="28"/>
  <c r="M43" i="28"/>
  <c r="H43" i="28"/>
  <c r="M42" i="28"/>
  <c r="H42" i="28"/>
  <c r="M41" i="28"/>
  <c r="H41" i="28"/>
  <c r="M40" i="28"/>
  <c r="H40" i="28"/>
  <c r="M39" i="28"/>
  <c r="H39" i="28"/>
  <c r="M38" i="28"/>
  <c r="M37" i="28"/>
  <c r="H37" i="28"/>
  <c r="M36" i="28"/>
  <c r="H36" i="28"/>
  <c r="M35" i="28"/>
  <c r="H35" i="28"/>
  <c r="M34" i="28"/>
  <c r="H34" i="28"/>
  <c r="M33" i="28"/>
  <c r="M32" i="28"/>
  <c r="H32" i="28"/>
  <c r="M31" i="28"/>
  <c r="M30" i="28"/>
  <c r="M29" i="28"/>
  <c r="M28" i="28"/>
  <c r="G29" i="28" l="1"/>
  <c r="G30" i="28"/>
  <c r="G31" i="28"/>
  <c r="G32" i="28"/>
  <c r="G33" i="28"/>
  <c r="G34" i="28"/>
  <c r="G35" i="28"/>
  <c r="G36" i="28"/>
  <c r="G37" i="28"/>
  <c r="G38" i="28"/>
  <c r="G39" i="28"/>
  <c r="G40" i="28"/>
  <c r="G41" i="28"/>
  <c r="G42" i="28"/>
  <c r="G43" i="28"/>
  <c r="G44" i="28"/>
  <c r="G45" i="28"/>
  <c r="G46" i="28"/>
  <c r="G47" i="28"/>
  <c r="G48" i="28"/>
  <c r="G49" i="28"/>
  <c r="G28" i="28"/>
  <c r="M49" i="28"/>
  <c r="H46" i="28"/>
  <c r="H45" i="28"/>
  <c r="H38" i="28"/>
  <c r="H33" i="28"/>
  <c r="H31" i="28"/>
  <c r="H30" i="28"/>
  <c r="H29" i="28"/>
  <c r="H28" i="28"/>
  <c r="C14" i="31" l="1"/>
  <c r="C14" i="30"/>
  <c r="C35" i="28"/>
  <c r="C25" i="31"/>
  <c r="C25" i="30"/>
  <c r="C46" i="28"/>
  <c r="C13" i="31"/>
  <c r="C13" i="30"/>
  <c r="C34" i="28"/>
  <c r="C11" i="31"/>
  <c r="C11" i="30"/>
  <c r="C32" i="28"/>
  <c r="C22" i="31"/>
  <c r="C22" i="30"/>
  <c r="C43" i="28"/>
  <c r="C24" i="31"/>
  <c r="C24" i="30"/>
  <c r="C45" i="28"/>
  <c r="C10" i="31"/>
  <c r="C10" i="30"/>
  <c r="C31" i="28"/>
  <c r="C21" i="31"/>
  <c r="C21" i="30"/>
  <c r="C42" i="28"/>
  <c r="C9" i="31"/>
  <c r="C9" i="30"/>
  <c r="C30" i="28"/>
  <c r="C20" i="31"/>
  <c r="C20" i="30"/>
  <c r="C41" i="28"/>
  <c r="C8" i="31"/>
  <c r="C8" i="30"/>
  <c r="C29" i="28"/>
  <c r="C18" i="31"/>
  <c r="C18" i="30"/>
  <c r="C39" i="28"/>
  <c r="C12" i="31"/>
  <c r="C12" i="30"/>
  <c r="C33" i="28"/>
  <c r="C23" i="31"/>
  <c r="C23" i="30"/>
  <c r="C44" i="28"/>
  <c r="C28" i="28"/>
  <c r="C7" i="31"/>
  <c r="C7" i="30"/>
  <c r="C29" i="31"/>
  <c r="B7" i="28"/>
  <c r="C50" i="28"/>
  <c r="C17" i="31"/>
  <c r="C17" i="30"/>
  <c r="C38" i="28"/>
  <c r="C26" i="31"/>
  <c r="C26" i="30"/>
  <c r="C47" i="28"/>
  <c r="C19" i="31"/>
  <c r="C19" i="30"/>
  <c r="C40" i="28"/>
  <c r="C28" i="31"/>
  <c r="C28" i="30"/>
  <c r="C49" i="28"/>
  <c r="C16" i="31"/>
  <c r="C16" i="30"/>
  <c r="C37" i="28"/>
  <c r="C27" i="31"/>
  <c r="C27" i="30"/>
  <c r="C48" i="28"/>
  <c r="C15" i="31"/>
  <c r="C15" i="30"/>
  <c r="C36" i="28"/>
  <c r="N32" i="28" l="1"/>
  <c r="N36" i="28"/>
  <c r="N29" i="28"/>
  <c r="N31" i="28"/>
  <c r="N28" i="28"/>
  <c r="N47" i="28"/>
  <c r="N41" i="28"/>
  <c r="N33" i="28"/>
  <c r="N30" i="28"/>
  <c r="C29" i="30"/>
  <c r="F29" i="30" s="1"/>
  <c r="N50" i="28" l="1"/>
  <c r="G26" i="30"/>
  <c r="L47" i="28" s="1"/>
  <c r="G25" i="30"/>
  <c r="L46" i="28" s="1"/>
  <c r="G27" i="30"/>
  <c r="L48" i="28" s="1"/>
  <c r="G15" i="30"/>
  <c r="L36" i="28" s="1"/>
  <c r="G9" i="30"/>
  <c r="L30" i="28" s="1"/>
  <c r="G11" i="30"/>
  <c r="L32" i="28" s="1"/>
  <c r="G7" i="30"/>
  <c r="L28" i="28" s="1"/>
  <c r="G21" i="30"/>
  <c r="L42" i="28" s="1"/>
  <c r="G8" i="30"/>
  <c r="L29" i="28" s="1"/>
  <c r="G23" i="30"/>
  <c r="L44" i="28" s="1"/>
  <c r="G16" i="30"/>
  <c r="L37" i="28" s="1"/>
  <c r="G28" i="30"/>
  <c r="L49" i="28" s="1"/>
  <c r="G10" i="30"/>
  <c r="L31" i="28" s="1"/>
  <c r="G18" i="30"/>
  <c r="L39" i="28" s="1"/>
  <c r="G22" i="30"/>
  <c r="L43" i="28" s="1"/>
  <c r="G17" i="30"/>
  <c r="L38" i="28" s="1"/>
  <c r="G24" i="30"/>
  <c r="L45" i="28" s="1"/>
  <c r="G20" i="30"/>
  <c r="L41" i="28" s="1"/>
  <c r="G19" i="30"/>
  <c r="L40" i="28" s="1"/>
  <c r="G12" i="30"/>
  <c r="L33" i="28" s="1"/>
  <c r="G14" i="30"/>
  <c r="L35" i="28" s="1"/>
  <c r="G13" i="30"/>
  <c r="L34" i="28" s="1"/>
  <c r="J36" i="15"/>
  <c r="J37" i="15"/>
  <c r="J38" i="15"/>
  <c r="J39" i="15"/>
  <c r="J40" i="15"/>
  <c r="J41" i="15"/>
  <c r="J42" i="15"/>
  <c r="J43" i="15"/>
  <c r="J44" i="15"/>
  <c r="J45" i="15"/>
  <c r="J46" i="15"/>
  <c r="J47" i="15"/>
  <c r="J48" i="15"/>
  <c r="J49" i="15"/>
  <c r="J50" i="15"/>
  <c r="J51" i="15"/>
  <c r="J52" i="15"/>
  <c r="J53" i="15"/>
  <c r="J54" i="15"/>
  <c r="J55" i="15"/>
  <c r="J56" i="15"/>
  <c r="J57" i="15" l="1"/>
  <c r="K57" i="15" s="1"/>
  <c r="L57" i="15" s="1"/>
  <c r="H8" i="15"/>
  <c r="H9" i="15"/>
  <c r="H10" i="15"/>
  <c r="H11" i="15"/>
  <c r="H12" i="15"/>
  <c r="H13" i="15"/>
  <c r="H14" i="15"/>
  <c r="H15" i="15"/>
  <c r="H16" i="15"/>
  <c r="H17" i="15"/>
  <c r="H18" i="15"/>
  <c r="H19" i="15"/>
  <c r="H20" i="15"/>
  <c r="H21" i="15"/>
  <c r="H22" i="15"/>
  <c r="H23" i="15"/>
  <c r="H24" i="15"/>
  <c r="H25" i="15"/>
  <c r="H26" i="15"/>
  <c r="H27" i="15"/>
  <c r="H28" i="15"/>
  <c r="G50" i="28" l="1"/>
  <c r="M50" i="28"/>
  <c r="H50" i="28"/>
  <c r="B8" i="28" l="1"/>
  <c r="B8" i="14" l="1"/>
  <c r="E35" i="20"/>
  <c r="D16" i="14" l="1"/>
  <c r="C16" i="14"/>
  <c r="B16" i="14"/>
  <c r="B22" i="10"/>
  <c r="H29" i="15"/>
  <c r="I29" i="15" s="1"/>
  <c r="I50" i="28" s="1"/>
  <c r="C8" i="16" l="1"/>
  <c r="C9" i="16"/>
  <c r="C10" i="16"/>
  <c r="C11" i="16"/>
  <c r="C12" i="16"/>
  <c r="C13" i="16"/>
  <c r="C14" i="16"/>
  <c r="C15" i="16"/>
  <c r="C16" i="16"/>
  <c r="C17" i="16"/>
  <c r="C18" i="16"/>
  <c r="C19" i="16"/>
  <c r="C20" i="16"/>
  <c r="C21" i="16"/>
  <c r="C22" i="16"/>
  <c r="C23" i="16"/>
  <c r="C24" i="16"/>
  <c r="C25" i="16"/>
  <c r="C26" i="16"/>
  <c r="C27" i="16"/>
  <c r="C28" i="16"/>
  <c r="C7" i="16"/>
  <c r="B14" i="28" l="1"/>
  <c r="C29" i="16"/>
  <c r="D29" i="16" s="1"/>
  <c r="F29" i="16" l="1"/>
  <c r="I21" i="16" s="1"/>
  <c r="E29" i="16"/>
  <c r="H24" i="16" s="1"/>
  <c r="G14" i="16"/>
  <c r="G26" i="16"/>
  <c r="G15" i="16"/>
  <c r="G13" i="16"/>
  <c r="G12" i="16"/>
  <c r="G11" i="16"/>
  <c r="G10" i="16"/>
  <c r="G28" i="16"/>
  <c r="G27" i="16"/>
  <c r="G23" i="16"/>
  <c r="G24" i="16"/>
  <c r="G22" i="16"/>
  <c r="G19" i="16"/>
  <c r="G18" i="16"/>
  <c r="G16" i="16"/>
  <c r="G9" i="16"/>
  <c r="G8" i="16"/>
  <c r="G29" i="16"/>
  <c r="D50" i="28" s="1"/>
  <c r="G7" i="16"/>
  <c r="G25" i="16"/>
  <c r="G21" i="16"/>
  <c r="G17" i="16"/>
  <c r="G20" i="16"/>
  <c r="B16" i="10"/>
  <c r="B18" i="10" s="1"/>
  <c r="C36" i="15"/>
  <c r="C37" i="15"/>
  <c r="C38" i="15"/>
  <c r="C39" i="15"/>
  <c r="C40" i="15"/>
  <c r="C41" i="15"/>
  <c r="C42" i="15"/>
  <c r="C43" i="15"/>
  <c r="C44" i="15"/>
  <c r="C45" i="15"/>
  <c r="C46" i="15"/>
  <c r="C47" i="15"/>
  <c r="C48" i="15"/>
  <c r="C49" i="15"/>
  <c r="C50" i="15"/>
  <c r="C51" i="15"/>
  <c r="C52" i="15"/>
  <c r="C53" i="15"/>
  <c r="C54" i="15"/>
  <c r="C55" i="15"/>
  <c r="C56" i="15"/>
  <c r="C35" i="15"/>
  <c r="K35" i="15" s="1"/>
  <c r="H15" i="16" l="1"/>
  <c r="H13" i="16"/>
  <c r="H10" i="16"/>
  <c r="H26" i="16"/>
  <c r="H20" i="16"/>
  <c r="H19" i="16"/>
  <c r="H17" i="16"/>
  <c r="H11" i="16"/>
  <c r="H8" i="16"/>
  <c r="H7" i="16"/>
  <c r="H28" i="16"/>
  <c r="H27" i="16"/>
  <c r="H29" i="16"/>
  <c r="E50" i="28" s="1"/>
  <c r="H25" i="16"/>
  <c r="H23" i="16"/>
  <c r="H22" i="16"/>
  <c r="I17" i="16"/>
  <c r="I10" i="16"/>
  <c r="I18" i="16"/>
  <c r="I15" i="16"/>
  <c r="I14" i="16"/>
  <c r="I12" i="16"/>
  <c r="I27" i="16"/>
  <c r="I19" i="16"/>
  <c r="I11" i="16"/>
  <c r="I7" i="16"/>
  <c r="I16" i="16"/>
  <c r="I13" i="16"/>
  <c r="I8" i="16"/>
  <c r="I28" i="16"/>
  <c r="I26" i="16"/>
  <c r="I29" i="16"/>
  <c r="F50" i="28" s="1"/>
  <c r="I25" i="16"/>
  <c r="I24" i="16"/>
  <c r="I23" i="16"/>
  <c r="I22" i="16"/>
  <c r="H14" i="16"/>
  <c r="H21" i="16"/>
  <c r="I9" i="16"/>
  <c r="H18" i="16"/>
  <c r="H9" i="16"/>
  <c r="H16" i="16"/>
  <c r="I20" i="16"/>
  <c r="H12" i="16"/>
  <c r="E56" i="15"/>
  <c r="E55" i="15"/>
  <c r="E54" i="15"/>
  <c r="E53" i="15"/>
  <c r="E52" i="15"/>
  <c r="E51" i="15"/>
  <c r="E50" i="15"/>
  <c r="E49" i="15"/>
  <c r="E48" i="15"/>
  <c r="E47" i="15"/>
  <c r="E46" i="15"/>
  <c r="E45" i="15"/>
  <c r="E44" i="15"/>
  <c r="E43" i="15"/>
  <c r="E42" i="15"/>
  <c r="E41" i="15"/>
  <c r="E40" i="15"/>
  <c r="E39" i="15"/>
  <c r="E38" i="15"/>
  <c r="E37" i="15"/>
  <c r="E36" i="15"/>
  <c r="E35" i="15"/>
  <c r="H7" i="15"/>
  <c r="I17" i="15" l="1"/>
  <c r="I38" i="28" s="1"/>
  <c r="I25" i="15"/>
  <c r="I46" i="28" s="1"/>
  <c r="I9" i="15"/>
  <c r="I30" i="28" s="1"/>
  <c r="I13" i="15"/>
  <c r="I34" i="28" s="1"/>
  <c r="F38" i="15"/>
  <c r="F42" i="15"/>
  <c r="F46" i="15"/>
  <c r="F50" i="15"/>
  <c r="F54" i="15"/>
  <c r="F35" i="15"/>
  <c r="I28" i="15"/>
  <c r="I49" i="28" s="1"/>
  <c r="I21" i="15"/>
  <c r="I42" i="28" s="1"/>
  <c r="I10" i="15"/>
  <c r="I31" i="28" s="1"/>
  <c r="I14" i="15"/>
  <c r="I35" i="28" s="1"/>
  <c r="I18" i="15"/>
  <c r="I39" i="28" s="1"/>
  <c r="I22" i="15"/>
  <c r="I43" i="28" s="1"/>
  <c r="I26" i="15"/>
  <c r="I47" i="28" s="1"/>
  <c r="I7" i="15"/>
  <c r="I28" i="28" s="1"/>
  <c r="I11" i="15"/>
  <c r="I32" i="28" s="1"/>
  <c r="I15" i="15"/>
  <c r="I36" i="28" s="1"/>
  <c r="I19" i="15"/>
  <c r="I40" i="28" s="1"/>
  <c r="I23" i="15"/>
  <c r="I44" i="28" s="1"/>
  <c r="I27" i="15"/>
  <c r="I48" i="28" s="1"/>
  <c r="I8" i="15"/>
  <c r="I29" i="28" s="1"/>
  <c r="I12" i="15"/>
  <c r="I33" i="28" s="1"/>
  <c r="I16" i="15"/>
  <c r="I37" i="28" s="1"/>
  <c r="I20" i="15"/>
  <c r="I41" i="28" s="1"/>
  <c r="I24" i="15"/>
  <c r="I45" i="28" s="1"/>
  <c r="F39" i="15"/>
  <c r="F53" i="15"/>
  <c r="F49" i="15"/>
  <c r="F45" i="15"/>
  <c r="F41" i="15"/>
  <c r="F37" i="15"/>
  <c r="F56" i="15"/>
  <c r="F52" i="15"/>
  <c r="F48" i="15"/>
  <c r="F44" i="15"/>
  <c r="F40" i="15"/>
  <c r="F36" i="15"/>
  <c r="F55" i="15"/>
  <c r="F51" i="15"/>
  <c r="F47" i="15"/>
  <c r="F43" i="15"/>
  <c r="D32" i="28" l="1"/>
  <c r="D41" i="28"/>
  <c r="D46" i="28"/>
  <c r="D33" i="28"/>
  <c r="D44" i="28"/>
  <c r="D48" i="28"/>
  <c r="D28" i="28"/>
  <c r="D36" i="28"/>
  <c r="D30" i="28"/>
  <c r="D34" i="28"/>
  <c r="D39" i="28"/>
  <c r="D45" i="28"/>
  <c r="D29" i="28"/>
  <c r="D40" i="28"/>
  <c r="D43" i="28"/>
  <c r="D31" i="28"/>
  <c r="D42" i="28"/>
  <c r="D49" i="28"/>
  <c r="D35" i="28"/>
  <c r="D38" i="28"/>
  <c r="D37" i="28"/>
  <c r="D47" i="28"/>
  <c r="F28" i="28"/>
  <c r="F32" i="28"/>
  <c r="F36" i="28"/>
  <c r="F40" i="28"/>
  <c r="F44" i="28"/>
  <c r="F49" i="28"/>
  <c r="F31" i="28"/>
  <c r="F35" i="28"/>
  <c r="F39" i="28"/>
  <c r="F43" i="28"/>
  <c r="F46" i="28"/>
  <c r="F48" i="28"/>
  <c r="F30" i="28"/>
  <c r="F34" i="28"/>
  <c r="F38" i="28"/>
  <c r="F42" i="28"/>
  <c r="F29" i="28"/>
  <c r="F33" i="28"/>
  <c r="F41" i="28"/>
  <c r="F47" i="28"/>
  <c r="F37" i="28"/>
  <c r="F45" i="28"/>
  <c r="E47" i="28"/>
  <c r="E29" i="28"/>
  <c r="E33" i="28"/>
  <c r="E37" i="28"/>
  <c r="E41" i="28"/>
  <c r="E45" i="28"/>
  <c r="E46" i="28"/>
  <c r="E28" i="28"/>
  <c r="E32" i="28"/>
  <c r="E36" i="28"/>
  <c r="E40" i="28"/>
  <c r="E44" i="28"/>
  <c r="E31" i="28"/>
  <c r="E35" i="28"/>
  <c r="E39" i="28"/>
  <c r="E43" i="28"/>
  <c r="E30" i="28"/>
  <c r="E34" i="28"/>
  <c r="E38" i="28"/>
  <c r="E42" i="28"/>
  <c r="E49" i="28"/>
  <c r="E48" i="28"/>
  <c r="B7" i="14" l="1"/>
  <c r="D23" i="14"/>
  <c r="D24" i="14"/>
  <c r="D25" i="14"/>
  <c r="D26" i="14"/>
  <c r="D27" i="14"/>
  <c r="D28" i="14"/>
  <c r="D29" i="14"/>
  <c r="D30" i="14"/>
  <c r="D31" i="14"/>
  <c r="D32" i="14"/>
  <c r="D33" i="14"/>
  <c r="D34" i="14"/>
  <c r="D35" i="14"/>
  <c r="D36" i="14"/>
  <c r="D37" i="14"/>
  <c r="D38" i="14"/>
  <c r="D39" i="14"/>
  <c r="D40" i="14"/>
  <c r="D41" i="14"/>
  <c r="D42" i="14"/>
  <c r="D43" i="14"/>
  <c r="D44" i="14"/>
  <c r="D22" i="14"/>
  <c r="C23" i="14"/>
  <c r="C24" i="14"/>
  <c r="C25" i="14"/>
  <c r="C26" i="14"/>
  <c r="C27" i="14"/>
  <c r="C28" i="14"/>
  <c r="C29" i="14"/>
  <c r="C30" i="14"/>
  <c r="C31" i="14"/>
  <c r="C32" i="14"/>
  <c r="C33" i="14"/>
  <c r="C34" i="14"/>
  <c r="C35" i="14"/>
  <c r="C36" i="14"/>
  <c r="C37" i="14"/>
  <c r="C38" i="14"/>
  <c r="C39" i="14"/>
  <c r="C40" i="14"/>
  <c r="C41" i="14"/>
  <c r="C42" i="14"/>
  <c r="C43" i="14"/>
  <c r="C44" i="14"/>
  <c r="C22" i="14"/>
  <c r="K56" i="15"/>
  <c r="K55" i="15"/>
  <c r="K54" i="15"/>
  <c r="K53" i="15"/>
  <c r="K52" i="15"/>
  <c r="K51" i="15"/>
  <c r="K50" i="15"/>
  <c r="K49" i="15"/>
  <c r="K48" i="15"/>
  <c r="K47" i="15"/>
  <c r="K46" i="15"/>
  <c r="K45" i="15"/>
  <c r="K44" i="15"/>
  <c r="K43" i="15"/>
  <c r="K42" i="15"/>
  <c r="K41" i="15"/>
  <c r="K40" i="15"/>
  <c r="K39" i="15"/>
  <c r="K38" i="15"/>
  <c r="K37" i="15"/>
  <c r="K36" i="15"/>
  <c r="L35" i="15"/>
  <c r="L43" i="15" l="1"/>
  <c r="L37" i="15"/>
  <c r="L45" i="15"/>
  <c r="L52" i="15"/>
  <c r="L40" i="15"/>
  <c r="L48" i="15"/>
  <c r="L56" i="15"/>
  <c r="L41" i="15"/>
  <c r="L53" i="15"/>
  <c r="L47" i="15"/>
  <c r="L38" i="15"/>
  <c r="L51" i="15"/>
  <c r="L42" i="15"/>
  <c r="L54" i="15"/>
  <c r="L49" i="15"/>
  <c r="L36" i="15"/>
  <c r="L55" i="15"/>
  <c r="E44" i="14"/>
  <c r="L50" i="15"/>
  <c r="L46" i="15"/>
  <c r="L39" i="15"/>
  <c r="L44" i="15"/>
  <c r="E33" i="14" l="1"/>
  <c r="E29" i="14"/>
  <c r="E41" i="14"/>
  <c r="E25" i="14"/>
  <c r="E27" i="14"/>
  <c r="E38" i="14"/>
  <c r="E35" i="14"/>
  <c r="E42" i="14"/>
  <c r="E34" i="14"/>
  <c r="E39" i="14"/>
  <c r="E37" i="14"/>
  <c r="E43" i="14"/>
  <c r="E22" i="14"/>
  <c r="E31" i="14"/>
  <c r="E23" i="14"/>
  <c r="E40" i="14"/>
  <c r="E32" i="14"/>
  <c r="E26" i="14"/>
  <c r="E36" i="14"/>
  <c r="E28" i="14"/>
  <c r="E24" i="14"/>
  <c r="E30" i="14"/>
  <c r="B24" i="10" l="1"/>
  <c r="B13" i="28"/>
  <c r="B25" i="10" l="1"/>
  <c r="B26" i="10" s="1"/>
  <c r="B28" i="10" s="1"/>
  <c r="D21" i="28"/>
  <c r="B15" i="28"/>
  <c r="B16" i="28" s="1"/>
  <c r="B21" i="28"/>
  <c r="K21" i="28"/>
  <c r="H21" i="28"/>
  <c r="J21" i="28"/>
  <c r="L21" i="28"/>
  <c r="E21" i="28"/>
  <c r="M21" i="28"/>
  <c r="C17" i="14"/>
  <c r="D67" i="14" s="1"/>
  <c r="D94" i="14" s="1"/>
  <c r="B11" i="14"/>
  <c r="C18" i="14" s="1"/>
  <c r="I21" i="28"/>
  <c r="G21" i="28"/>
  <c r="F21" i="28"/>
  <c r="F23" i="28" l="1"/>
  <c r="G23" i="28"/>
  <c r="I23" i="28"/>
  <c r="D22" i="28"/>
  <c r="D61" i="28" s="1"/>
  <c r="D89" i="28" s="1"/>
  <c r="D23" i="28"/>
  <c r="M22" i="28"/>
  <c r="M61" i="28" s="1"/>
  <c r="M89" i="28" s="1"/>
  <c r="M23" i="28"/>
  <c r="E22" i="28"/>
  <c r="E57" i="28" s="1"/>
  <c r="E85" i="28" s="1"/>
  <c r="E23" i="28"/>
  <c r="L22" i="28"/>
  <c r="L54" i="28" s="1"/>
  <c r="L82" i="28" s="1"/>
  <c r="L23" i="28"/>
  <c r="J22" i="28"/>
  <c r="J66" i="28" s="1"/>
  <c r="J94" i="28" s="1"/>
  <c r="J23" i="28"/>
  <c r="H22" i="28"/>
  <c r="H74" i="28" s="1"/>
  <c r="H102" i="28" s="1"/>
  <c r="H23" i="28"/>
  <c r="K22" i="28"/>
  <c r="K69" i="28" s="1"/>
  <c r="K97" i="28" s="1"/>
  <c r="K23" i="28"/>
  <c r="L62" i="28"/>
  <c r="L90" i="28" s="1"/>
  <c r="D49" i="14"/>
  <c r="D76" i="14" s="1"/>
  <c r="D65" i="14"/>
  <c r="D92" i="14" s="1"/>
  <c r="D52" i="14"/>
  <c r="D79" i="14" s="1"/>
  <c r="D64" i="14"/>
  <c r="D91" i="14" s="1"/>
  <c r="D50" i="14"/>
  <c r="D77" i="14" s="1"/>
  <c r="D63" i="14"/>
  <c r="D90" i="14" s="1"/>
  <c r="D68" i="14"/>
  <c r="D95" i="14" s="1"/>
  <c r="D61" i="14"/>
  <c r="D88" i="14" s="1"/>
  <c r="D62" i="14"/>
  <c r="D89" i="14" s="1"/>
  <c r="D53" i="14"/>
  <c r="D80" i="14" s="1"/>
  <c r="D66" i="14"/>
  <c r="D93" i="14" s="1"/>
  <c r="D48" i="14"/>
  <c r="D75" i="14" s="1"/>
  <c r="D55" i="14"/>
  <c r="D82" i="14" s="1"/>
  <c r="D56" i="14"/>
  <c r="D83" i="14" s="1"/>
  <c r="D60" i="14"/>
  <c r="D87" i="14" s="1"/>
  <c r="D69" i="14"/>
  <c r="D96" i="14" s="1"/>
  <c r="D59" i="14"/>
  <c r="D86" i="14" s="1"/>
  <c r="D54" i="14"/>
  <c r="D81" i="14" s="1"/>
  <c r="D70" i="14"/>
  <c r="D51" i="14"/>
  <c r="D78" i="14" s="1"/>
  <c r="D58" i="14"/>
  <c r="D85" i="14" s="1"/>
  <c r="E61" i="28"/>
  <c r="E89" i="28" s="1"/>
  <c r="M67" i="28"/>
  <c r="M95" i="28" s="1"/>
  <c r="M64" i="28"/>
  <c r="M92" i="28" s="1"/>
  <c r="E73" i="28"/>
  <c r="E101" i="28" s="1"/>
  <c r="D57" i="14"/>
  <c r="D84" i="14" s="1"/>
  <c r="D17" i="14"/>
  <c r="D18" i="14"/>
  <c r="B17" i="14"/>
  <c r="B18" i="14"/>
  <c r="E16" i="14"/>
  <c r="F22" i="28"/>
  <c r="G22" i="28"/>
  <c r="I22" i="28"/>
  <c r="B23" i="28"/>
  <c r="N21" i="28"/>
  <c r="B22" i="28"/>
  <c r="M60" i="28" l="1"/>
  <c r="M88" i="28" s="1"/>
  <c r="M72" i="28"/>
  <c r="M100" i="28" s="1"/>
  <c r="M70" i="28"/>
  <c r="M98" i="28" s="1"/>
  <c r="M74" i="28"/>
  <c r="M102" i="28" s="1"/>
  <c r="M73" i="28"/>
  <c r="M101" i="28" s="1"/>
  <c r="M59" i="28"/>
  <c r="M87" i="28" s="1"/>
  <c r="M57" i="28"/>
  <c r="M85" i="28" s="1"/>
  <c r="M76" i="28"/>
  <c r="M104" i="28" s="1"/>
  <c r="M56" i="28"/>
  <c r="M84" i="28" s="1"/>
  <c r="M75" i="28"/>
  <c r="M103" i="28" s="1"/>
  <c r="M71" i="28"/>
  <c r="M99" i="28" s="1"/>
  <c r="M63" i="28"/>
  <c r="M91" i="28" s="1"/>
  <c r="M58" i="28"/>
  <c r="M86" i="28" s="1"/>
  <c r="J71" i="28"/>
  <c r="J99" i="28" s="1"/>
  <c r="J72" i="28"/>
  <c r="J100" i="28" s="1"/>
  <c r="J73" i="28"/>
  <c r="J101" i="28" s="1"/>
  <c r="J74" i="28"/>
  <c r="J102" i="28" s="1"/>
  <c r="M68" i="28"/>
  <c r="M96" i="28" s="1"/>
  <c r="J75" i="28"/>
  <c r="J103" i="28" s="1"/>
  <c r="M66" i="28"/>
  <c r="M94" i="28" s="1"/>
  <c r="E72" i="28"/>
  <c r="E100" i="28" s="1"/>
  <c r="E65" i="28"/>
  <c r="E93" i="28" s="1"/>
  <c r="L57" i="28"/>
  <c r="L85" i="28" s="1"/>
  <c r="E74" i="28"/>
  <c r="E102" i="28" s="1"/>
  <c r="L69" i="28"/>
  <c r="L97" i="28" s="1"/>
  <c r="E69" i="28"/>
  <c r="E97" i="28" s="1"/>
  <c r="M69" i="28"/>
  <c r="M97" i="28" s="1"/>
  <c r="E66" i="28"/>
  <c r="E94" i="28" s="1"/>
  <c r="M62" i="28"/>
  <c r="M90" i="28" s="1"/>
  <c r="L60" i="28"/>
  <c r="L88" i="28" s="1"/>
  <c r="H67" i="28"/>
  <c r="H95" i="28" s="1"/>
  <c r="L55" i="28"/>
  <c r="L83" i="28" s="1"/>
  <c r="E55" i="28"/>
  <c r="E83" i="28" s="1"/>
  <c r="J68" i="28"/>
  <c r="J96" i="28" s="1"/>
  <c r="J69" i="28"/>
  <c r="J97" i="28" s="1"/>
  <c r="J70" i="28"/>
  <c r="J98" i="28" s="1"/>
  <c r="K55" i="28"/>
  <c r="K83" i="28" s="1"/>
  <c r="K74" i="28"/>
  <c r="K102" i="28" s="1"/>
  <c r="H69" i="28"/>
  <c r="H97" i="28" s="1"/>
  <c r="H60" i="28"/>
  <c r="H88" i="28" s="1"/>
  <c r="H61" i="28"/>
  <c r="H89" i="28" s="1"/>
  <c r="H58" i="28"/>
  <c r="H86" i="28" s="1"/>
  <c r="E68" i="28"/>
  <c r="E96" i="28" s="1"/>
  <c r="E59" i="28"/>
  <c r="E87" i="28" s="1"/>
  <c r="M65" i="28"/>
  <c r="M93" i="28" s="1"/>
  <c r="E58" i="28"/>
  <c r="E86" i="28" s="1"/>
  <c r="D67" i="28"/>
  <c r="D95" i="28" s="1"/>
  <c r="D65" i="28"/>
  <c r="D93" i="28" s="1"/>
  <c r="D66" i="28"/>
  <c r="D94" i="28" s="1"/>
  <c r="H73" i="28"/>
  <c r="H101" i="28" s="1"/>
  <c r="E60" i="28"/>
  <c r="E88" i="28" s="1"/>
  <c r="E64" i="28"/>
  <c r="E92" i="28" s="1"/>
  <c r="D63" i="28"/>
  <c r="D91" i="28" s="1"/>
  <c r="D64" i="28"/>
  <c r="D92" i="28" s="1"/>
  <c r="D70" i="28"/>
  <c r="D98" i="28" s="1"/>
  <c r="K67" i="28"/>
  <c r="K95" i="28" s="1"/>
  <c r="D62" i="28"/>
  <c r="D90" i="28" s="1"/>
  <c r="H57" i="28"/>
  <c r="H85" i="28" s="1"/>
  <c r="D60" i="28"/>
  <c r="D88" i="28" s="1"/>
  <c r="K61" i="28"/>
  <c r="K89" i="28" s="1"/>
  <c r="E63" i="28"/>
  <c r="E91" i="28" s="1"/>
  <c r="L59" i="28"/>
  <c r="L87" i="28" s="1"/>
  <c r="E71" i="28"/>
  <c r="E99" i="28" s="1"/>
  <c r="L75" i="28"/>
  <c r="L103" i="28" s="1"/>
  <c r="L66" i="28"/>
  <c r="L94" i="28" s="1"/>
  <c r="L67" i="28"/>
  <c r="L95" i="28" s="1"/>
  <c r="L68" i="28"/>
  <c r="L96" i="28" s="1"/>
  <c r="E54" i="28"/>
  <c r="E82" i="28" s="1"/>
  <c r="D75" i="28"/>
  <c r="D103" i="28" s="1"/>
  <c r="L63" i="28"/>
  <c r="L91" i="28" s="1"/>
  <c r="E70" i="28"/>
  <c r="E98" i="28" s="1"/>
  <c r="H63" i="28"/>
  <c r="H91" i="28" s="1"/>
  <c r="K58" i="28"/>
  <c r="K86" i="28" s="1"/>
  <c r="K57" i="28"/>
  <c r="K85" i="28" s="1"/>
  <c r="K71" i="28"/>
  <c r="K99" i="28" s="1"/>
  <c r="K63" i="28"/>
  <c r="K91" i="28" s="1"/>
  <c r="H62" i="28"/>
  <c r="H90" i="28" s="1"/>
  <c r="K72" i="28"/>
  <c r="K100" i="28" s="1"/>
  <c r="K70" i="28"/>
  <c r="K98" i="28" s="1"/>
  <c r="K65" i="28"/>
  <c r="K93" i="28" s="1"/>
  <c r="K75" i="28"/>
  <c r="K103" i="28" s="1"/>
  <c r="J54" i="28"/>
  <c r="H66" i="28"/>
  <c r="H94" i="28" s="1"/>
  <c r="J55" i="28"/>
  <c r="J83" i="28" s="1"/>
  <c r="L56" i="28"/>
  <c r="L84" i="28" s="1"/>
  <c r="H64" i="28"/>
  <c r="H92" i="28" s="1"/>
  <c r="J56" i="28"/>
  <c r="J84" i="28" s="1"/>
  <c r="H65" i="28"/>
  <c r="H93" i="28" s="1"/>
  <c r="H70" i="28"/>
  <c r="H98" i="28" s="1"/>
  <c r="J57" i="28"/>
  <c r="J85" i="28" s="1"/>
  <c r="L64" i="28"/>
  <c r="L92" i="28" s="1"/>
  <c r="J58" i="28"/>
  <c r="J86" i="28" s="1"/>
  <c r="M54" i="28"/>
  <c r="M82" i="28" s="1"/>
  <c r="L73" i="28"/>
  <c r="L101" i="28" s="1"/>
  <c r="L65" i="28"/>
  <c r="L93" i="28" s="1"/>
  <c r="J59" i="28"/>
  <c r="J87" i="28" s="1"/>
  <c r="M55" i="28"/>
  <c r="M83" i="28" s="1"/>
  <c r="H59" i="28"/>
  <c r="H87" i="28" s="1"/>
  <c r="L71" i="28"/>
  <c r="L99" i="28" s="1"/>
  <c r="J67" i="28"/>
  <c r="J95" i="28" s="1"/>
  <c r="D54" i="28"/>
  <c r="D82" i="28" s="1"/>
  <c r="D59" i="28"/>
  <c r="D87" i="28" s="1"/>
  <c r="D97" i="14"/>
  <c r="D58" i="28"/>
  <c r="D86" i="28" s="1"/>
  <c r="K64" i="28"/>
  <c r="K92" i="28" s="1"/>
  <c r="H56" i="28"/>
  <c r="H84" i="28" s="1"/>
  <c r="D71" i="28"/>
  <c r="D99" i="28" s="1"/>
  <c r="K62" i="28"/>
  <c r="K90" i="28" s="1"/>
  <c r="D56" i="28"/>
  <c r="D84" i="28" s="1"/>
  <c r="H72" i="28"/>
  <c r="H100" i="28" s="1"/>
  <c r="K54" i="28"/>
  <c r="K82" i="28" s="1"/>
  <c r="H68" i="28"/>
  <c r="H96" i="28" s="1"/>
  <c r="J61" i="28"/>
  <c r="J89" i="28" s="1"/>
  <c r="D72" i="28"/>
  <c r="D100" i="28" s="1"/>
  <c r="K56" i="28"/>
  <c r="K84" i="28" s="1"/>
  <c r="H71" i="28"/>
  <c r="H99" i="28" s="1"/>
  <c r="L74" i="28"/>
  <c r="L102" i="28" s="1"/>
  <c r="J62" i="28"/>
  <c r="J90" i="28" s="1"/>
  <c r="D69" i="28"/>
  <c r="D97" i="28" s="1"/>
  <c r="K60" i="28"/>
  <c r="K88" i="28" s="1"/>
  <c r="L72" i="28"/>
  <c r="L100" i="28" s="1"/>
  <c r="D74" i="28"/>
  <c r="D102" i="28" s="1"/>
  <c r="E56" i="28"/>
  <c r="E84" i="28" s="1"/>
  <c r="H75" i="28"/>
  <c r="H103" i="28" s="1"/>
  <c r="K59" i="28"/>
  <c r="K87" i="28" s="1"/>
  <c r="L61" i="28"/>
  <c r="L89" i="28" s="1"/>
  <c r="J64" i="28"/>
  <c r="J92" i="28" s="1"/>
  <c r="D68" i="28"/>
  <c r="D96" i="28" s="1"/>
  <c r="E62" i="28"/>
  <c r="E90" i="28" s="1"/>
  <c r="E67" i="28"/>
  <c r="E95" i="28" s="1"/>
  <c r="K73" i="28"/>
  <c r="K101" i="28" s="1"/>
  <c r="L70" i="28"/>
  <c r="L98" i="28" s="1"/>
  <c r="J65" i="28"/>
  <c r="J93" i="28" s="1"/>
  <c r="D57" i="28"/>
  <c r="D85" i="28" s="1"/>
  <c r="K66" i="28"/>
  <c r="K94" i="28" s="1"/>
  <c r="D55" i="28"/>
  <c r="D83" i="28" s="1"/>
  <c r="J60" i="28"/>
  <c r="J88" i="28" s="1"/>
  <c r="D73" i="28"/>
  <c r="D101" i="28" s="1"/>
  <c r="H55" i="28"/>
  <c r="H83" i="28" s="1"/>
  <c r="J63" i="28"/>
  <c r="J91" i="28" s="1"/>
  <c r="E75" i="28"/>
  <c r="E103" i="28" s="1"/>
  <c r="K68" i="28"/>
  <c r="K96" i="28" s="1"/>
  <c r="H54" i="28"/>
  <c r="H82" i="28" s="1"/>
  <c r="L58" i="28"/>
  <c r="L86" i="28" s="1"/>
  <c r="C23" i="28"/>
  <c r="E18" i="14"/>
  <c r="F58" i="28"/>
  <c r="F86" i="28" s="1"/>
  <c r="F70" i="28"/>
  <c r="F98" i="28" s="1"/>
  <c r="F63" i="28"/>
  <c r="F91" i="28" s="1"/>
  <c r="F57" i="28"/>
  <c r="F85" i="28" s="1"/>
  <c r="F55" i="28"/>
  <c r="F83" i="28" s="1"/>
  <c r="F59" i="28"/>
  <c r="F87" i="28" s="1"/>
  <c r="F75" i="28"/>
  <c r="F103" i="28" s="1"/>
  <c r="F65" i="28"/>
  <c r="F93" i="28" s="1"/>
  <c r="F72" i="28"/>
  <c r="F100" i="28" s="1"/>
  <c r="F73" i="28"/>
  <c r="F101" i="28" s="1"/>
  <c r="F62" i="28"/>
  <c r="F90" i="28" s="1"/>
  <c r="F67" i="28"/>
  <c r="F95" i="28" s="1"/>
  <c r="F60" i="28"/>
  <c r="F88" i="28" s="1"/>
  <c r="F54" i="28"/>
  <c r="F66" i="28"/>
  <c r="F94" i="28" s="1"/>
  <c r="F56" i="28"/>
  <c r="F84" i="28" s="1"/>
  <c r="F68" i="28"/>
  <c r="F96" i="28" s="1"/>
  <c r="F69" i="28"/>
  <c r="F97" i="28" s="1"/>
  <c r="F71" i="28"/>
  <c r="F99" i="28" s="1"/>
  <c r="F61" i="28"/>
  <c r="F89" i="28" s="1"/>
  <c r="F74" i="28"/>
  <c r="F102" i="28" s="1"/>
  <c r="F64" i="28"/>
  <c r="F92" i="28" s="1"/>
  <c r="I68" i="28"/>
  <c r="I96" i="28" s="1"/>
  <c r="I66" i="28"/>
  <c r="I94" i="28" s="1"/>
  <c r="I72" i="28"/>
  <c r="I100" i="28" s="1"/>
  <c r="I55" i="28"/>
  <c r="I83" i="28" s="1"/>
  <c r="I60" i="28"/>
  <c r="I88" i="28" s="1"/>
  <c r="I74" i="28"/>
  <c r="I102" i="28" s="1"/>
  <c r="I57" i="28"/>
  <c r="I85" i="28" s="1"/>
  <c r="I56" i="28"/>
  <c r="I84" i="28" s="1"/>
  <c r="I69" i="28"/>
  <c r="I97" i="28" s="1"/>
  <c r="I67" i="28"/>
  <c r="I95" i="28" s="1"/>
  <c r="I62" i="28"/>
  <c r="I90" i="28" s="1"/>
  <c r="I59" i="28"/>
  <c r="I87" i="28" s="1"/>
  <c r="I70" i="28"/>
  <c r="I98" i="28" s="1"/>
  <c r="I54" i="28"/>
  <c r="I71" i="28"/>
  <c r="I99" i="28" s="1"/>
  <c r="I65" i="28"/>
  <c r="I93" i="28" s="1"/>
  <c r="I63" i="28"/>
  <c r="I91" i="28" s="1"/>
  <c r="I64" i="28"/>
  <c r="I92" i="28" s="1"/>
  <c r="I73" i="28"/>
  <c r="I101" i="28" s="1"/>
  <c r="I75" i="28"/>
  <c r="I103" i="28" s="1"/>
  <c r="I58" i="28"/>
  <c r="I86" i="28" s="1"/>
  <c r="I61" i="28"/>
  <c r="I89" i="28" s="1"/>
  <c r="C59" i="14"/>
  <c r="C66" i="14"/>
  <c r="C51" i="14"/>
  <c r="C60" i="14"/>
  <c r="C58" i="14"/>
  <c r="C61" i="14"/>
  <c r="C69" i="14"/>
  <c r="C48" i="14"/>
  <c r="C65" i="14"/>
  <c r="C67" i="14"/>
  <c r="C56" i="14"/>
  <c r="C49" i="14"/>
  <c r="C53" i="14"/>
  <c r="C54" i="14"/>
  <c r="C52" i="14"/>
  <c r="C70" i="14"/>
  <c r="C68" i="14"/>
  <c r="C57" i="14"/>
  <c r="C63" i="14"/>
  <c r="C50" i="14"/>
  <c r="C64" i="14"/>
  <c r="C55" i="14"/>
  <c r="C62" i="14"/>
  <c r="G68" i="28"/>
  <c r="G96" i="28" s="1"/>
  <c r="G62" i="28"/>
  <c r="G90" i="28" s="1"/>
  <c r="G74" i="28"/>
  <c r="G102" i="28" s="1"/>
  <c r="G61" i="28"/>
  <c r="G89" i="28" s="1"/>
  <c r="G73" i="28"/>
  <c r="G101" i="28" s="1"/>
  <c r="G66" i="28"/>
  <c r="G94" i="28" s="1"/>
  <c r="G75" i="28"/>
  <c r="G103" i="28" s="1"/>
  <c r="G72" i="28"/>
  <c r="G100" i="28" s="1"/>
  <c r="G69" i="28"/>
  <c r="G97" i="28" s="1"/>
  <c r="G64" i="28"/>
  <c r="G92" i="28" s="1"/>
  <c r="G58" i="28"/>
  <c r="G86" i="28" s="1"/>
  <c r="G71" i="28"/>
  <c r="G99" i="28" s="1"/>
  <c r="G57" i="28"/>
  <c r="G85" i="28" s="1"/>
  <c r="G67" i="28"/>
  <c r="G95" i="28" s="1"/>
  <c r="G70" i="28"/>
  <c r="G98" i="28" s="1"/>
  <c r="G63" i="28"/>
  <c r="G91" i="28" s="1"/>
  <c r="G59" i="28"/>
  <c r="G87" i="28" s="1"/>
  <c r="G60" i="28"/>
  <c r="G88" i="28" s="1"/>
  <c r="G54" i="28"/>
  <c r="G56" i="28"/>
  <c r="G84" i="28" s="1"/>
  <c r="G65" i="28"/>
  <c r="G93" i="28" s="1"/>
  <c r="G55" i="28"/>
  <c r="G83" i="28" s="1"/>
  <c r="C59" i="28"/>
  <c r="C61" i="28"/>
  <c r="C60" i="28"/>
  <c r="C67" i="28"/>
  <c r="C66" i="28"/>
  <c r="C54" i="28"/>
  <c r="C68" i="28"/>
  <c r="C69" i="28"/>
  <c r="C65" i="28"/>
  <c r="C72" i="28"/>
  <c r="C57" i="28"/>
  <c r="C64" i="28"/>
  <c r="C75" i="28"/>
  <c r="C74" i="28"/>
  <c r="C73" i="28"/>
  <c r="C56" i="28"/>
  <c r="C58" i="28"/>
  <c r="C71" i="28"/>
  <c r="C63" i="28"/>
  <c r="C70" i="28"/>
  <c r="C55" i="28"/>
  <c r="C62" i="28"/>
  <c r="J82" i="28"/>
  <c r="N23" i="28"/>
  <c r="E56" i="14"/>
  <c r="E83" i="14" s="1"/>
  <c r="E52" i="14"/>
  <c r="E79" i="14" s="1"/>
  <c r="E58" i="14"/>
  <c r="E85" i="14" s="1"/>
  <c r="E51" i="14"/>
  <c r="E78" i="14" s="1"/>
  <c r="E66" i="14"/>
  <c r="E93" i="14" s="1"/>
  <c r="E67" i="14"/>
  <c r="E94" i="14" s="1"/>
  <c r="E54" i="14"/>
  <c r="E81" i="14" s="1"/>
  <c r="E63" i="14"/>
  <c r="E90" i="14" s="1"/>
  <c r="E64" i="14"/>
  <c r="E91" i="14" s="1"/>
  <c r="E55" i="14"/>
  <c r="E82" i="14" s="1"/>
  <c r="E61" i="14"/>
  <c r="E88" i="14" s="1"/>
  <c r="E48" i="14"/>
  <c r="E75" i="14" s="1"/>
  <c r="E69" i="14"/>
  <c r="E96" i="14" s="1"/>
  <c r="E68" i="14"/>
  <c r="E95" i="14" s="1"/>
  <c r="E50" i="14"/>
  <c r="E77" i="14" s="1"/>
  <c r="E62" i="14"/>
  <c r="E89" i="14" s="1"/>
  <c r="E65" i="14"/>
  <c r="E92" i="14" s="1"/>
  <c r="E59" i="14"/>
  <c r="E86" i="14" s="1"/>
  <c r="E57" i="14"/>
  <c r="E84" i="14" s="1"/>
  <c r="E60" i="14"/>
  <c r="E87" i="14" s="1"/>
  <c r="E53" i="14"/>
  <c r="E80" i="14" s="1"/>
  <c r="E49" i="14"/>
  <c r="E76" i="14" s="1"/>
  <c r="E70" i="14"/>
  <c r="J76" i="28" l="1"/>
  <c r="J104" i="28" s="1"/>
  <c r="D76" i="28"/>
  <c r="D104" i="28" s="1"/>
  <c r="L76" i="28"/>
  <c r="L104" i="28" s="1"/>
  <c r="E76" i="28"/>
  <c r="E104" i="28" s="1"/>
  <c r="K76" i="28"/>
  <c r="K104" i="28" s="1"/>
  <c r="H76" i="28"/>
  <c r="H104" i="28" s="1"/>
  <c r="C98" i="28"/>
  <c r="N98" i="28" s="1"/>
  <c r="N70" i="28"/>
  <c r="C97" i="28"/>
  <c r="N97" i="28" s="1"/>
  <c r="N69" i="28"/>
  <c r="C91" i="14"/>
  <c r="F91" i="14" s="1"/>
  <c r="F64" i="14"/>
  <c r="C92" i="14"/>
  <c r="F92" i="14" s="1"/>
  <c r="F65" i="14"/>
  <c r="N63" i="28"/>
  <c r="C91" i="28"/>
  <c r="N91" i="28" s="1"/>
  <c r="C96" i="28"/>
  <c r="N96" i="28" s="1"/>
  <c r="N68" i="28"/>
  <c r="F50" i="14"/>
  <c r="C77" i="14"/>
  <c r="F77" i="14" s="1"/>
  <c r="F48" i="14"/>
  <c r="C75" i="14"/>
  <c r="F75" i="14" s="1"/>
  <c r="N71" i="28"/>
  <c r="C99" i="28"/>
  <c r="N99" i="28" s="1"/>
  <c r="C82" i="28"/>
  <c r="C76" i="28"/>
  <c r="N54" i="28"/>
  <c r="F63" i="14"/>
  <c r="C90" i="14"/>
  <c r="F90" i="14" s="1"/>
  <c r="C96" i="14"/>
  <c r="F96" i="14" s="1"/>
  <c r="F69" i="14"/>
  <c r="N58" i="28"/>
  <c r="C86" i="28"/>
  <c r="N86" i="28" s="1"/>
  <c r="N66" i="28"/>
  <c r="C94" i="28"/>
  <c r="N94" i="28" s="1"/>
  <c r="G76" i="28"/>
  <c r="G82" i="28"/>
  <c r="C84" i="14"/>
  <c r="F84" i="14" s="1"/>
  <c r="F57" i="14"/>
  <c r="F61" i="14"/>
  <c r="C88" i="14"/>
  <c r="F88" i="14" s="1"/>
  <c r="F82" i="28"/>
  <c r="F76" i="28"/>
  <c r="N56" i="28"/>
  <c r="C84" i="28"/>
  <c r="N84" i="28" s="1"/>
  <c r="N67" i="28"/>
  <c r="C95" i="28"/>
  <c r="N95" i="28" s="1"/>
  <c r="C95" i="14"/>
  <c r="F95" i="14" s="1"/>
  <c r="F68" i="14"/>
  <c r="F58" i="14"/>
  <c r="C85" i="14"/>
  <c r="F85" i="14" s="1"/>
  <c r="C101" i="28"/>
  <c r="N101" i="28" s="1"/>
  <c r="N73" i="28"/>
  <c r="C88" i="28"/>
  <c r="N88" i="28" s="1"/>
  <c r="N60" i="28"/>
  <c r="E14" i="32" s="1"/>
  <c r="G14" i="32" s="1"/>
  <c r="F70" i="14"/>
  <c r="D71" i="14" s="1"/>
  <c r="C97" i="14"/>
  <c r="F60" i="14"/>
  <c r="C87" i="14"/>
  <c r="F87" i="14" s="1"/>
  <c r="I76" i="28"/>
  <c r="I82" i="28"/>
  <c r="C102" i="28"/>
  <c r="N102" i="28" s="1"/>
  <c r="N74" i="28"/>
  <c r="C89" i="28"/>
  <c r="N89" i="28" s="1"/>
  <c r="N61" i="28"/>
  <c r="E15" i="32" s="1"/>
  <c r="G15" i="32" s="1"/>
  <c r="C79" i="14"/>
  <c r="F79" i="14" s="1"/>
  <c r="F52" i="14"/>
  <c r="C78" i="14"/>
  <c r="F78" i="14" s="1"/>
  <c r="F51" i="14"/>
  <c r="N75" i="28"/>
  <c r="C103" i="28"/>
  <c r="N103" i="28" s="1"/>
  <c r="C87" i="28"/>
  <c r="N87" i="28" s="1"/>
  <c r="N59" i="28"/>
  <c r="F54" i="14"/>
  <c r="C81" i="14"/>
  <c r="F81" i="14" s="1"/>
  <c r="F66" i="14"/>
  <c r="C93" i="14"/>
  <c r="F93" i="14" s="1"/>
  <c r="E97" i="14"/>
  <c r="C92" i="28"/>
  <c r="N92" i="28" s="1"/>
  <c r="N64" i="28"/>
  <c r="F53" i="14"/>
  <c r="C80" i="14"/>
  <c r="F80" i="14" s="1"/>
  <c r="F59" i="14"/>
  <c r="C86" i="14"/>
  <c r="F86" i="14" s="1"/>
  <c r="C85" i="28"/>
  <c r="N85" i="28" s="1"/>
  <c r="N57" i="28"/>
  <c r="F49" i="14"/>
  <c r="C76" i="14"/>
  <c r="F76" i="14" s="1"/>
  <c r="N62" i="28"/>
  <c r="C90" i="28"/>
  <c r="N90" i="28" s="1"/>
  <c r="C100" i="28"/>
  <c r="N100" i="28" s="1"/>
  <c r="N72" i="28"/>
  <c r="C89" i="14"/>
  <c r="F89" i="14" s="1"/>
  <c r="F62" i="14"/>
  <c r="C83" i="14"/>
  <c r="F83" i="14" s="1"/>
  <c r="F56" i="14"/>
  <c r="N55" i="28"/>
  <c r="C83" i="28"/>
  <c r="N83" i="28" s="1"/>
  <c r="C93" i="28"/>
  <c r="N93" i="28" s="1"/>
  <c r="N65" i="28"/>
  <c r="C82" i="14"/>
  <c r="F82" i="14" s="1"/>
  <c r="F55" i="14"/>
  <c r="C94" i="14"/>
  <c r="F94" i="14" s="1"/>
  <c r="F67" i="14"/>
  <c r="E11" i="32" l="1"/>
  <c r="G11" i="32" s="1"/>
  <c r="E28" i="32"/>
  <c r="G28" i="32" s="1"/>
  <c r="E22" i="32"/>
  <c r="G22" i="32" s="1"/>
  <c r="E18" i="32"/>
  <c r="G18" i="32" s="1"/>
  <c r="E23" i="32"/>
  <c r="G23" i="32" s="1"/>
  <c r="I23" i="32" s="1"/>
  <c r="E12" i="32"/>
  <c r="G12" i="32" s="1"/>
  <c r="E9" i="32"/>
  <c r="G9" i="32" s="1"/>
  <c r="H15" i="32"/>
  <c r="I15" i="32"/>
  <c r="E17" i="32"/>
  <c r="G17" i="32" s="1"/>
  <c r="E19" i="32"/>
  <c r="G19" i="32" s="1"/>
  <c r="E20" i="32"/>
  <c r="G20" i="32" s="1"/>
  <c r="H14" i="32"/>
  <c r="I14" i="32"/>
  <c r="C42" i="32" s="1"/>
  <c r="E27" i="32"/>
  <c r="G27" i="32" s="1"/>
  <c r="E24" i="32"/>
  <c r="G24" i="32" s="1"/>
  <c r="E13" i="32"/>
  <c r="G13" i="32" s="1"/>
  <c r="E26" i="32"/>
  <c r="G26" i="32" s="1"/>
  <c r="C71" i="14"/>
  <c r="E8" i="32"/>
  <c r="G8" i="32" s="1"/>
  <c r="E71" i="14"/>
  <c r="E29" i="32"/>
  <c r="G29" i="32" s="1"/>
  <c r="E16" i="32"/>
  <c r="G16" i="32" s="1"/>
  <c r="E21" i="32"/>
  <c r="G21" i="32" s="1"/>
  <c r="E25" i="32"/>
  <c r="G25" i="32" s="1"/>
  <c r="E10" i="32"/>
  <c r="G10" i="32" s="1"/>
  <c r="E14" i="31"/>
  <c r="E27" i="31"/>
  <c r="E28" i="31"/>
  <c r="E9" i="31"/>
  <c r="E7" i="31"/>
  <c r="F97" i="14"/>
  <c r="D98" i="14" s="1"/>
  <c r="E8" i="31"/>
  <c r="E15" i="31"/>
  <c r="E21" i="31"/>
  <c r="E26" i="31"/>
  <c r="E25" i="31"/>
  <c r="E16" i="31"/>
  <c r="E12" i="31"/>
  <c r="C104" i="28"/>
  <c r="N76" i="28"/>
  <c r="E18" i="31"/>
  <c r="E17" i="31"/>
  <c r="I104" i="28"/>
  <c r="N82" i="28"/>
  <c r="G104" i="28"/>
  <c r="E24" i="31"/>
  <c r="E20" i="31"/>
  <c r="E19" i="31"/>
  <c r="E22" i="31"/>
  <c r="E11" i="31"/>
  <c r="E23" i="31"/>
  <c r="E10" i="31"/>
  <c r="E13" i="31"/>
  <c r="F104" i="28"/>
  <c r="H18" i="32" l="1"/>
  <c r="I22" i="32"/>
  <c r="E42" i="32"/>
  <c r="D42" i="32"/>
  <c r="I18" i="32"/>
  <c r="C46" i="32" s="1"/>
  <c r="H22" i="32"/>
  <c r="I11" i="32"/>
  <c r="I28" i="32"/>
  <c r="H28" i="32"/>
  <c r="I9" i="32"/>
  <c r="H12" i="32"/>
  <c r="H23" i="32"/>
  <c r="H11" i="32"/>
  <c r="I12" i="32"/>
  <c r="H9" i="32"/>
  <c r="E98" i="14"/>
  <c r="C98" i="14"/>
  <c r="H21" i="32"/>
  <c r="I21" i="32"/>
  <c r="C49" i="32" s="1"/>
  <c r="H16" i="32"/>
  <c r="I16" i="32"/>
  <c r="H29" i="32"/>
  <c r="I29" i="32"/>
  <c r="H8" i="32"/>
  <c r="I8" i="32"/>
  <c r="I20" i="32"/>
  <c r="H20" i="32"/>
  <c r="I24" i="31"/>
  <c r="E30" i="32"/>
  <c r="G30" i="32" s="1"/>
  <c r="H26" i="32"/>
  <c r="I26" i="32"/>
  <c r="H13" i="32"/>
  <c r="I13" i="32"/>
  <c r="H19" i="32"/>
  <c r="I19" i="32"/>
  <c r="C47" i="32" s="1"/>
  <c r="H24" i="32"/>
  <c r="I24" i="32"/>
  <c r="H17" i="32"/>
  <c r="I17" i="32"/>
  <c r="H27" i="32"/>
  <c r="I27" i="32"/>
  <c r="H10" i="32"/>
  <c r="I10" i="32"/>
  <c r="I25" i="32"/>
  <c r="H25" i="32"/>
  <c r="I13" i="31"/>
  <c r="I12" i="31"/>
  <c r="I22" i="31"/>
  <c r="I18" i="31"/>
  <c r="I23" i="31"/>
  <c r="I27" i="31"/>
  <c r="I9" i="31"/>
  <c r="I28" i="31"/>
  <c r="I26" i="31"/>
  <c r="I16" i="31"/>
  <c r="I25" i="31"/>
  <c r="I8" i="31"/>
  <c r="I17" i="31"/>
  <c r="I10" i="31"/>
  <c r="I7" i="31"/>
  <c r="I21" i="31"/>
  <c r="I14" i="31"/>
  <c r="I15" i="31"/>
  <c r="I11" i="31"/>
  <c r="I19" i="31"/>
  <c r="I20" i="31"/>
  <c r="G77" i="28"/>
  <c r="I77" i="28"/>
  <c r="F71" i="14"/>
  <c r="F77" i="28"/>
  <c r="C77" i="28"/>
  <c r="N104" i="28"/>
  <c r="C105" i="28" s="1"/>
  <c r="E29" i="31"/>
  <c r="M77" i="28"/>
  <c r="H77" i="28"/>
  <c r="E77" i="28"/>
  <c r="K77" i="28"/>
  <c r="L77" i="28"/>
  <c r="D77" i="28"/>
  <c r="J77" i="28"/>
  <c r="F98" i="14" l="1"/>
  <c r="E49" i="32"/>
  <c r="D49" i="32"/>
  <c r="E47" i="32"/>
  <c r="D47" i="32"/>
  <c r="E46" i="32"/>
  <c r="D46" i="32"/>
  <c r="I30" i="32"/>
  <c r="C40" i="32" s="1"/>
  <c r="H30" i="32"/>
  <c r="I29" i="31"/>
  <c r="I105" i="28"/>
  <c r="G105" i="28"/>
  <c r="N77" i="28"/>
  <c r="F105" i="28"/>
  <c r="N105" i="28"/>
  <c r="M105" i="28"/>
  <c r="L105" i="28"/>
  <c r="H105" i="28"/>
  <c r="K105" i="28"/>
  <c r="E105" i="28"/>
  <c r="J105" i="28"/>
  <c r="D105" i="28"/>
  <c r="C36" i="32" l="1"/>
  <c r="D36" i="32" s="1"/>
  <c r="F46" i="32"/>
  <c r="G46" i="32" s="1"/>
  <c r="C54" i="32"/>
  <c r="E54" i="32" s="1"/>
  <c r="C41" i="32"/>
  <c r="D41" i="32" s="1"/>
  <c r="C52" i="32"/>
  <c r="D52" i="32" s="1"/>
  <c r="C53" i="32"/>
  <c r="D53" i="32" s="1"/>
  <c r="C48" i="32"/>
  <c r="D48" i="32" s="1"/>
  <c r="C39" i="32"/>
  <c r="D39" i="32" s="1"/>
  <c r="C37" i="32"/>
  <c r="D37" i="32" s="1"/>
  <c r="F47" i="32"/>
  <c r="G47" i="32" s="1"/>
  <c r="H47" i="32" s="1"/>
  <c r="G18" i="31" s="1"/>
  <c r="C45" i="32"/>
  <c r="E45" i="32" s="1"/>
  <c r="F45" i="32" s="1"/>
  <c r="G45" i="32" s="1"/>
  <c r="C55" i="32"/>
  <c r="D55" i="32" s="1"/>
  <c r="D40" i="32"/>
  <c r="C43" i="32"/>
  <c r="C51" i="32"/>
  <c r="C50" i="32"/>
  <c r="F49" i="32"/>
  <c r="G49" i="32" s="1"/>
  <c r="H49" i="32" s="1"/>
  <c r="G20" i="31" s="1"/>
  <c r="C56" i="32"/>
  <c r="C44" i="32"/>
  <c r="C38" i="32"/>
  <c r="C57" i="32"/>
  <c r="F42" i="32"/>
  <c r="E48" i="32" l="1"/>
  <c r="F48" i="32" s="1"/>
  <c r="G48" i="32" s="1"/>
  <c r="H46" i="32"/>
  <c r="G17" i="31" s="1"/>
  <c r="H17" i="31" s="1"/>
  <c r="D54" i="32"/>
  <c r="I47" i="32"/>
  <c r="J47" i="32"/>
  <c r="J19" i="32" s="1"/>
  <c r="I49" i="32"/>
  <c r="H20" i="31" s="1"/>
  <c r="J49" i="32"/>
  <c r="G42" i="32"/>
  <c r="H42" i="32" s="1"/>
  <c r="G13" i="31" s="1"/>
  <c r="D45" i="32"/>
  <c r="H45" i="32" s="1"/>
  <c r="G16" i="31" s="1"/>
  <c r="E38" i="32"/>
  <c r="F38" i="32" s="1"/>
  <c r="D38" i="32"/>
  <c r="D57" i="32"/>
  <c r="E44" i="32"/>
  <c r="F44" i="32" s="1"/>
  <c r="G44" i="32" s="1"/>
  <c r="D44" i="32"/>
  <c r="E56" i="32"/>
  <c r="F56" i="32" s="1"/>
  <c r="D56" i="32"/>
  <c r="F54" i="32"/>
  <c r="G54" i="32" s="1"/>
  <c r="D50" i="32"/>
  <c r="E51" i="32"/>
  <c r="F51" i="32" s="1"/>
  <c r="G51" i="32" s="1"/>
  <c r="D51" i="32"/>
  <c r="E43" i="32"/>
  <c r="F43" i="32" s="1"/>
  <c r="G43" i="32" s="1"/>
  <c r="D43" i="32"/>
  <c r="H44" i="31" l="1"/>
  <c r="C44" i="31"/>
  <c r="K20" i="31"/>
  <c r="L20" i="31" s="1"/>
  <c r="C47" i="31"/>
  <c r="H47" i="31"/>
  <c r="K49" i="32"/>
  <c r="K21" i="32" s="1"/>
  <c r="J21" i="32"/>
  <c r="H54" i="32"/>
  <c r="G25" i="31" s="1"/>
  <c r="H25" i="31" s="1"/>
  <c r="H48" i="32"/>
  <c r="G19" i="31" s="1"/>
  <c r="J46" i="32"/>
  <c r="I46" i="32"/>
  <c r="F47" i="31"/>
  <c r="H43" i="32"/>
  <c r="G14" i="31" s="1"/>
  <c r="D47" i="31"/>
  <c r="K47" i="31"/>
  <c r="J47" i="31"/>
  <c r="E47" i="31"/>
  <c r="N47" i="31"/>
  <c r="L47" i="31"/>
  <c r="J20" i="31"/>
  <c r="I47" i="31"/>
  <c r="M47" i="31"/>
  <c r="G47" i="31"/>
  <c r="H44" i="32"/>
  <c r="G15" i="31" s="1"/>
  <c r="I45" i="32"/>
  <c r="J45" i="32"/>
  <c r="J17" i="32" s="1"/>
  <c r="I42" i="32"/>
  <c r="J42" i="32"/>
  <c r="H18" i="31"/>
  <c r="H13" i="31"/>
  <c r="K47" i="32"/>
  <c r="K19" i="32" s="1"/>
  <c r="H51" i="32"/>
  <c r="G22" i="31" s="1"/>
  <c r="D58" i="32"/>
  <c r="E36" i="32" s="1"/>
  <c r="G56" i="32"/>
  <c r="H56" i="32" s="1"/>
  <c r="G27" i="31" s="1"/>
  <c r="G38" i="32"/>
  <c r="H38" i="32" s="1"/>
  <c r="G9" i="31" s="1"/>
  <c r="G44" i="31"/>
  <c r="I44" i="31"/>
  <c r="D44" i="31"/>
  <c r="F44" i="31"/>
  <c r="M44" i="31"/>
  <c r="J44" i="31"/>
  <c r="K44" i="31"/>
  <c r="E44" i="31"/>
  <c r="N44" i="31"/>
  <c r="J17" i="31"/>
  <c r="K17" i="31"/>
  <c r="L17" i="31" s="1"/>
  <c r="L44" i="31"/>
  <c r="J13" i="31" l="1"/>
  <c r="C40" i="31"/>
  <c r="H40" i="31"/>
  <c r="N52" i="31"/>
  <c r="H52" i="31"/>
  <c r="C52" i="31"/>
  <c r="H45" i="31"/>
  <c r="C45" i="31"/>
  <c r="K42" i="32"/>
  <c r="K14" i="32" s="1"/>
  <c r="J14" i="32"/>
  <c r="K46" i="32"/>
  <c r="K18" i="32" s="1"/>
  <c r="J18" i="32"/>
  <c r="J54" i="32"/>
  <c r="I54" i="32"/>
  <c r="J43" i="32"/>
  <c r="J15" i="32" s="1"/>
  <c r="I43" i="32"/>
  <c r="O47" i="31"/>
  <c r="J48" i="32"/>
  <c r="I48" i="32"/>
  <c r="H19" i="31" s="1"/>
  <c r="N46" i="31" s="1"/>
  <c r="E37" i="32"/>
  <c r="F37" i="32" s="1"/>
  <c r="E40" i="32"/>
  <c r="F40" i="32" s="1"/>
  <c r="E53" i="32"/>
  <c r="F53" i="32" s="1"/>
  <c r="E39" i="32"/>
  <c r="F39" i="32" s="1"/>
  <c r="I51" i="32"/>
  <c r="J51" i="32"/>
  <c r="J23" i="32" s="1"/>
  <c r="K13" i="31"/>
  <c r="L13" i="31" s="1"/>
  <c r="I40" i="31"/>
  <c r="E40" i="31"/>
  <c r="D40" i="31"/>
  <c r="N40" i="31"/>
  <c r="G40" i="31"/>
  <c r="I38" i="32"/>
  <c r="J38" i="32"/>
  <c r="J10" i="32" s="1"/>
  <c r="I44" i="32"/>
  <c r="H15" i="31" s="1"/>
  <c r="J44" i="32"/>
  <c r="M40" i="31"/>
  <c r="I56" i="32"/>
  <c r="J56" i="32"/>
  <c r="F40" i="31"/>
  <c r="E41" i="32"/>
  <c r="F41" i="32" s="1"/>
  <c r="L40" i="31"/>
  <c r="E55" i="32"/>
  <c r="F55" i="32" s="1"/>
  <c r="K40" i="31"/>
  <c r="M52" i="31"/>
  <c r="F52" i="31"/>
  <c r="J45" i="31"/>
  <c r="E45" i="31"/>
  <c r="K45" i="31"/>
  <c r="G45" i="31"/>
  <c r="L45" i="31"/>
  <c r="J18" i="31"/>
  <c r="K18" i="31"/>
  <c r="L18" i="31" s="1"/>
  <c r="F45" i="31"/>
  <c r="N45" i="31"/>
  <c r="D45" i="31"/>
  <c r="M45" i="31"/>
  <c r="I45" i="31"/>
  <c r="H27" i="31"/>
  <c r="H22" i="31"/>
  <c r="H9" i="31"/>
  <c r="H14" i="31"/>
  <c r="J40" i="31"/>
  <c r="K25" i="31"/>
  <c r="L25" i="31" s="1"/>
  <c r="H16" i="31"/>
  <c r="K45" i="32"/>
  <c r="K17" i="32" s="1"/>
  <c r="J52" i="31"/>
  <c r="L52" i="31"/>
  <c r="G52" i="31"/>
  <c r="E52" i="31"/>
  <c r="K52" i="31"/>
  <c r="I52" i="31"/>
  <c r="J25" i="31"/>
  <c r="E57" i="32"/>
  <c r="F57" i="32" s="1"/>
  <c r="D52" i="31"/>
  <c r="E50" i="32"/>
  <c r="F50" i="32" s="1"/>
  <c r="E52" i="32"/>
  <c r="F52" i="32" s="1"/>
  <c r="F36" i="32"/>
  <c r="O44" i="31"/>
  <c r="H49" i="31" l="1"/>
  <c r="C49" i="31"/>
  <c r="M46" i="31"/>
  <c r="C43" i="31"/>
  <c r="H43" i="31"/>
  <c r="J19" i="31"/>
  <c r="C46" i="31"/>
  <c r="H46" i="31"/>
  <c r="G46" i="31"/>
  <c r="H41" i="31"/>
  <c r="C41" i="31"/>
  <c r="C36" i="31"/>
  <c r="H36" i="31"/>
  <c r="I46" i="31"/>
  <c r="H54" i="31"/>
  <c r="C54" i="31"/>
  <c r="J46" i="31"/>
  <c r="K46" i="31"/>
  <c r="C42" i="31"/>
  <c r="H42" i="31"/>
  <c r="D46" i="31"/>
  <c r="E46" i="31"/>
  <c r="F46" i="31"/>
  <c r="K19" i="31"/>
  <c r="L19" i="31" s="1"/>
  <c r="L46" i="31"/>
  <c r="K51" i="32"/>
  <c r="K23" i="32" s="1"/>
  <c r="K48" i="32"/>
  <c r="K20" i="32" s="1"/>
  <c r="J20" i="32"/>
  <c r="K43" i="32"/>
  <c r="K15" i="32" s="1"/>
  <c r="K38" i="32"/>
  <c r="K10" i="32" s="1"/>
  <c r="K56" i="32"/>
  <c r="K28" i="32" s="1"/>
  <c r="J28" i="32"/>
  <c r="K44" i="32"/>
  <c r="K16" i="32" s="1"/>
  <c r="J16" i="32"/>
  <c r="K54" i="32"/>
  <c r="K26" i="32" s="1"/>
  <c r="J26" i="32"/>
  <c r="O45" i="31"/>
  <c r="O40" i="31"/>
  <c r="O52" i="31"/>
  <c r="E58" i="32"/>
  <c r="K14" i="31"/>
  <c r="L14" i="31" s="1"/>
  <c r="L41" i="31"/>
  <c r="F41" i="31"/>
  <c r="G41" i="31"/>
  <c r="E41" i="31"/>
  <c r="K41" i="31"/>
  <c r="D41" i="31"/>
  <c r="M41" i="31"/>
  <c r="I41" i="31"/>
  <c r="J14" i="31"/>
  <c r="N41" i="31"/>
  <c r="J41" i="31"/>
  <c r="E43" i="31"/>
  <c r="M43" i="31"/>
  <c r="J16" i="31"/>
  <c r="N43" i="31"/>
  <c r="I43" i="31"/>
  <c r="K16" i="31"/>
  <c r="L16" i="31" s="1"/>
  <c r="L43" i="31"/>
  <c r="D43" i="31"/>
  <c r="J43" i="31"/>
  <c r="F43" i="31"/>
  <c r="K43" i="31"/>
  <c r="G43" i="31"/>
  <c r="G57" i="32"/>
  <c r="H57" i="32" s="1"/>
  <c r="G28" i="31" s="1"/>
  <c r="F36" i="31"/>
  <c r="J36" i="31"/>
  <c r="L36" i="31"/>
  <c r="D36" i="31"/>
  <c r="N36" i="31"/>
  <c r="J9" i="31"/>
  <c r="I36" i="31"/>
  <c r="G36" i="31"/>
  <c r="M36" i="31"/>
  <c r="K9" i="31"/>
  <c r="L9" i="31" s="1"/>
  <c r="K36" i="31"/>
  <c r="E36" i="31"/>
  <c r="G42" i="31"/>
  <c r="J42" i="31"/>
  <c r="K42" i="31"/>
  <c r="L42" i="31"/>
  <c r="N42" i="31"/>
  <c r="J15" i="31"/>
  <c r="E42" i="31"/>
  <c r="I42" i="31"/>
  <c r="M42" i="31"/>
  <c r="D42" i="31"/>
  <c r="K15" i="31"/>
  <c r="L15" i="31" s="1"/>
  <c r="F42" i="31"/>
  <c r="G41" i="32"/>
  <c r="H41" i="32" s="1"/>
  <c r="G12" i="31" s="1"/>
  <c r="N49" i="31"/>
  <c r="K49" i="31"/>
  <c r="J22" i="31"/>
  <c r="D49" i="31"/>
  <c r="F49" i="31"/>
  <c r="J49" i="31"/>
  <c r="I49" i="31"/>
  <c r="K22" i="31"/>
  <c r="L22" i="31" s="1"/>
  <c r="L49" i="31"/>
  <c r="M49" i="31"/>
  <c r="E49" i="31"/>
  <c r="G49" i="31"/>
  <c r="E54" i="31"/>
  <c r="I54" i="31"/>
  <c r="F54" i="31"/>
  <c r="J54" i="31"/>
  <c r="G54" i="31"/>
  <c r="D54" i="31"/>
  <c r="J27" i="31"/>
  <c r="K54" i="31"/>
  <c r="L54" i="31"/>
  <c r="M54" i="31"/>
  <c r="N54" i="31"/>
  <c r="K27" i="31"/>
  <c r="L27" i="31" s="1"/>
  <c r="F58" i="32"/>
  <c r="O46" i="31" l="1"/>
  <c r="I41" i="32"/>
  <c r="J41" i="32"/>
  <c r="J13" i="32" s="1"/>
  <c r="I57" i="32"/>
  <c r="J57" i="32"/>
  <c r="J29" i="32" s="1"/>
  <c r="O49" i="31"/>
  <c r="O54" i="31"/>
  <c r="O43" i="31"/>
  <c r="O36" i="31"/>
  <c r="O41" i="31"/>
  <c r="O42" i="31"/>
  <c r="G36" i="32"/>
  <c r="H36" i="32" s="1"/>
  <c r="G55" i="32"/>
  <c r="H55" i="32" s="1"/>
  <c r="G26" i="31" s="1"/>
  <c r="G53" i="32"/>
  <c r="H53" i="32" s="1"/>
  <c r="G24" i="31" s="1"/>
  <c r="G52" i="32"/>
  <c r="H52" i="32" s="1"/>
  <c r="G23" i="31" s="1"/>
  <c r="G50" i="32"/>
  <c r="H50" i="32" s="1"/>
  <c r="G21" i="31" s="1"/>
  <c r="G40" i="32"/>
  <c r="H40" i="32" s="1"/>
  <c r="G11" i="31" s="1"/>
  <c r="G39" i="32"/>
  <c r="H39" i="32" s="1"/>
  <c r="G10" i="31" s="1"/>
  <c r="G37" i="32"/>
  <c r="H37" i="32" s="1"/>
  <c r="G8" i="31" s="1"/>
  <c r="H58" i="32" l="1"/>
  <c r="G29" i="31" s="1"/>
  <c r="G7" i="31"/>
  <c r="I39" i="32"/>
  <c r="J39" i="32"/>
  <c r="I50" i="32"/>
  <c r="J50" i="32"/>
  <c r="I53" i="32"/>
  <c r="H24" i="31" s="1"/>
  <c r="J53" i="32"/>
  <c r="J25" i="32" s="1"/>
  <c r="I36" i="32"/>
  <c r="J36" i="32"/>
  <c r="I37" i="32"/>
  <c r="J37" i="32"/>
  <c r="J9" i="32" s="1"/>
  <c r="I40" i="32"/>
  <c r="H11" i="31" s="1"/>
  <c r="J40" i="32"/>
  <c r="I52" i="32"/>
  <c r="J52" i="32"/>
  <c r="I55" i="32"/>
  <c r="J55" i="32"/>
  <c r="G58" i="32"/>
  <c r="K53" i="32"/>
  <c r="K25" i="32" s="1"/>
  <c r="H26" i="31"/>
  <c r="H10" i="31"/>
  <c r="H12" i="31"/>
  <c r="K41" i="32"/>
  <c r="K13" i="32" s="1"/>
  <c r="H21" i="31"/>
  <c r="H28" i="31"/>
  <c r="K57" i="32"/>
  <c r="K29" i="32" s="1"/>
  <c r="H8" i="31"/>
  <c r="H23" i="31"/>
  <c r="C37" i="31" l="1"/>
  <c r="H37" i="31"/>
  <c r="H38" i="31"/>
  <c r="C38" i="31"/>
  <c r="H50" i="31"/>
  <c r="C50" i="31"/>
  <c r="H35" i="31"/>
  <c r="C35" i="31"/>
  <c r="C48" i="31"/>
  <c r="H48" i="31"/>
  <c r="H53" i="31"/>
  <c r="C53" i="31"/>
  <c r="H51" i="31"/>
  <c r="C51" i="31"/>
  <c r="C55" i="31"/>
  <c r="H55" i="31"/>
  <c r="C39" i="31"/>
  <c r="H39" i="31"/>
  <c r="K55" i="32"/>
  <c r="K27" i="32" s="1"/>
  <c r="J27" i="32"/>
  <c r="K52" i="32"/>
  <c r="K24" i="32" s="1"/>
  <c r="J24" i="32"/>
  <c r="K40" i="32"/>
  <c r="K12" i="32" s="1"/>
  <c r="J12" i="32"/>
  <c r="K36" i="32"/>
  <c r="K8" i="32" s="1"/>
  <c r="J8" i="32"/>
  <c r="K50" i="32"/>
  <c r="K22" i="32" s="1"/>
  <c r="J22" i="32"/>
  <c r="K39" i="32"/>
  <c r="K11" i="32" s="1"/>
  <c r="J11" i="32"/>
  <c r="I58" i="32"/>
  <c r="H7" i="31"/>
  <c r="K24" i="31"/>
  <c r="L24" i="31" s="1"/>
  <c r="D51" i="31"/>
  <c r="F51" i="31"/>
  <c r="I51" i="31"/>
  <c r="J51" i="31"/>
  <c r="K51" i="31"/>
  <c r="G51" i="31"/>
  <c r="N51" i="31"/>
  <c r="M51" i="31"/>
  <c r="J24" i="31"/>
  <c r="E51" i="31"/>
  <c r="L51" i="31"/>
  <c r="J58" i="32"/>
  <c r="J30" i="32" s="1"/>
  <c r="K37" i="32"/>
  <c r="K9" i="32" s="1"/>
  <c r="H29" i="31"/>
  <c r="J29" i="31" s="1"/>
  <c r="K58" i="32"/>
  <c r="K30" i="32" s="1"/>
  <c r="K8" i="31"/>
  <c r="L8" i="31" s="1"/>
  <c r="J8" i="31"/>
  <c r="G35" i="31"/>
  <c r="M35" i="31"/>
  <c r="E35" i="31"/>
  <c r="L35" i="31"/>
  <c r="J35" i="31"/>
  <c r="N35" i="31"/>
  <c r="K35" i="31"/>
  <c r="D35" i="31"/>
  <c r="I35" i="31"/>
  <c r="F35" i="31"/>
  <c r="K28" i="31"/>
  <c r="L28" i="31" s="1"/>
  <c r="E55" i="31"/>
  <c r="D55" i="31"/>
  <c r="K55" i="31"/>
  <c r="J28" i="31"/>
  <c r="G55" i="31"/>
  <c r="F55" i="31"/>
  <c r="L55" i="31"/>
  <c r="I55" i="31"/>
  <c r="M55" i="31"/>
  <c r="J55" i="31"/>
  <c r="N55" i="31"/>
  <c r="J48" i="31"/>
  <c r="G48" i="31"/>
  <c r="F48" i="31"/>
  <c r="E48" i="31"/>
  <c r="D48" i="31"/>
  <c r="J21" i="31"/>
  <c r="N48" i="31"/>
  <c r="K48" i="31"/>
  <c r="I48" i="31"/>
  <c r="L48" i="31"/>
  <c r="K21" i="31"/>
  <c r="L21" i="31" s="1"/>
  <c r="M48" i="31"/>
  <c r="F39" i="31"/>
  <c r="M39" i="31"/>
  <c r="K12" i="31"/>
  <c r="L12" i="31" s="1"/>
  <c r="D39" i="31"/>
  <c r="N39" i="31"/>
  <c r="J12" i="31"/>
  <c r="I39" i="31"/>
  <c r="L39" i="31"/>
  <c r="K39" i="31"/>
  <c r="E39" i="31"/>
  <c r="G39" i="31"/>
  <c r="J39" i="31"/>
  <c r="N38" i="31"/>
  <c r="J11" i="31"/>
  <c r="D38" i="31"/>
  <c r="F38" i="31"/>
  <c r="I38" i="31"/>
  <c r="L38" i="31"/>
  <c r="K11" i="31"/>
  <c r="L11" i="31" s="1"/>
  <c r="J38" i="31"/>
  <c r="M38" i="31"/>
  <c r="G38" i="31"/>
  <c r="K38" i="31"/>
  <c r="E38" i="31"/>
  <c r="I37" i="31"/>
  <c r="J37" i="31"/>
  <c r="F37" i="31"/>
  <c r="D37" i="31"/>
  <c r="K10" i="31"/>
  <c r="L10" i="31" s="1"/>
  <c r="L37" i="31"/>
  <c r="E37" i="31"/>
  <c r="G37" i="31"/>
  <c r="K37" i="31"/>
  <c r="J10" i="31"/>
  <c r="N37" i="31"/>
  <c r="M37" i="31"/>
  <c r="E50" i="31"/>
  <c r="D50" i="31"/>
  <c r="J50" i="31"/>
  <c r="N50" i="31"/>
  <c r="K50" i="31"/>
  <c r="M50" i="31"/>
  <c r="G50" i="31"/>
  <c r="I50" i="31"/>
  <c r="K23" i="31"/>
  <c r="L23" i="31" s="1"/>
  <c r="J23" i="31"/>
  <c r="L50" i="31"/>
  <c r="F50" i="31"/>
  <c r="J26" i="31"/>
  <c r="K26" i="31"/>
  <c r="L26" i="31" s="1"/>
  <c r="J53" i="31"/>
  <c r="K53" i="31"/>
  <c r="M53" i="31"/>
  <c r="G53" i="31"/>
  <c r="D53" i="31"/>
  <c r="F53" i="31"/>
  <c r="L53" i="31"/>
  <c r="E53" i="31"/>
  <c r="N53" i="31"/>
  <c r="I53" i="31"/>
  <c r="G34" i="31" l="1"/>
  <c r="H34" i="31"/>
  <c r="C34" i="31"/>
  <c r="M34" i="31"/>
  <c r="M56" i="31" s="1"/>
  <c r="I34" i="31"/>
  <c r="I56" i="31" s="1"/>
  <c r="K7" i="31"/>
  <c r="L7" i="31" s="1"/>
  <c r="E34" i="31"/>
  <c r="E56" i="31" s="1"/>
  <c r="L34" i="31"/>
  <c r="L56" i="31" s="1"/>
  <c r="F34" i="31"/>
  <c r="F56" i="31" s="1"/>
  <c r="N34" i="31"/>
  <c r="N56" i="31" s="1"/>
  <c r="D34" i="31"/>
  <c r="D56" i="31" s="1"/>
  <c r="J34" i="31"/>
  <c r="J7" i="31"/>
  <c r="C56" i="31"/>
  <c r="K34" i="31"/>
  <c r="O51" i="31"/>
  <c r="K29" i="31"/>
  <c r="L29" i="31" s="1"/>
  <c r="J56" i="31"/>
  <c r="O39" i="31"/>
  <c r="K56" i="31"/>
  <c r="H56" i="31"/>
  <c r="O55" i="31"/>
  <c r="O37" i="31"/>
  <c r="O35" i="31"/>
  <c r="O38" i="31"/>
  <c r="O48" i="31"/>
  <c r="O53" i="31"/>
  <c r="G56" i="31"/>
  <c r="O50" i="31"/>
  <c r="O34" i="31" l="1"/>
  <c r="O56" i="31"/>
</calcChain>
</file>

<file path=xl/sharedStrings.xml><?xml version="1.0" encoding="utf-8"?>
<sst xmlns="http://schemas.openxmlformats.org/spreadsheetml/2006/main" count="1075" uniqueCount="497">
  <si>
    <t>euroa</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</si>
  <si>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</si>
  <si>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</si>
  <si>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</si>
  <si>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</si>
  <si>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</si>
  <si>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</si>
  <si>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</si>
  <si>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</si>
  <si>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</si>
  <si>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</si>
  <si>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</si>
  <si>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</si>
  <si>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</si>
  <si>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</si>
  <si>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</si>
  <si>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</si>
  <si>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</si>
  <si>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</si>
  <si>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</si>
  <si>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</si>
  <si>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</si>
  <si>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</si>
  <si>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</si>
  <si>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</si>
  <si>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</si>
  <si>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</si>
  <si>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</si>
  <si>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</si>
  <si>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</si>
  <si>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</si>
  <si>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</si>
  <si>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</si>
  <si>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</si>
  <si>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</si>
  <si>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</si>
  <si>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</si>
  <si>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Painotettu summa</t>
  </si>
  <si>
    <t>Riskikerroin</t>
  </si>
  <si>
    <t>Vantaa ja Kerava</t>
  </si>
  <si>
    <t>Terveydenhuollon tarvetekijät</t>
  </si>
  <si>
    <t>Vanhustenhuollon tarvetekijät</t>
  </si>
  <si>
    <t>Sosiaalihuollon tarvetekijät</t>
  </si>
  <si>
    <t>Tuberkuloosi</t>
  </si>
  <si>
    <t>Ruusut</t>
  </si>
  <si>
    <t>Diabetes</t>
  </si>
  <si>
    <t>Lihavuus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</si>
  <si>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</si>
  <si>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</si>
  <si>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</si>
  <si>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</si>
  <si>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</si>
  <si>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</si>
  <si>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</si>
  <si>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</si>
  <si>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</si>
  <si>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</si>
  <si>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</si>
  <si>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</si>
  <si>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</si>
  <si>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</si>
  <si>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</si>
  <si>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</si>
  <si>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</si>
  <si>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</si>
  <si>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</si>
  <si>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</si>
  <si>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</si>
  <si>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</si>
  <si>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</si>
  <si>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</si>
  <si>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</si>
  <si>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</si>
  <si>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</si>
  <si>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</si>
  <si>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</si>
  <si>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</si>
  <si>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</si>
  <si>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</si>
  <si>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</si>
  <si>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</si>
  <si>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Eronnut</t>
  </si>
  <si>
    <t>Keskushermostokalvojen ja aivohermojen hyvänlaatuiset kasvaimet</t>
  </si>
  <si>
    <t>Leski</t>
  </si>
  <si>
    <t>Kasvu- ja leviämistaipumukseltaan epäselvät tai tuntemattomat kasvaimet</t>
  </si>
  <si>
    <t>Työllinen</t>
  </si>
  <si>
    <t>Opiskelija</t>
  </si>
  <si>
    <t>Amyloidoosit</t>
  </si>
  <si>
    <t>Kilpirauhasen vajaatoiminta</t>
  </si>
  <si>
    <t>Hypertyreoosi</t>
  </si>
  <si>
    <t>Struuma</t>
  </si>
  <si>
    <t>Hyperparatyreoosi</t>
  </si>
  <si>
    <t>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</si>
  <si>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</si>
  <si>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</si>
  <si>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</si>
  <si>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</si>
  <si>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</si>
  <si>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</si>
  <si>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</si>
  <si>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</si>
  <si>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</si>
  <si>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</si>
  <si>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</si>
  <si>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</si>
  <si>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</si>
  <si>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</si>
  <si>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</si>
  <si>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</si>
  <si>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</si>
  <si>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</si>
  <si>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</si>
  <si>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</si>
  <si>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</si>
  <si>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</si>
  <si>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</si>
  <si>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</si>
  <si>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</si>
  <si>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</si>
  <si>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</si>
  <si>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</si>
  <si>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</si>
  <si>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</si>
  <si>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</si>
  <si>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</si>
  <si>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</si>
  <si>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</si>
  <si>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</si>
  <si>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</si>
  <si>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</si>
  <si>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</si>
  <si>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</si>
  <si>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</si>
  <si>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</si>
  <si>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</si>
  <si>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</si>
  <si>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</si>
  <si>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</si>
  <si>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</si>
  <si>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</si>
  <si>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</si>
  <si>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</si>
  <si>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</si>
  <si>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</si>
  <si>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</si>
  <si>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Sote-palvelutarve yhteensä</t>
  </si>
  <si>
    <t>Terveydenhuollon palvelutarvekerroin</t>
  </si>
  <si>
    <t>Vanhustenhuollon palvelutarvekerroin</t>
  </si>
  <si>
    <t>Sosiaalihuollon palvelutarvekerroin</t>
  </si>
  <si>
    <t xml:space="preserve">Saamenkielisten määrä hyvinvointialueella, jolla sijaitsee saamelaisten kotiseutualueen kunnat </t>
  </si>
  <si>
    <t>Osuus sote-rahoituksesta</t>
  </si>
  <si>
    <t>Pelastustoimen laskennallinen rahoitus</t>
  </si>
  <si>
    <t>Kriteeri</t>
  </si>
  <si>
    <t>Riskitekijät</t>
  </si>
  <si>
    <t>Osuus pela-rahoituksesta</t>
  </si>
  <si>
    <t>kohdennus</t>
  </si>
  <si>
    <t>Yo-lisä</t>
  </si>
  <si>
    <t>Nainen</t>
  </si>
  <si>
    <t>Muistisairaudet ja Alzheimerin tauti</t>
  </si>
  <si>
    <t>Hengityselinten krooninen toimintavajaus</t>
  </si>
  <si>
    <t>Hammaskaries ja hammasytimen ja hampaanjuuren kärkeä ympäröivien kudosten sairaudet</t>
  </si>
  <si>
    <t>Nivelreuma</t>
  </si>
  <si>
    <t>Hedelmättömyys</t>
  </si>
  <si>
    <t>Keuhkokuume</t>
  </si>
  <si>
    <t>Olkapään vaivat</t>
  </si>
  <si>
    <t>Polven sisäiset viat</t>
  </si>
  <si>
    <t>Synnytys</t>
  </si>
  <si>
    <t>Kokonaispinta-ala, km2</t>
  </si>
  <si>
    <t>Yhteensä, euroa</t>
  </si>
  <si>
    <t xml:space="preserve"> </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</si>
  <si>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</si>
  <si>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</si>
  <si>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</si>
  <si>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</si>
  <si>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</si>
  <si>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</si>
  <si>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</si>
  <si>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</si>
  <si>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</si>
  <si>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</si>
  <si>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</si>
  <si>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</si>
  <si>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Yhteensä, e/as.</t>
  </si>
  <si>
    <t>Määräytymistekijät ja kertoimet</t>
  </si>
  <si>
    <t>Sote-tehtävämuutokset, yhteensä</t>
  </si>
  <si>
    <t>Pela-tehtävämuutokset, yhteensä</t>
  </si>
  <si>
    <t>Hyte-kerroin</t>
  </si>
  <si>
    <t>Lisätietoja:</t>
  </si>
  <si>
    <t>Manner-Suomi</t>
  </si>
  <si>
    <t>Laskennallinen rahoitus yhteensä vuonna 2026</t>
  </si>
  <si>
    <t>Hyte-kerroin hyvinvointialueittain</t>
  </si>
  <si>
    <t>Sote-nettokustannukset</t>
  </si>
  <si>
    <t>Pela-nettokustannukset</t>
  </si>
  <si>
    <t>Sote-rahoitus ja sote-nettokustannus erotus</t>
  </si>
  <si>
    <t>Pela-rahoitus ja pela-nettokustannus erotus</t>
  </si>
  <si>
    <t>Nettokustannukset yhteensä</t>
  </si>
  <si>
    <t>Alueille myönnetty rahoitus yhteensä</t>
  </si>
  <si>
    <t>Alueille myönnetty sote-rahoitus yhteensä</t>
  </si>
  <si>
    <t>Alueille myönnetty pela-rahoitus yhteensä</t>
  </si>
  <si>
    <t>Rahoitus ja nettokustannus erotus yhteensä</t>
  </si>
  <si>
    <t>Jälkikäteistarkistuksen vuosittainen lisäys/vähennys yhteensä</t>
  </si>
  <si>
    <t>Rahoitukseen sisältyvä jälkikäteistarkistus yhteensä</t>
  </si>
  <si>
    <t>Sote-rahoitukseen vuosittain lisättävä tai siitä vähennettävä jälkikäteistarkistus</t>
  </si>
  <si>
    <t>Pela-rahoitukseen vuosittain lisättävä tai siitä vähennettävä jälkikäteistarkistus</t>
  </si>
  <si>
    <t>Terveydenhuollon, vanhustenhuollon ja sosiaalihuollon tarvekertoimissa huomioitavat tarvetekijät</t>
  </si>
  <si>
    <t>Hengityselinten ja rintaontelon elinten pahanlaatuiset kasvaimet</t>
  </si>
  <si>
    <t>Luun ja nivelruston pahanlaatuiset kasvaimet</t>
  </si>
  <si>
    <t>Rintasyöpä</t>
  </si>
  <si>
    <t>Virtsaelinten pahanlaatuiset kasvaimet</t>
  </si>
  <si>
    <t>Pintasyövät</t>
  </si>
  <si>
    <t>Hampaan kiinnityskudosten sairaudet</t>
  </si>
  <si>
    <t>Vakiotermi</t>
  </si>
  <si>
    <t>Regressiokerroin</t>
  </si>
  <si>
    <t>Rahoituslaskelmassa käytettävien palvelutarvekertoimien laskentataulukko</t>
  </si>
  <si>
    <t>Terveydenhuollon, vanhustenhuollon ja sosiaalihuollon palvelutarvekertoimet hyvinvointialueittain</t>
  </si>
  <si>
    <t>02955 30472 / etunimi.sukunimi@gov.fi</t>
  </si>
  <si>
    <t>Prosessi- ja tulosindikaattorien keskiarvo</t>
  </si>
  <si>
    <t>Prosessi-indikaattorien keskiarvo</t>
  </si>
  <si>
    <t>Tulosindikaattorien keskiarvo</t>
  </si>
  <si>
    <t>Indikaattorien keskiarvo</t>
  </si>
  <si>
    <t>Rahoituslaskelmassa käytettävä hyte-kerroin</t>
  </si>
  <si>
    <t>Rahoituslaskelmassa käytettävän hyte-kertoimen laskentataulukko</t>
  </si>
  <si>
    <t>Painotettu keskiarvo</t>
  </si>
  <si>
    <t>Koko laskennallinen sote-rahoitus</t>
  </si>
  <si>
    <t>Terveydenhuolto</t>
  </si>
  <si>
    <t>Sosiaalihuolto</t>
  </si>
  <si>
    <t>Vanhustenhuolto</t>
  </si>
  <si>
    <t>Laskennallisen pelastustoimen rahoituksen määräytymistekijät hyvinvointialueittain</t>
  </si>
  <si>
    <t>Sote-rahoitukseen sisältyvä jälkikäteistarkistuksen määrä yhteensä</t>
  </si>
  <si>
    <t>Pela-rahoitukseen sisältyvä jälkikäteistarkistuksen määrä yhteensä</t>
  </si>
  <si>
    <t>Jälkikäteistarkistuksen vuosittainen lisäys/vähennys, sote</t>
  </si>
  <si>
    <t>Jälkikäteistarkistuksen vuosittainen lisäys/vähennys, pela</t>
  </si>
  <si>
    <t>Jälkikäteistarkistuksen vuosittainen lisäys/vähennys, yhteensä</t>
  </si>
  <si>
    <t>Sosiaali- ja terveydenhuollon laskennallinen rahoitus</t>
  </si>
  <si>
    <t>2024</t>
  </si>
  <si>
    <t>Laskennallinen pela-rahoitus</t>
  </si>
  <si>
    <t>Tehtävämuutokset, yhteensä</t>
  </si>
  <si>
    <t>Hyvinvointialueindeksi (toteuma)</t>
  </si>
  <si>
    <t>Hyvinvointialueindeksi (ennuste)</t>
  </si>
  <si>
    <t>Kaarle Myllyneva, finanssiasiantuntija</t>
  </si>
  <si>
    <t>RL I (2024)</t>
  </si>
  <si>
    <t>RL II (2024)</t>
  </si>
  <si>
    <t>Tammikuu</t>
  </si>
  <si>
    <t>Helmikuu</t>
  </si>
  <si>
    <t>Maaliskuu</t>
  </si>
  <si>
    <t>Huhtikuu</t>
  </si>
  <si>
    <t>Toukokuu</t>
  </si>
  <si>
    <t>Kesäkuu</t>
  </si>
  <si>
    <t>Heinäkuu</t>
  </si>
  <si>
    <t>Elokuu</t>
  </si>
  <si>
    <t>Syyskuu</t>
  </si>
  <si>
    <t>Lokakuu</t>
  </si>
  <si>
    <t>Marraskuu</t>
  </si>
  <si>
    <t>Joulukuu</t>
  </si>
  <si>
    <t>VM/HVO 30.4.2026</t>
  </si>
  <si>
    <t>Hyvinvointialueiden rahoituslaskelma vuodelle 2027</t>
  </si>
  <si>
    <t xml:space="preserve">Tässä työkirjassa kuvataan arvio hyvinvointialueiden vuoden 2027 valtion rahoituksesta koko maan tasolla sekä aluekohtaisesti. </t>
  </si>
  <si>
    <t>Mikko Herzig, erityisasiantuntija</t>
  </si>
  <si>
    <t>Valtiovarainministeriö, Hyvinvointialueosasto</t>
  </si>
  <si>
    <t>02955 30029 / etunimi.sukunimi@gov.fi</t>
  </si>
  <si>
    <t>Vuoden 2026 rahoitus yhteensä, euroa (18.12.2025)</t>
  </si>
  <si>
    <t>Yhteenveto hyvinvointialueiden rahoituksesta vuodelle 2027</t>
  </si>
  <si>
    <t>Laskennallinen rahoitus vuonna 2027, euroa</t>
  </si>
  <si>
    <t>Siirtymätasaus vuonna 2027, euroa</t>
  </si>
  <si>
    <t>Vuoden 2027 rahoitus yhteensä, euroa</t>
  </si>
  <si>
    <t>Rahoitukseen sisältyvä jälkikäteistarkistus yhteensä vuonna 2027, euroa</t>
  </si>
  <si>
    <t>Vuoden 2027 rahoitus yhteensä, euroa/asukas</t>
  </si>
  <si>
    <t>Rahoituksen muutos vuodelle 2027, euroa</t>
  </si>
  <si>
    <t>Rahoituksen taso vuonna 2027</t>
  </si>
  <si>
    <t>Vuoden 2027 rahoituksessa huomioitavat tekijät</t>
  </si>
  <si>
    <t>Laskennallinen sote-rahoitus (sis. jälkikäteistarkistus) vuonna 2026</t>
  </si>
  <si>
    <t>Laskennallinen pela-rahoitus (sis. jälkikäteistarkistus) vuonna 2026</t>
  </si>
  <si>
    <t>Palvelutarpeen muutoksen laskenta</t>
  </si>
  <si>
    <t>Palvelutarpeen muutos</t>
  </si>
  <si>
    <t>Tekijä</t>
  </si>
  <si>
    <t>Palvelutarpeen kasvuprosentti</t>
  </si>
  <si>
    <t>Määräaikainen korotus</t>
  </si>
  <si>
    <t>Palvelutarpeen huomioiminen</t>
  </si>
  <si>
    <t>Arvo</t>
  </si>
  <si>
    <t>Rahoituksen jälkikäteistarkistus vuonna 2027</t>
  </si>
  <si>
    <t>2027</t>
  </si>
  <si>
    <t>Laskennallinen sote-rahoitus vuonna 2027</t>
  </si>
  <si>
    <t>Laskennallinen pela-rahoitus vuonna 2027</t>
  </si>
  <si>
    <t>Laskennallinen rahoitus yhteensä vuonna 2027</t>
  </si>
  <si>
    <t>Siirtymätasaukset vuonna 2027</t>
  </si>
  <si>
    <t>Rahoitus yhteensä vuonna 2027</t>
  </si>
  <si>
    <t>Jälkikäteistarkistuksen laskenta vuosina 2025–2027</t>
  </si>
  <si>
    <t>Jälkikäteistarkistuksen laskenta</t>
  </si>
  <si>
    <t>Tehtävämuutokset vuonna 2027</t>
  </si>
  <si>
    <t>Laskennallinen sote-rahoitus yhteensä vuonna 2027</t>
  </si>
  <si>
    <t>Vuoden 2027 tasoon korotettu sote-rahoitus ilman tehtävämuutoksia</t>
  </si>
  <si>
    <t>Määräytymistekijän osuus vuoden 2026 rahoituksessa</t>
  </si>
  <si>
    <t>Määräytymistekijälle kohdistuva laskennallinen sote-rahoitus yhteensä</t>
  </si>
  <si>
    <t>Määräytymistekijän perushinta</t>
  </si>
  <si>
    <t xml:space="preserve">Osuus vuoden 2027 laskennallisesta sote-rahoituksesta </t>
  </si>
  <si>
    <t>Vuoden 2027 tasoon korotettu pela-rahoitus</t>
  </si>
  <si>
    <t>Laskennallinen pela-rahoitus yhteensä 2027</t>
  </si>
  <si>
    <t>Määräytymistekijälle kohdistuva laskennallinen pela-rahoitus yhteensä</t>
  </si>
  <si>
    <t xml:space="preserve">Osuus vuoden 2027 laskennallisesta pela-rahoituksesta </t>
  </si>
  <si>
    <t>Hyte-kertoimen laskennassa käytettävät indikaattorit (lähde: THL, 16.3.2026)</t>
  </si>
  <si>
    <t>Lastenneuvolan 4-vuotiaiden terveystarkastuksista poisjäävien tuen tarpeen selvittäminen</t>
  </si>
  <si>
    <t>Kouluterveydenhuollon 8.-luokkalaisten terveystarkastuksista poisjäävien tuen tarpeen selvittäminen</t>
  </si>
  <si>
    <t>Elintapaneuvonnan toteutuminen tyypin 2 diabetesriskissä oleville Käypä hoito -suosituksen mukaisesti</t>
  </si>
  <si>
    <t>Lasten tuhkarokko-sikotauti-vihurirokko (MRP) -rokotuskattavuus</t>
  </si>
  <si>
    <t>Alkoholinkäytön mini-intervention toteutuminen, kun juomiseen liittyy haitta tai haittariski</t>
  </si>
  <si>
    <t>Työttömien toteutuneiden terveystarkastusten osuus suhteessa työttömien kokonaismäärään</t>
  </si>
  <si>
    <t>Vammojen ja myrkytysten vuoksi sairaalassa hoidetut potilaat</t>
  </si>
  <si>
    <t>Lonkkamurtumat 65 vuotta täyttäneillä</t>
  </si>
  <si>
    <t>Ei työssä, koulutuksessa eikä asevelvollisuutta suorittamassa olevat 18–24–vuotiaat (NEET)</t>
  </si>
  <si>
    <t>Perustoimeentulotukea pitkäaikaisesti saaneet 25–64-vuotiaat</t>
  </si>
  <si>
    <t>Mielenterveyshäiriöiden vuoksi työkyvyttömyyseläkettä saavat 18–34-vuotiaat</t>
  </si>
  <si>
    <t>Asukasluku 2025</t>
  </si>
  <si>
    <t>Terveydenhuollon tarvekerroin 2023</t>
  </si>
  <si>
    <t>Vanhustenhuollon tarvekerroin 2023</t>
  </si>
  <si>
    <t>Sosiaalihuollon tarvekerroin 2023</t>
  </si>
  <si>
    <t>Terveydenhuollon tarvekerroin 2024</t>
  </si>
  <si>
    <t>Vanhustenhuollon tarvekerroin 2024</t>
  </si>
  <si>
    <t>Sosiaalihuollon tarvekerroin 2024</t>
  </si>
  <si>
    <t>Terveydenhuollon tarvekerroin: Keskiarvo 2023–2024</t>
  </si>
  <si>
    <t>Vanhustenhuollon tarvekerroin: Keskiarvo 2023–2024</t>
  </si>
  <si>
    <t>Sosiaalihuollon tarvekerroin: Keskiarvo 2023–2024</t>
  </si>
  <si>
    <t>Rahoituslaskelmassa käytettävä terveydenhuollon tarvekerroin</t>
  </si>
  <si>
    <t>Rahoituslaskelmassa käytettävä vanhustenhuollon tarvekerroin</t>
  </si>
  <si>
    <t>Rahoituslaskelmassa käytettävä sosiaalihuollon tarvekerroin</t>
  </si>
  <si>
    <t>RL III–IV (2025)</t>
  </si>
  <si>
    <t xml:space="preserve">Yhteensä RL I–IV </t>
  </si>
  <si>
    <t>Saaristoisuuskerroin</t>
  </si>
  <si>
    <t>Ikääntyneiden ympärivuorikautisen hoivan henkilöstömitoituksen kehittäminen teknologiaa hyödyntäen (HO 2023)</t>
  </si>
  <si>
    <t>Teknologian hyödyntäminen kotihoidossa (Lisätoimet 2025)</t>
  </si>
  <si>
    <t>Lääkkeenmäärämiskäytäntöjen laajentaminen (HO 2023)</t>
  </si>
  <si>
    <t>Terveystarkastusten kehittäminen (HO 2023)</t>
  </si>
  <si>
    <t>Vammaispalvelulain soveltamisalan muutos (Lisätoimet 2024)</t>
  </si>
  <si>
    <t>Hyvinvointialueille valvontalaista johtuvat velvoitteet</t>
  </si>
  <si>
    <t>Kotoutumislain muutoksesta johtuva ehkäisevän ja täydentävän toimeentulotuen rahoitus (siirto momentilta 32.50.30)</t>
  </si>
  <si>
    <t>Lastensuojeluyksiköiden päivystyssääntöjen keventäminen ja joustavoittaminen (Lisätoimet 2025)</t>
  </si>
  <si>
    <t>Sosiaalihuollon työllistymistä ja työ- ja toimintakykyä edistävien palvelujen kokonaisuuden uudistaminen (Lisätoimet 2025)</t>
  </si>
  <si>
    <t>Sosiaalihuoltolain 11 ja 14 §:n uudistaminen (Lisätoimet 2025)</t>
  </si>
  <si>
    <t xml:space="preserve">Terveystarkastusten kehittäminen, kutsunnanalaisten ja vapaaehtoiseen asepalvelukseen hakeutuvien naisten ennakkoterveystarkastukset (siirto momentilta 27.10.01) </t>
  </si>
  <si>
    <t>Sote-rahoituksen tehtävämuutokset v. 2027 yhteensä</t>
  </si>
  <si>
    <t>Julkisen talouden suunnitelman 2027–2030 mukaiset sote-rahoituksen tehtävämuutokset</t>
  </si>
  <si>
    <t>Asiakasmaksujen muutokset (Lisätoimet 2026)</t>
  </si>
  <si>
    <t>Yo-sairaala-alueen asukasluku</t>
  </si>
  <si>
    <t>Saaristoisen hyvinvointialueen saaristoisuuspiste</t>
  </si>
  <si>
    <t>Rahoituksen vähimmäistasoa koskeva tasaus</t>
  </si>
  <si>
    <t>Rahoituksen muutos 2026–2027, euroa</t>
  </si>
  <si>
    <t>Rahotuksen muutos 2026–2027, prosenttia</t>
  </si>
  <si>
    <t>Tasattava määrä, jotta rahoitus ei vähene vuodesta 2026</t>
  </si>
  <si>
    <t>Rahoituksen muutos tasauksen jälkeen, prosenttia</t>
  </si>
  <si>
    <t>Toteutuva lisäys tai vähennys yhteensä</t>
  </si>
  <si>
    <t>Toteutuva lisäys tai vähennys yhteensä, euroa/asukas</t>
  </si>
  <si>
    <t>Rahoitus yhteensä tasauksen jälkeen</t>
  </si>
  <si>
    <t>Vuosien 2026 ja 2027 rahoitus ilman vähimmäistasoa koskevaa tasausta</t>
  </si>
  <si>
    <t>Vähimmäistasoa koskevan tasauksen laskenta</t>
  </si>
  <si>
    <t>Kotoutumispalveluiden uudistus, ihmiskaupan uhrien korvausten siirto (siirto momentilta 32.50.30)</t>
  </si>
  <si>
    <t>Kotoutumispalveluiden uudistus, toimeentulotuen kustannusten korvausten siirto (siirto momentilta 32.50.30)</t>
  </si>
  <si>
    <t>Saaristoisen hyvinvointialueen saaristoalueiden vakituinen väestö</t>
  </si>
  <si>
    <t>Vuosien 2023 ja 2024 tietojen perusteella lasketut palvelutarvekertoimet</t>
  </si>
  <si>
    <t>Ikä 0 v, mies</t>
  </si>
  <si>
    <t>Ikä 1–6 v, mies</t>
  </si>
  <si>
    <t>Ikä 7–12 v, mies</t>
  </si>
  <si>
    <t>Ikä 13–18 v, mies</t>
  </si>
  <si>
    <t>Ikä 26–30 v, mies</t>
  </si>
  <si>
    <t>Ikä 31–35 v, mies</t>
  </si>
  <si>
    <t>Ikä 36–40 v, mies</t>
  </si>
  <si>
    <t>Ikä 41–45 v, mies</t>
  </si>
  <si>
    <t>Ikä 46–50 v, mies</t>
  </si>
  <si>
    <t>Ikä 51–55 v, mies</t>
  </si>
  <si>
    <t>Ikä 55–60 v, mies</t>
  </si>
  <si>
    <t>Ikä 61–65 v, mies</t>
  </si>
  <si>
    <t>Ikä 66–70 v, mies</t>
  </si>
  <si>
    <t>Ikä 71–75 v, mies</t>
  </si>
  <si>
    <t>Ikä 76–80 v, mies</t>
  </si>
  <si>
    <t>Ikä 81–85 v, mies</t>
  </si>
  <si>
    <t>Ikä 86–90 v, mies</t>
  </si>
  <si>
    <t>Ikä 91–95 v, mies</t>
  </si>
  <si>
    <t>Ikä vähintään 96 v, mies</t>
  </si>
  <si>
    <t>Ikä 0 v, nainen</t>
  </si>
  <si>
    <t>Ikä 1–6 v, nainen</t>
  </si>
  <si>
    <t>Ikä 7–12 v, nainen</t>
  </si>
  <si>
    <t>Ikä 13–18 v, nainen</t>
  </si>
  <si>
    <t>Ikä 19–25 v, nainen</t>
  </si>
  <si>
    <t>Ikä 26–30 v, nainen</t>
  </si>
  <si>
    <t>Ikä 31–35 v, nainen</t>
  </si>
  <si>
    <t>Ikä 36–40 v, nainen</t>
  </si>
  <si>
    <t>Ikä 41–45 v, nainen</t>
  </si>
  <si>
    <t>Ikä 46–50 v, nainen</t>
  </si>
  <si>
    <t>Ikä 51–55 v, nainen</t>
  </si>
  <si>
    <t>Ikä 55–60 v, nainen</t>
  </si>
  <si>
    <t>Ikä 61–65 v, nainen</t>
  </si>
  <si>
    <t>Ikä 66–70 v, nainen</t>
  </si>
  <si>
    <t>Ikä 71–75 v, nainen</t>
  </si>
  <si>
    <t>Ikä 76–80 v, nainen</t>
  </si>
  <si>
    <t>Ikä 81–85 v, nainen</t>
  </si>
  <si>
    <t>Ikä 86–90 v, nainen</t>
  </si>
  <si>
    <t>Ikä 91–95 v, nainen</t>
  </si>
  <si>
    <t>Ikä vähintään 96 v, nainen</t>
  </si>
  <si>
    <t>Huulen, suun ja nielun pahanlaatuiset kasvaimet</t>
  </si>
  <si>
    <t>Ruuansulatuselinten pahanlaatuiset kasvaimet</t>
  </si>
  <si>
    <t>Ihon melanooma ja muut pahanlaatuiset ihokasvaimet</t>
  </si>
  <si>
    <t>Muut pehmytkudoksen pahanlaatuiset kasvaimet</t>
  </si>
  <si>
    <t>Naisen sukupuolielinten pahanlaatuiset kasvaimet</t>
  </si>
  <si>
    <t>Miehen sukupuolielinten pahanlaatuiset kasvaimet</t>
  </si>
  <si>
    <t>Silmän, keskushermoston ja aivohermojen pahanlaatuiset kasvaimet</t>
  </si>
  <si>
    <t>Kilpirauhasen ja muiden umpirauhasten pahanlaatuiset kasvaimet</t>
  </si>
  <si>
    <t>Pahanlaatuiset kasvaimet, joiden sijaintipaikka on epäselvä, sekundaarinen tai määrittämätön</t>
  </si>
  <si>
    <t>Imukudoksen, verta muodostavien kudosten ja lähisukuisten kudosten pahanlaatuiset kasvaimet</t>
  </si>
  <si>
    <t>Krooniset hankinnaiset ja perinnölliset anemiat, hyytymishäiriöt, neutropenia</t>
  </si>
  <si>
    <t>Immuunipuutokset / immunologiset häiriöt</t>
  </si>
  <si>
    <t>Päihde- ja riippuvuushäiriöt (pl. opioidiriippuvuus)</t>
  </si>
  <si>
    <t>Tupakoinnin aiheuttamat haitat</t>
  </si>
  <si>
    <t>Syömishäiriöt (pl. laihuushäiriö)</t>
  </si>
  <si>
    <t>Laaja-alaiset kehityshäiriöt ("autismispektri")</t>
  </si>
  <si>
    <t>Transsukupuolisuus tai muu syntymässä määriteltyä (juridista) sukupuolta vastaamaton sukupuoli-identiteetti</t>
  </si>
  <si>
    <t>Näkövammaisuus</t>
  </si>
  <si>
    <t>Huimaus / korvan tasapainoelimen häiriöt</t>
  </si>
  <si>
    <t>WHO:n näkövammaluokitus, heikkonäköinen</t>
  </si>
  <si>
    <t>WHO:n näkövammaluokitus, vaikeasti heikkonäköinen</t>
  </si>
  <si>
    <t>WHO:n näkövammaluokitus, syvästi heikkonäköinen</t>
  </si>
  <si>
    <t>WHO:n näkövammaluokitus, lähes sokea</t>
  </si>
  <si>
    <t>WHO:n näkövammaluokitus, täysin sokea</t>
  </si>
  <si>
    <t>WHO:n näkövammaluokitus, tarkemmin määrittämätön</t>
  </si>
  <si>
    <t>Keskosen ennenaikaisuus päivinä</t>
  </si>
  <si>
    <t>Keskosen ennenaikaisuus päivinä, 2. aste</t>
  </si>
  <si>
    <t>Työkyvyttömyyseläke, 1. ikäkvintiili</t>
  </si>
  <si>
    <t>Työkyvyttömyyseläke, 2. ikäkvintiili</t>
  </si>
  <si>
    <t>Työkyvyttömyyseläke, 3. ikäkvintiili</t>
  </si>
  <si>
    <t>Työkyvyttömyyseläke, 4. ikäkvintiili</t>
  </si>
  <si>
    <t>Työkyvyttömyyseläke, 5. ikäkvintiili</t>
  </si>
  <si>
    <t>Työtön</t>
  </si>
  <si>
    <t>Varusmies, siviilipalvelusmies</t>
  </si>
  <si>
    <t>Lukio tai ammatillinen koulutus</t>
  </si>
  <si>
    <t>Korkeakoulututkinto</t>
  </si>
  <si>
    <t>Asuntokunnan käyttötulo, log</t>
  </si>
  <si>
    <t>Avioliitossa</t>
  </si>
  <si>
    <t>Yksin asuva alle 75 v</t>
  </si>
  <si>
    <t>Yksin asuva 75–84 v</t>
  </si>
  <si>
    <t>Yksin asuva 85–89 v</t>
  </si>
  <si>
    <t>Yksin asuva 90 v tai vanhempi</t>
  </si>
  <si>
    <t>Taustamaa ei Suomi</t>
  </si>
  <si>
    <t>Matka-aika päivystykseen (min)</t>
  </si>
  <si>
    <t>Matka-aika päivystykseen (min), 2. aste</t>
  </si>
  <si>
    <t>Ikä 65–70 v, nainen</t>
  </si>
  <si>
    <t>Ikä 1–6 v</t>
  </si>
  <si>
    <t>Ikä 7–12 v</t>
  </si>
  <si>
    <t>Ikä 13–18 v</t>
  </si>
  <si>
    <t>Ikä 19–25 v</t>
  </si>
  <si>
    <t>Ikä 26–30 v</t>
  </si>
  <si>
    <t>Ikä 31–35 v</t>
  </si>
  <si>
    <t>Ikä 36–40 v</t>
  </si>
  <si>
    <t>Ikä 41–45 v</t>
  </si>
  <si>
    <t>Ikä 46–50 v</t>
  </si>
  <si>
    <t>Ikä 51–55 v</t>
  </si>
  <si>
    <t>Ikä 56–60 v</t>
  </si>
  <si>
    <t>Ikä 61–65 v</t>
  </si>
  <si>
    <t>Ikä 66–70 v</t>
  </si>
  <si>
    <t>Ikä 71–75 v</t>
  </si>
  <si>
    <t>Ikä 76–80 v</t>
  </si>
  <si>
    <t>Ikä 81–85 v</t>
  </si>
  <si>
    <t>Ikä 86–90 v</t>
  </si>
  <si>
    <t>Ikä 91–95 v</t>
  </si>
  <si>
    <t>Ikä vähintään 96 v</t>
  </si>
  <si>
    <t>Yksinhuoltajan perhe</t>
  </si>
  <si>
    <t>Laskennallisen sote-rahoituksen määräytymistekijät hyvinvointialueittain</t>
  </si>
  <si>
    <t>Lähteet: Tilastokeskus 1.4.2026 (vuoden 2025 väestörakennetilasto), Maanmittauslaitos 1.1.2026 (kokonaispinta-ala), Sisäministeriö (riskiruudut)</t>
  </si>
  <si>
    <t>Rahoituksen muutos 2026–2027 ennen tasausta</t>
  </si>
  <si>
    <t>Tällä välilehdellä kuvataan hyvinvointialueiden vuoden 2027 rahoituksen muodostuminen koko maan tasolla.</t>
  </si>
  <si>
    <t xml:space="preserve">Vuoden 2027 rahoituksessa huomioitavien aluekohtaisten siirtymätasausten laskenta on kuvattu erillisessä työkirjassa (ks. Hyvinvointialueiden rahoituksen siirtymäkausi 2024–2030, 30.4.2026). </t>
  </si>
  <si>
    <t>SOTE laskennallinen rahoitus ja PELA laskennallinen rahoitus -välilehdillä lasketaan hyvinvointialueiden laskennallinen rahoitus rahoituslain mukaisten määräytymistekijöiden mukaisesti. Laskennallisen rahoituksen määräytymistekijöitä koskeva tilastotieto on pääosin päivitetty Tilastokeskuksen 1.4.2026 julkaiseman vuoden 2025 väestörakennetilaston perusteella. Saaristoisuuden ja pelastustoimen riskitekijöiden määräytymistekijöitä koskeva tilastotieto valmistuu myöhemmin vuoden 2026 aikana, ja ne päivitetään laskelmiin syksyllä 2026. Sosiaali- ja terveydenhuollon laskennallisen rahoituksen vuoden 2024 tietojen mukaiset terveydenhuollon, vanhustenhuollon ja sosiaalihuollon tarvekertoimet perustuvat THL:n maaliskuussa 2025 päivittämiin laskelmiin. Tarvekertoimet sekä hyte-kerroin on huomioitu laskelmassa ennakkotietojen mukaisina, ja ne tarkentuvat vielä syksyllä 2026.</t>
  </si>
  <si>
    <t>Vähennys keskimääräisen kasvun ylittäviltä alueilta (laskelman välitulos)</t>
  </si>
  <si>
    <t>Laskennallinen palautus, jotta rahoituksen kasvu ei laske alle keskimääräisen (laskelman välitulos)</t>
  </si>
  <si>
    <t>Rahoituksen vähennys, kun on varmistettu, ettei vähennys laske rahoituksen kasvua alle keskimääräisen (laskelman välitulos)</t>
  </si>
  <si>
    <t>Vuoden 2027 rahoitus yhteensä tasauksen jälkeen</t>
  </si>
  <si>
    <t>Rahoituksen muutos 2026–2027 tasauksen jälkeen, prosenttia</t>
  </si>
  <si>
    <t>Selitys: Rahoituslain vähimmäistasoa turvaava tasaus lasketaan rahoituksen muutoksen perusteella. Tasauksen laskennassa huomioidaan ensin rahoituksen muutos vuosina 2026–2027 ennen tasausta, minkä jälkeen lasketaan tasattava määrä, jotta rahoitus ei vähene vuodesta 2026. Tähän vaadittava rahoitus vähennetään keskimääräisen kasvun ylittäviltä hyvinvointialueilta kuitenkin varmistaen, että näiden alueiden rahoitus kasvaa vähintään keskimääräisen kasvun verran. Tämän vuoksi laskelma joudutaan suorittamaan välivaiheiden kautta.</t>
  </si>
  <si>
    <t>Vuoden 2027 valtion rahoituksen maksuerät, euroa</t>
  </si>
  <si>
    <r>
      <t xml:space="preserve">Alla on kuvattu hyvinvointialueiden vuoden 2027 rahoitus, joka muodostuu laskennallisesta rahoituksesta, siirtymätasauksesta ja vähimmäistason tasauksesta. </t>
    </r>
    <r>
      <rPr>
        <sz val="11"/>
        <color theme="1"/>
        <rFont val="Arial"/>
        <family val="2"/>
        <scheme val="major"/>
      </rPr>
      <t>Siirtymätasauksen laskenta kuvataan erillisessä laskelmassa (ks. Hyvinvointialueiden rahoituksen siirtymäkausi 2024–2030, 30.4.2026). Valtion rahoituksen kuukausittaiset maksuerät on kuvattu alemmassa taulukossa.</t>
    </r>
  </si>
  <si>
    <t>Yhteenveto hyvinvointialueiden vuoden 2027 rahoituksesta</t>
  </si>
  <si>
    <t>Vuoden 2027 rahoitus, yhteensä</t>
  </si>
  <si>
    <r>
      <t>Rahoituksen taso tarkistetaan vastaamaan koko maan tasolla toteutuneita kustannuksia jälkikäteen kahden vuoden viiveellä. 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t>
    </r>
    <r>
      <rPr>
        <b/>
        <sz val="11"/>
        <color theme="1"/>
        <rFont val="Arial"/>
        <family val="2"/>
        <scheme val="major"/>
      </rPr>
      <t xml:space="preserve"> </t>
    </r>
    <r>
      <rPr>
        <sz val="11"/>
        <color theme="1"/>
        <rFont val="Arial"/>
        <family val="2"/>
        <scheme val="major"/>
      </rPr>
      <t xml:space="preserve">Vuodesta 2026 eteenpäin jälkikäteistarkistus määritellään lisäyksenä tai vähennyksenä suhteessa rahoituksen pohjassa jo olevaan jälkikäteistarkistuksen määrään. </t>
    </r>
    <r>
      <rPr>
        <b/>
        <sz val="11"/>
        <color theme="1"/>
        <rFont val="Arial"/>
        <family val="2"/>
        <scheme val="major"/>
      </rPr>
      <t>Vuoden 2027 jälkikäteistarkistuksen laskennassa huomioidaan tilikauden tuloksen muutos vuodesta 2024 vuoteen 2025 sekä vuonna 2025 rahoitukseen lisätty jälkikäteistarkistus</t>
    </r>
    <r>
      <rPr>
        <sz val="11"/>
        <color theme="1"/>
        <rFont val="Arial"/>
        <family val="2"/>
        <scheme val="major"/>
      </rPr>
      <t>.</t>
    </r>
  </si>
  <si>
    <t>Jälkikäteistarkistuksessa huomioidaan portaittain kasvava omavastuu vuodesta 2026 alkaen. Omavastuuosuus lasketaan vain jälkikäteistarkistuksena tehtävästä vuosittaisesta rahoituksen lisäyksestä tai vähennyksestä, ei koko rahoitukseen sisältyvästä jälkikäteistarkistuksen määrästä. Omavastuuosuus on 10 prosenttia vuodelle 2027 jälkikäteistarkistuksena tehtävästä vähennyksestä.</t>
  </si>
  <si>
    <t xml:space="preserve">Sosiaali- ja terveydenhuollon laskennallisen rahoituksen pohjana on vuoden 2026 rahoitus, joka korotetaan vuoden 2027 tasolle palvelutarpeen ja hyvinvointialueiden hintaindeksin perusteella. Lisäksi rahoituksessa huomioidaan tehtävä- ja asiakasmaksumuutokset vuodelle 2027. Sosiaali- ja terveydenhuollon tehtävien laskennallisen rahoituksen määräytymistekijät ovat asukasperusteisuus, sote-palvelutarve (joka muodostuu terveydenhuollon, vanhustenhuollon ja sosiaalihuollon palvelutarpeista), vieraskielisyys, kaksikielisyys, asukastiheys, saaristoisuus, saamenkielisyys, hyte-kerroin ja yliopistosairaalalisä. </t>
  </si>
  <si>
    <t>Pelastustoimen laskennallisen rahoituksen pohjana on vuoden 2026 rahoituksen taso, joka korotetaan vuoden 2027 tasolle hyvinvointialueiden hintaindeksin perusteella. Pelastustoimen laskennallisen rahoituksen määräytymistekijät ovat asukasperusteisuus, asukastiheys ja pelastustoimen riskitekijät. Ennakollisessa rahoituslaskelmassa pelastustoimen riskikerroin on vielä vuoden 2026 rahoituksen mukainen. Laskelmassa kuvattu arvio riskitekijöiden perusteella kohdennettavasta rahoituksesta tarkentuu syksyllä 2026.</t>
  </si>
  <si>
    <t>Lähteet: Tilastokeskus 1.4.2026 (vuoden 2025 väestörakennetilasto), Maa- ja metsätalousministeriö (saaristoisten hyvinvointialueiden saaristoalueiden väestön määrä)</t>
  </si>
  <si>
    <t>Saaristoisten hyvinvointialueiden saaristoalueiden väestön määrä vuoden 2024 tietojen mukainen. Tiedot päivitetään vuoden 2025 tasolle vuoden 2027 lopulliseen rahoituslaskelmaan.</t>
  </si>
  <si>
    <t>Rahoituslain vähimmäistasoa turvaava tasaus on hyvinvointialueiden rahoituslain hallituksen esityksessä (HE 56/2026) ehdotettu uusi osa rahoitusmallia. Kyseessä on väliaikainen ratkaisu, jonka tarkoituksena on turvata niiden alueiden rahoituksen riittävyyttä, joiden rahoitus muutoin vähenisi nykyisestä. Tasauksen tarkoituksena on osaltaan varmistaa, että myös näillä alueilla on mahdollisuudet järjestää asukkailleen lakisääteiset palvelut. Samalla tasataan rahoituksen vuosikohtaista kasvua. Tarvemallin tietopohjan vakaantuessa ja rahoitusmallin ennakoitavuuden parantuessa tasauksesta on tavoitteena luopua. Tasaus lisää sellaisten hyvinvointialueiden rahoitusta, joiden rahoitus varainhoitovuodelle vähenisi edellisen vuoden rahoituksesta. Kyseisten hyvinvointialueiden rahoitukseen lisättäisiin se määrä rahoitusta, jonka lisäämisen jälkeen varainhoitovuoden rahoitus vastaisi edellisen vuoden rahoituksen määrää.</t>
  </si>
  <si>
    <t>Vähimmäistasoa koskeva tasaus, euroa</t>
  </si>
  <si>
    <t>Rahoituksen muutos vuodelle 2027, prosenttia</t>
  </si>
  <si>
    <t>Hyvinvointialueiden rahoitus kasvaa vuodesta 2026 yhteensä noin 340 milj. euroa. Vuoden 2027 rahoitus on tarkistettu valtiovarainministeriön kansantalousosaston kevään 2026 ennusteen mukaisella hyvinvointialueindeksillä (noin 720 milj. euroa) ja palvelutarpeen kasvulla (noin 190 milj. euroa) vuodelle 2027. Rahoituksessa on huomioitu myös kevään 2026 julkisen talouden suunnitelman mukaiset tehtävä- ja asiakasmaksumuutokset vuodelle 2027 (noin -180 milj. euroa). Lisäksi rahoituksessa on huomioitu jälkikäteistarkistus alueiden 16.4.2026 mennessä raportoimien vuoden 2025 tilinpäätöstietojen perusteella. Tilinpäätöstietojen mukainen tulos vuodelle 2025 on parempi kuin vuonna 2024, joten rahoituksen pohjaan sisältyvää jälkikäteistarkistusta vähennetään noin 430 milj. euroa. Vuoden 2027 rahoituksen tasoon sisältyy jälkikäteistarkistusta yhteensä noin 890 milj. euroa. Lopullinen vuoden 2027 rahoituksessa huomioitava jälkikäteistarkistus tarkentuu vielä syksyllä 2026, kun hyvinvointialueet ovat raportoineet vuoden 2025 palveluluokkakohtaiset tilinpäätöstiedot.</t>
  </si>
  <si>
    <r>
      <rPr>
        <b/>
        <sz val="11"/>
        <rFont val="Arial"/>
        <family val="2"/>
        <scheme val="major"/>
      </rPr>
      <t xml:space="preserve">Vuoden 2027 rahoituksessa on huomioitu eduskuntaan 16.4.2026 annetun hyvinvointialueiden rahoituslain III vaiheen hallituksen esityksen (HE 56/2026 vp) mukaiset muutokset. </t>
    </r>
    <r>
      <rPr>
        <sz val="11"/>
        <rFont val="Arial"/>
        <family val="2"/>
        <scheme val="major"/>
      </rPr>
      <t>Esityksen mukaan tarveperusteisen rahoituksen kohdentamisessa käytettävään tarvemalliin tehdään ns. minimipäivitys ja yksityisen terveydenhuollon diagnoositietojen huomioon ottamista rahoituksessa rajataan osittain. Palvelutarpeen arvioidusta kasvusta otetaan huomioon 60 prosenttia ja siirtymätasausten porrastukseen tehdään muutoksia. Saaristoisuutta koskevassa rahoituksen määräytymistekijässä otetaan huomioon uusi saaristoisen hyvinvointialueen määritelmä. Saaristoiselle hyvinvointialueelle lasketaan saaristoisuuskerroin, jonka perusteella määriteltäisiin hyvinvointialueille saaristoisuuden perusteella kohdennettava sosiaali- ja terveydenhuollon laskennallinen rahoitus. Lisäksi laskelmassa on huomioitu tasaus, joka turvaa hyvinvointialuekohtaisen rahoituksen vähimmäistasoa: tasauksella lisätään niiden alueiden rahoitusta, joilla rahoitus muutoin vähenisi vuonna 2027.</t>
    </r>
  </si>
  <si>
    <t>Vuoden 2027 laskennallisen rahoituksen pohjana on vuoden 2026 laskennallisen rahoituksen taso, joka on yhteensä n. 27,2 mrd. euroa. Rahoitus on korotettu rahoituslain mukaisen palvelutarpeen kasvun (n. 193 milj. euroa) ja hyvinvointialueiden hintaindeksin kevään 2026 ennusteen (2,63 %) mukaisen kustannustason muutoksen (n. 721 milj. euroa) perusteella vuoden 2027 tasolle. Palvelutarpeen kasvun perusteella tehtävästä korotuksesta on huomioitu 60 prosenttia rahoituslakiesityksen (HE 56/2026 vp) mukaisesti. Rahoituksessa on otettu huomioon kevään 2026 julkisen talouden suunnitelman mukaiset tehtävä- ja asiakasmaksumuutokset vuodelle 2027. Rahoituksen jälkikäteistarkistusta vähennetään noin 426 milj. euroa vuonna 2027. Koko maan tasolla muodostettu laskennallinen rahoitus kohdennetaan hyvinvointialueille rahoituslain määräytymistekijöiden perusteella.</t>
  </si>
  <si>
    <r>
      <t xml:space="preserve">Alla olevassa taulukossa kuvattu vuoden 2027 jälkikäteistarkistus perustuu alueiden </t>
    </r>
    <r>
      <rPr>
        <b/>
        <sz val="11"/>
        <color theme="1"/>
        <rFont val="Arial"/>
        <family val="2"/>
        <scheme val="minor"/>
      </rPr>
      <t>16.4.2026 mennessä raportoimiin vuoden 2025 toimialakohtaisiin tilinpäätöstietoihin</t>
    </r>
    <r>
      <rPr>
        <sz val="11"/>
        <color theme="1"/>
        <rFont val="Arial"/>
        <family val="2"/>
        <scheme val="minor"/>
      </rPr>
      <t>.</t>
    </r>
    <r>
      <rPr>
        <b/>
        <sz val="11"/>
        <color theme="1"/>
        <rFont val="Arial"/>
        <family val="2"/>
        <scheme val="minor"/>
      </rPr>
      <t xml:space="preserve"> </t>
    </r>
    <r>
      <rPr>
        <sz val="11"/>
        <color theme="1"/>
        <rFont val="Arial"/>
        <family val="2"/>
        <scheme val="minor"/>
      </rPr>
      <t>Vuoden 2025 yhteenlaskettu tilikauden tulos (n. 0,7 mrd. euroa) on parantunut vuodesta 2024 (n. –1,1 mrd. euroa) huomioiden vuonna 2025 rahoitukseen lisätyn jälkikäteistarkistuksen määrän. Vuoden 2027 jälkikäteistarkistuksessa rahoituksen pohjaan sisältyvää jälkikäteistarkistusta vähennetään siten noin 426 milj. euroa. Vuoden 2027 rahoitukseen sisältyy jälkikäteistarkistusta yhteensä noin 890 milj. euroa (huomioituna korotus vuoden 2027 tasolle hyvinvointialueindeksillä ja palvelutarpeen kasvulla).</t>
    </r>
  </si>
  <si>
    <t>Jälkikäteistarkistus lasketaan erikseen soten ja pelan osalta. Erotukset korotetaan vuoden 2027 tasolle hyvinvointialueindeksillä (sote ja pela) ja palvelutarpeen kasvulla (sote). Palvelutarpeen kasvusta huomioidaan rahoituslakiesityksen (HE 56/2026 vp) mukaisesti 60 prosenttia vuodesta 2027. Vuosina 2024–2026 kasvusta on huomioitu 80 prosenttia. Jälkikäteistarkistuksen kautta tehtävä rahoituksen tason tarkistus kohdentuu kaikille hyvinvointialueille rahoituslain määräytymistekijöiden mukaisesti. Jälkikäteistarkistuksen laskennassa on huomioitu vuoden 2025 rahoituksessa Pohjois-Karjalan hyvinvointialueelle myönnetty 2,6 milj. euron lisärahoitus.</t>
  </si>
  <si>
    <t>Tasausmallin mukaan niiden hyvinvointialueiden, joiden vuosikohtainen rahoitus laskennallisen rahoituksen ja siirtymätasauksen perusteella muutoin vähenisi, rahoitukseen lisätään kyseiselle varainhoitovuodelle se määrä, jonka lisäämisen jälkeen hyvinvointialueen rahoituksen määrä vastaa sen edellisen vuoden rahoituksen määrää. Rahoituksen yhteenlaskettuja lisäyksiä vastaava määrä rahoitusta vähennetään vuosittain asukasta kohden yhtä suurena eränä niiden alueiden rahoituksesta, joiden rahoituksen kasvu ylittää koko maan keskimääräisen rahoituksen kasvun. Vähennys voidaan kuitenkin tehdä vain siihen määrään, että vähennyksen jälkeen yhdenkään näistä alueista rahoituksen kasvu ei alita koko maan rahoituksen keskimääräistä kasvua. Alla kuvataan vuosien 2026 ja 2027 rahoitus ilman vähimmäistasoa koskevaa tasausta, tasauksen laskenta ja sen vaikutus alueiden rahoitukseen. Rahoituksen vähimmäistasoa turvaavan tasauksen yhteenlaskettu määrä on n. 38 milj. euroa vuonna 2027.</t>
  </si>
  <si>
    <t>Hyvinvoinnin ja terveyden edistämisen määräytymistekijällä kohdennettava rahoitus kohdennetaan hyte-kertoimen mukaisesti. Tällä välilehdellä kuvattu hyte-kerroin perustuu THL:n laskemaan, hyvinvointialueiden 16.3.2026 mennessä toimittamien tietojen perusteella laskettuun, hyte-kertoimeen. Hyte-kertoimessa huomioitavien indikaattorien tietopohja päivittyy vuoden 2026 aikana. Tiedot päivitetään vuoden 2027 lopulliseen rahoituslaskelmaan.</t>
  </si>
  <si>
    <r>
      <t xml:space="preserve">Vuoden 2027 rahoituksessa tarvekertoimet huomioidaan vuosien 2023 ja 2024 tarvekertoimien keskiarvon perusteella. Vuoden 2023 tietojen perusteella laskettu tarvekerroin vastaa hyvinvointialueiden rahoituksessa vuonna 2026 käytettyä tarvekerrointa. Vuoden 2024 tarvekertoimessa on huomioitu rahoituslakiesityksen (HE 56/2026 vp) mukainen tarvemallin minimipäivitys ja yksityisen terveydenhuollon diagnoositietojen rajaaminen tarvemallin tietopohjasta. Vuoden 2024 tarvekertoimet on laskettu rahoituslakiesityksen mukaisten tarvetekijöiden ja niiden regressiokertoimien perusteella (ks. </t>
    </r>
    <r>
      <rPr>
        <i/>
        <sz val="12"/>
        <color theme="1"/>
        <rFont val="Arial"/>
        <family val="2"/>
        <scheme val="major"/>
      </rPr>
      <t>Tarvetekijät</t>
    </r>
    <r>
      <rPr>
        <sz val="12"/>
        <color theme="1"/>
        <rFont val="Arial"/>
        <family val="2"/>
        <scheme val="major"/>
      </rPr>
      <t>-välilehti). Vuoden 2024 tarvekerroin on ennakollinen. Tiedot päivitetään vuoden 2027 lopulliseen rahoituslaskelmaan.</t>
    </r>
  </si>
  <si>
    <t>Riskiruutujen määrä on vuoden 2026 rahoituksen mukainen. Tiedot päivitetään vuoden 2027 lopulliseen rahoituslaskelmaan.</t>
  </si>
  <si>
    <r>
      <rPr>
        <i/>
        <sz val="11"/>
        <rFont val="Arial"/>
        <family val="2"/>
        <scheme val="major"/>
      </rPr>
      <t>Tarvekertoimet</t>
    </r>
    <r>
      <rPr>
        <sz val="11"/>
        <rFont val="Arial"/>
        <family val="2"/>
        <scheme val="major"/>
      </rPr>
      <t xml:space="preserve">-välilehdellä on kuvattu aluekohtaiset tarvekertoimet, jotka on laskettu THL:n tutkimuksen mukaisena (Hyvinvointialueiden sote-rahoituksen tarvevakiointimalli: Vuoden 2027 rahoituslakiuudistuksen valmistelussa ehdotettu versio, </t>
    </r>
    <r>
      <rPr>
        <i/>
        <sz val="11"/>
        <color theme="8"/>
        <rFont val="Arial"/>
        <family val="2"/>
        <scheme val="major"/>
      </rPr>
      <t>https://urn.fi/URN:ISBN:978-952-408-678-3</t>
    </r>
    <r>
      <rPr>
        <sz val="11"/>
        <rFont val="Arial"/>
        <family val="2"/>
        <scheme val="major"/>
      </rPr>
      <t>). Tarvekertoimet lasketaan erikseen terveydenhuollolle, vanhustenhuollolle ja sosiaalihuollolle. Alla on kuvattu tutkimuksessa käytetyt rahoituslakiesityksen mukaiset tarvetekijät ja niiden regressiokertoimet.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</si>
</sst>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 #,##0.00\ _€_-;\-* #,##0.00\ _€_-;_-* &quot;-&quot;??\ _€_-;_-@_-"/>
    <numFmt numFmtId="165" formatCode="#,##0_ ;[Red]\-#,##0\ "/>
    <numFmt numFmtId="166" formatCode="0.000"/>
    <numFmt numFmtId="167" formatCode="0.0"/>
    <numFmt numFmtId="168" formatCode="0.000\ %"/>
    <numFmt numFmtId="169" formatCode="0.0\ %"/>
    <numFmt numFmtId="170" formatCode="#,##0.000"/>
    <numFmt numFmtId="171" formatCode="#,##0.000000"/>
    <numFmt numFmtId="172" formatCode="_-* #,##0_-;\-* #,##0_-;_-* &quot;-&quot;??_-;_-@_-"/>
    <numFmt numFmtId="173" formatCode="0.0000\ %"/>
    <numFmt numFmtId="174" formatCode="#,##0.0"/>
    <numFmt numFmtId="175" formatCode="0.0000"/>
  </numFmts>
  <fonts count="56"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sz val="12"/>
      <name val="Arial"/>
      <family val="2"/>
      <scheme val="major"/>
    </font>
    <font>
      <b/>
      <sz val="12"/>
      <name val="Arial"/>
      <family val="2"/>
      <scheme val="major"/>
    </font>
    <font>
      <sz val="11"/>
      <color rgb="FF000000"/>
      <name val="Calibri"/>
      <family val="2"/>
    </font>
    <font>
      <b/>
      <sz val="12"/>
      <color theme="1"/>
      <name val="Arial"/>
      <family val="2"/>
      <scheme val="major"/>
    </font>
    <font>
      <b/>
      <sz val="12"/>
      <color theme="0"/>
      <name val="Arial"/>
      <family val="2"/>
      <scheme val="major"/>
    </font>
    <font>
      <sz val="12"/>
      <color theme="0"/>
      <name val="Arial"/>
      <family val="2"/>
      <scheme val="major"/>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trike/>
      <sz val="11"/>
      <color theme="1"/>
      <name val="Arial"/>
      <family val="2"/>
      <scheme val="major"/>
    </font>
    <font>
      <b/>
      <sz val="11"/>
      <color theme="1"/>
      <name val="Arial"/>
      <family val="2"/>
      <scheme val="minor"/>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i/>
      <sz val="11"/>
      <color rgb="FFFF0000"/>
      <name val="Arial"/>
      <family val="2"/>
      <scheme val="minor"/>
    </font>
    <font>
      <i/>
      <sz val="11"/>
      <color theme="1"/>
      <name val="Arial"/>
      <family val="2"/>
      <scheme val="minor"/>
    </font>
    <font>
      <sz val="10"/>
      <color theme="1"/>
      <name val="Arial"/>
      <family val="2"/>
    </font>
    <font>
      <sz val="11"/>
      <color theme="1"/>
      <name val="Arial Narrow"/>
      <family val="2"/>
    </font>
    <font>
      <sz val="11"/>
      <color theme="0"/>
      <name val="Arial"/>
      <family val="2"/>
      <scheme val="minor"/>
    </font>
    <font>
      <b/>
      <sz val="12"/>
      <color theme="0"/>
      <name val="Arial"/>
      <family val="2"/>
      <scheme val="minor"/>
    </font>
    <font>
      <sz val="8"/>
      <name val="Arial"/>
      <family val="2"/>
      <scheme val="minor"/>
    </font>
    <font>
      <b/>
      <sz val="13"/>
      <color theme="4"/>
      <name val="Arial"/>
      <family val="2"/>
      <scheme val="minor"/>
    </font>
    <font>
      <b/>
      <i/>
      <sz val="11"/>
      <color theme="1"/>
      <name val="Arial"/>
      <family val="2"/>
      <scheme val="minor"/>
    </font>
    <font>
      <sz val="8"/>
      <color rgb="FF0F0F0F"/>
      <name val="Arial"/>
      <family val="2"/>
      <scheme val="minor"/>
    </font>
    <font>
      <i/>
      <sz val="8"/>
      <color rgb="FFFF0000"/>
      <name val="Arial"/>
      <family val="2"/>
      <scheme val="minor"/>
    </font>
    <font>
      <sz val="11"/>
      <color theme="1"/>
      <name val="Arial"/>
      <family val="2"/>
      <scheme val="major"/>
    </font>
    <font>
      <sz val="12"/>
      <name val="Arial"/>
      <family val="2"/>
    </font>
    <font>
      <b/>
      <sz val="12"/>
      <name val="Arial"/>
      <family val="2"/>
    </font>
    <font>
      <sz val="11"/>
      <color theme="0"/>
      <name val="Arial"/>
      <family val="2"/>
      <scheme val="major"/>
    </font>
    <font>
      <b/>
      <i/>
      <sz val="11"/>
      <color theme="0"/>
      <name val="Arial"/>
      <family val="2"/>
      <scheme val="minor"/>
    </font>
    <font>
      <i/>
      <sz val="11"/>
      <color theme="8"/>
      <name val="Arial"/>
      <family val="2"/>
      <scheme val="major"/>
    </font>
    <font>
      <sz val="8"/>
      <color rgb="FF252627"/>
      <name val="Arial"/>
      <family val="2"/>
      <scheme val="major"/>
    </font>
    <font>
      <sz val="8"/>
      <color rgb="FF000000"/>
      <name val="Arial"/>
      <family val="2"/>
      <scheme val="major"/>
    </font>
    <font>
      <i/>
      <sz val="12"/>
      <color theme="1"/>
      <name val="Arial"/>
      <family val="2"/>
      <scheme val="major"/>
    </font>
    <font>
      <i/>
      <sz val="11"/>
      <name val="Arial"/>
      <family val="2"/>
      <scheme val="major"/>
    </font>
  </fonts>
  <fills count="17">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patternFill>
    </fill>
    <fill>
      <patternFill patternType="solid">
        <fgColor theme="8"/>
        <bgColor theme="4"/>
      </patternFill>
    </fill>
    <fill>
      <patternFill patternType="solid">
        <fgColor theme="9"/>
        <bgColor theme="4"/>
      </patternFill>
    </fill>
    <fill>
      <patternFill patternType="solid">
        <fgColor theme="4"/>
      </patternFill>
    </fill>
    <fill>
      <patternFill patternType="solid">
        <fgColor theme="0"/>
        <bgColor indexed="64"/>
      </patternFill>
    </fill>
  </fills>
  <borders count="30">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top/>
      <bottom style="thin">
        <color indexed="64"/>
      </bottom>
      <diagonal/>
    </border>
    <border>
      <left/>
      <right/>
      <top style="thin">
        <color auto="1"/>
      </top>
      <bottom/>
      <diagonal/>
    </border>
    <border>
      <left style="thin">
        <color theme="8"/>
      </left>
      <right/>
      <top style="thin">
        <color theme="8"/>
      </top>
      <bottom/>
      <diagonal/>
    </border>
    <border>
      <left/>
      <right/>
      <top style="thin">
        <color theme="8"/>
      </top>
      <bottom/>
      <diagonal/>
    </border>
    <border>
      <left/>
      <right/>
      <top style="thin">
        <color theme="4"/>
      </top>
      <bottom style="thin">
        <color theme="4"/>
      </bottom>
      <diagonal/>
    </border>
    <border>
      <left style="thin">
        <color indexed="64"/>
      </left>
      <right/>
      <top/>
      <bottom/>
      <diagonal/>
    </border>
    <border>
      <left style="thin">
        <color indexed="64"/>
      </left>
      <right/>
      <top style="thin">
        <color indexed="64"/>
      </top>
      <bottom/>
      <diagonal/>
    </border>
    <border>
      <left/>
      <right style="thin">
        <color indexed="64"/>
      </right>
      <top style="thin">
        <color theme="8"/>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9"/>
      </left>
      <right/>
      <top style="thin">
        <color theme="9"/>
      </top>
      <bottom/>
      <diagonal/>
    </border>
    <border>
      <left/>
      <right/>
      <top style="thin">
        <color theme="9"/>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bottom style="thick">
        <color theme="4" tint="0.499984740745262"/>
      </bottom>
      <diagonal/>
    </border>
    <border>
      <left style="thin">
        <color indexed="64"/>
      </left>
      <right/>
      <top style="thin">
        <color theme="8"/>
      </top>
      <bottom/>
      <diagonal/>
    </border>
    <border>
      <left style="thin">
        <color theme="4"/>
      </left>
      <right/>
      <top/>
      <bottom/>
      <diagonal/>
    </border>
    <border>
      <left/>
      <right/>
      <top style="thin">
        <color theme="8"/>
      </top>
      <bottom style="thin">
        <color indexed="64"/>
      </bottom>
      <diagonal/>
    </border>
    <border>
      <left/>
      <right/>
      <top style="thin">
        <color theme="9"/>
      </top>
      <bottom style="thin">
        <color theme="9"/>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left>
      <right/>
      <top style="thin">
        <color theme="9"/>
      </top>
      <bottom/>
      <diagonal/>
    </border>
  </borders>
  <cellStyleXfs count="1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Border="0" applyAlignment="0"/>
    <xf numFmtId="0" fontId="32" fillId="0" borderId="20" applyNumberFormat="0" applyFill="0" applyAlignment="0" applyProtection="0"/>
    <xf numFmtId="0" fontId="1" fillId="0" borderId="0"/>
    <xf numFmtId="0" fontId="37" fillId="0" borderId="0"/>
    <xf numFmtId="0" fontId="39" fillId="12" borderId="0" applyNumberFormat="0" applyBorder="0" applyAlignment="0" applyProtection="0"/>
    <xf numFmtId="0" fontId="39" fillId="15" borderId="0" applyNumberFormat="0" applyBorder="0" applyAlignment="0" applyProtection="0"/>
  </cellStyleXfs>
  <cellXfs count="413">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0" fontId="1" fillId="0" borderId="0" xfId="0" applyFont="1"/>
    <xf numFmtId="0" fontId="10" fillId="4" borderId="0" xfId="4" applyNumberFormat="1" applyFont="1" applyFill="1" applyBorder="1" applyAlignment="1">
      <alignment wrapText="1"/>
    </xf>
    <xf numFmtId="0" fontId="6" fillId="0" borderId="0" xfId="0" applyFont="1" applyFill="1"/>
    <xf numFmtId="0" fontId="15" fillId="0" borderId="0" xfId="0" applyFont="1" applyFill="1"/>
    <xf numFmtId="0" fontId="6" fillId="0" borderId="0" xfId="0" applyFont="1" applyAlignment="1"/>
    <xf numFmtId="0" fontId="0" fillId="0" borderId="0" xfId="0" applyAlignment="1"/>
    <xf numFmtId="0" fontId="16" fillId="0" borderId="0" xfId="4" applyFont="1"/>
    <xf numFmtId="3" fontId="16" fillId="0" borderId="0" xfId="4" applyNumberFormat="1" applyFont="1"/>
    <xf numFmtId="1" fontId="16" fillId="0" borderId="0" xfId="4" applyNumberFormat="1" applyFont="1"/>
    <xf numFmtId="0" fontId="23" fillId="0" borderId="0" xfId="4" applyFont="1"/>
    <xf numFmtId="0" fontId="24" fillId="0" borderId="0" xfId="0" applyFont="1"/>
    <xf numFmtId="168" fontId="16" fillId="0" borderId="0" xfId="4" applyNumberFormat="1" applyFont="1"/>
    <xf numFmtId="0" fontId="16" fillId="0" borderId="0" xfId="0" applyFont="1" applyAlignment="1">
      <alignment horizontal="left"/>
    </xf>
    <xf numFmtId="0" fontId="20" fillId="6" borderId="6" xfId="4" applyNumberFormat="1" applyFont="1" applyFill="1" applyBorder="1" applyAlignment="1"/>
    <xf numFmtId="0" fontId="20" fillId="0" borderId="0" xfId="4" applyNumberFormat="1" applyFont="1" applyFill="1" applyBorder="1" applyAlignment="1"/>
    <xf numFmtId="0" fontId="16" fillId="3" borderId="0" xfId="4" applyFont="1" applyFill="1"/>
    <xf numFmtId="0" fontId="20" fillId="6" borderId="0" xfId="4" applyNumberFormat="1" applyFont="1" applyFill="1" applyBorder="1" applyAlignment="1"/>
    <xf numFmtId="0" fontId="20" fillId="6" borderId="0" xfId="4" applyNumberFormat="1" applyFont="1" applyFill="1" applyBorder="1" applyAlignment="1">
      <alignment wrapText="1"/>
    </xf>
    <xf numFmtId="3" fontId="20" fillId="6" borderId="0" xfId="4" applyNumberFormat="1" applyFont="1" applyFill="1" applyBorder="1" applyAlignment="1"/>
    <xf numFmtId="0" fontId="20" fillId="5" borderId="0" xfId="4" applyNumberFormat="1" applyFont="1" applyFill="1" applyBorder="1" applyAlignment="1"/>
    <xf numFmtId="3" fontId="16" fillId="0" borderId="7" xfId="4" applyNumberFormat="1" applyFont="1" applyBorder="1" applyAlignment="1"/>
    <xf numFmtId="0" fontId="17" fillId="0" borderId="0" xfId="4" applyFont="1"/>
    <xf numFmtId="0" fontId="20" fillId="5" borderId="2" xfId="4" applyNumberFormat="1" applyFont="1" applyFill="1" applyBorder="1" applyAlignment="1"/>
    <xf numFmtId="0" fontId="20" fillId="6" borderId="7" xfId="4" applyNumberFormat="1" applyFont="1" applyFill="1" applyBorder="1" applyAlignment="1">
      <alignment horizontal="left"/>
    </xf>
    <xf numFmtId="0" fontId="20" fillId="6" borderId="7" xfId="4" applyNumberFormat="1" applyFont="1" applyFill="1" applyBorder="1" applyAlignment="1">
      <alignment wrapText="1"/>
    </xf>
    <xf numFmtId="0" fontId="20" fillId="5" borderId="7" xfId="4" applyNumberFormat="1" applyFont="1" applyFill="1" applyBorder="1" applyAlignment="1">
      <alignment horizontal="left" wrapText="1"/>
    </xf>
    <xf numFmtId="3" fontId="26" fillId="0" borderId="0" xfId="4" applyNumberFormat="1" applyFont="1" applyFill="1" applyBorder="1"/>
    <xf numFmtId="3" fontId="17" fillId="0" borderId="0" xfId="4" applyNumberFormat="1" applyFont="1"/>
    <xf numFmtId="2" fontId="17" fillId="0" borderId="0" xfId="4" applyNumberFormat="1" applyFont="1"/>
    <xf numFmtId="166" fontId="17" fillId="0" borderId="0" xfId="4" applyNumberFormat="1" applyFont="1"/>
    <xf numFmtId="3" fontId="17" fillId="0" borderId="0" xfId="4" applyNumberFormat="1" applyFont="1" applyFill="1"/>
    <xf numFmtId="0" fontId="20" fillId="6" borderId="9" xfId="4" applyNumberFormat="1" applyFont="1" applyFill="1" applyBorder="1" applyAlignment="1"/>
    <xf numFmtId="0" fontId="23" fillId="0" borderId="0" xfId="4" applyFont="1" applyFill="1" applyBorder="1"/>
    <xf numFmtId="3" fontId="16" fillId="0" borderId="0" xfId="4" applyNumberFormat="1" applyFont="1" applyFill="1" applyBorder="1"/>
    <xf numFmtId="3" fontId="23" fillId="0" borderId="0" xfId="4" applyNumberFormat="1" applyFont="1" applyFill="1" applyBorder="1"/>
    <xf numFmtId="0" fontId="17" fillId="0" borderId="0" xfId="4" applyFont="1" applyFill="1" applyBorder="1"/>
    <xf numFmtId="0" fontId="19" fillId="0" borderId="0" xfId="4" applyFont="1" applyFill="1" applyBorder="1"/>
    <xf numFmtId="166" fontId="23" fillId="0" borderId="0" xfId="4" applyNumberFormat="1" applyFont="1" applyFill="1" applyBorder="1"/>
    <xf numFmtId="3" fontId="19" fillId="0" borderId="0" xfId="4" applyNumberFormat="1" applyFont="1" applyFill="1" applyBorder="1"/>
    <xf numFmtId="166" fontId="19" fillId="0" borderId="0" xfId="4" applyNumberFormat="1" applyFont="1" applyFill="1" applyBorder="1"/>
    <xf numFmtId="3" fontId="6" fillId="0" borderId="0" xfId="0" applyNumberFormat="1" applyFont="1" applyAlignment="1">
      <alignment horizontal="right"/>
    </xf>
    <xf numFmtId="3" fontId="17" fillId="0" borderId="11" xfId="4" applyNumberFormat="1" applyFont="1" applyBorder="1" applyAlignment="1"/>
    <xf numFmtId="0" fontId="8" fillId="3" borderId="0" xfId="4" applyFont="1" applyFill="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27" fillId="3" borderId="0" xfId="4" applyFont="1" applyFill="1" applyAlignment="1">
      <alignment horizontal="right"/>
    </xf>
    <xf numFmtId="0" fontId="22" fillId="0" borderId="0" xfId="4" applyFont="1" applyFill="1" applyBorder="1"/>
    <xf numFmtId="0" fontId="4" fillId="2" borderId="0" xfId="0" applyFont="1" applyFill="1" applyAlignment="1">
      <alignment horizontal="right"/>
    </xf>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7" fillId="0" borderId="0" xfId="0" applyFont="1"/>
    <xf numFmtId="0" fontId="14" fillId="0" borderId="0" xfId="0" applyFont="1"/>
    <xf numFmtId="0" fontId="6" fillId="0" borderId="0" xfId="0" applyFont="1" applyBorder="1"/>
    <xf numFmtId="0" fontId="0" fillId="0" borderId="0" xfId="0" applyBorder="1"/>
    <xf numFmtId="0" fontId="15" fillId="0" borderId="0" xfId="0" applyFont="1" applyFill="1" applyBorder="1"/>
    <xf numFmtId="1" fontId="22" fillId="0" borderId="0" xfId="4" applyNumberFormat="1" applyFont="1"/>
    <xf numFmtId="0" fontId="15" fillId="0" borderId="0" xfId="0" applyFont="1"/>
    <xf numFmtId="0" fontId="29" fillId="0" borderId="0" xfId="0" applyFont="1"/>
    <xf numFmtId="0" fontId="25" fillId="0" borderId="13" xfId="4" applyNumberFormat="1" applyFont="1" applyFill="1" applyBorder="1" applyAlignment="1">
      <alignment wrapText="1"/>
    </xf>
    <xf numFmtId="168" fontId="25" fillId="0" borderId="12" xfId="8" applyNumberFormat="1" applyFont="1" applyFill="1" applyBorder="1"/>
    <xf numFmtId="0" fontId="30" fillId="0" borderId="0" xfId="0" applyFont="1"/>
    <xf numFmtId="3" fontId="17" fillId="0" borderId="19" xfId="4" applyNumberFormat="1" applyFont="1" applyBorder="1" applyAlignment="1"/>
    <xf numFmtId="3" fontId="17" fillId="0" borderId="3" xfId="4" applyNumberFormat="1" applyFont="1" applyBorder="1" applyAlignment="1"/>
    <xf numFmtId="3" fontId="20" fillId="9" borderId="15" xfId="4" applyNumberFormat="1" applyFont="1" applyFill="1" applyBorder="1" applyAlignment="1"/>
    <xf numFmtId="3" fontId="20" fillId="9" borderId="16" xfId="4" applyNumberFormat="1" applyFont="1" applyFill="1" applyBorder="1" applyAlignment="1"/>
    <xf numFmtId="3" fontId="20" fillId="5" borderId="15" xfId="4" applyNumberFormat="1" applyFont="1" applyFill="1" applyBorder="1" applyAlignment="1"/>
    <xf numFmtId="0" fontId="10" fillId="4" borderId="0" xfId="4" applyNumberFormat="1" applyFont="1" applyFill="1" applyBorder="1" applyAlignment="1"/>
    <xf numFmtId="49" fontId="10" fillId="4" borderId="0" xfId="4" applyNumberFormat="1" applyFont="1" applyFill="1" applyBorder="1" applyAlignment="1">
      <alignment wrapText="1"/>
    </xf>
    <xf numFmtId="0" fontId="23" fillId="0" borderId="0" xfId="4" applyNumberFormat="1" applyFont="1" applyBorder="1" applyAlignment="1"/>
    <xf numFmtId="0" fontId="19" fillId="0" borderId="0" xfId="4" applyNumberFormat="1" applyFont="1" applyBorder="1" applyAlignment="1"/>
    <xf numFmtId="171" fontId="23" fillId="0" borderId="0" xfId="4" applyNumberFormat="1" applyFont="1" applyBorder="1" applyAlignment="1"/>
    <xf numFmtId="0" fontId="20" fillId="4" borderId="0" xfId="4" applyNumberFormat="1" applyFont="1" applyFill="1" applyBorder="1" applyAlignment="1"/>
    <xf numFmtId="0" fontId="20" fillId="6" borderId="17" xfId="0" applyNumberFormat="1" applyFont="1" applyFill="1" applyBorder="1" applyAlignment="1" applyProtection="1">
      <alignment horizontal="left" wrapText="1"/>
    </xf>
    <xf numFmtId="0" fontId="20" fillId="6" borderId="0" xfId="0" applyNumberFormat="1" applyFont="1" applyFill="1" applyBorder="1" applyAlignment="1" applyProtection="1">
      <alignment horizontal="right"/>
    </xf>
    <xf numFmtId="0" fontId="32" fillId="3" borderId="20" xfId="12" applyFill="1"/>
    <xf numFmtId="0" fontId="32" fillId="3" borderId="20" xfId="12" applyFill="1" applyAlignment="1">
      <alignment horizontal="left"/>
    </xf>
    <xf numFmtId="0" fontId="6" fillId="0" borderId="0" xfId="0" applyFont="1" applyFill="1" applyBorder="1" applyAlignment="1"/>
    <xf numFmtId="0" fontId="20" fillId="0" borderId="0" xfId="4" applyFont="1" applyFill="1" applyBorder="1" applyAlignment="1">
      <alignment wrapText="1"/>
    </xf>
    <xf numFmtId="0" fontId="33" fillId="0" borderId="0" xfId="2" applyFont="1"/>
    <xf numFmtId="0" fontId="34" fillId="0" borderId="0" xfId="2" applyFont="1"/>
    <xf numFmtId="4" fontId="17" fillId="0" borderId="5" xfId="4" applyNumberFormat="1" applyFont="1" applyBorder="1" applyAlignment="1"/>
    <xf numFmtId="4" fontId="16" fillId="0" borderId="5" xfId="4" applyNumberFormat="1" applyFont="1" applyBorder="1" applyAlignment="1"/>
    <xf numFmtId="4" fontId="17" fillId="0" borderId="0" xfId="4" applyNumberFormat="1" applyFont="1" applyBorder="1" applyAlignment="1"/>
    <xf numFmtId="0" fontId="10" fillId="7" borderId="16" xfId="0" applyFont="1" applyFill="1" applyBorder="1" applyAlignment="1">
      <alignment horizontal="left" wrapText="1"/>
    </xf>
    <xf numFmtId="169" fontId="20" fillId="0" borderId="0" xfId="4" applyNumberFormat="1" applyFont="1" applyFill="1" applyBorder="1" applyAlignment="1"/>
    <xf numFmtId="169" fontId="21" fillId="0" borderId="0" xfId="4" applyNumberFormat="1" applyFont="1" applyFill="1" applyBorder="1"/>
    <xf numFmtId="0" fontId="17" fillId="0" borderId="10" xfId="4" applyNumberFormat="1" applyFont="1" applyBorder="1" applyAlignment="1"/>
    <xf numFmtId="3" fontId="16" fillId="0" borderId="11" xfId="4" applyNumberFormat="1" applyFont="1" applyBorder="1" applyAlignment="1"/>
    <xf numFmtId="0" fontId="16" fillId="0" borderId="21" xfId="4" applyNumberFormat="1" applyFont="1" applyBorder="1" applyAlignment="1">
      <alignment horizontal="left" wrapText="1"/>
    </xf>
    <xf numFmtId="4" fontId="17" fillId="0" borderId="0" xfId="4" applyNumberFormat="1" applyFont="1" applyFill="1" applyBorder="1"/>
    <xf numFmtId="4" fontId="23" fillId="0" borderId="0" xfId="4" applyNumberFormat="1" applyFont="1" applyFill="1" applyBorder="1"/>
    <xf numFmtId="165" fontId="6" fillId="0" borderId="0" xfId="0" applyNumberFormat="1" applyFont="1" applyFill="1" applyBorder="1" applyAlignment="1"/>
    <xf numFmtId="0" fontId="35" fillId="0" borderId="0" xfId="0" applyFont="1" applyAlignment="1"/>
    <xf numFmtId="172" fontId="0" fillId="0" borderId="0" xfId="0" applyNumberFormat="1"/>
    <xf numFmtId="165" fontId="0" fillId="0" borderId="0" xfId="0" applyNumberFormat="1"/>
    <xf numFmtId="0" fontId="3" fillId="10" borderId="1" xfId="3" applyFill="1" applyAlignment="1"/>
    <xf numFmtId="169" fontId="19" fillId="0" borderId="0" xfId="9" applyNumberFormat="1" applyFont="1" applyFill="1" applyBorder="1"/>
    <xf numFmtId="0" fontId="8" fillId="0" borderId="0" xfId="4" applyNumberFormat="1" applyFont="1" applyBorder="1" applyAlignment="1"/>
    <xf numFmtId="0" fontId="0" fillId="0" borderId="0" xfId="0" applyFont="1" applyFill="1"/>
    <xf numFmtId="3" fontId="17" fillId="0" borderId="3" xfId="4" applyNumberFormat="1" applyFont="1" applyFill="1" applyBorder="1" applyAlignment="1"/>
    <xf numFmtId="10" fontId="0" fillId="0" borderId="0" xfId="9" applyNumberFormat="1" applyFont="1" applyFill="1" applyBorder="1"/>
    <xf numFmtId="0" fontId="30" fillId="0" borderId="0" xfId="0" applyFont="1" applyAlignment="1"/>
    <xf numFmtId="0" fontId="10" fillId="2" borderId="0" xfId="0" applyFont="1" applyFill="1" applyAlignment="1"/>
    <xf numFmtId="3" fontId="7" fillId="0" borderId="0" xfId="0" applyNumberFormat="1" applyFont="1" applyFill="1" applyBorder="1" applyAlignment="1"/>
    <xf numFmtId="165" fontId="7" fillId="0" borderId="0" xfId="0" applyNumberFormat="1" applyFont="1" applyFill="1" applyBorder="1" applyAlignment="1"/>
    <xf numFmtId="3" fontId="29" fillId="0" borderId="0" xfId="10" applyNumberFormat="1" applyFont="1" applyFill="1" applyAlignment="1"/>
    <xf numFmtId="3" fontId="0" fillId="0" borderId="0" xfId="0" applyNumberFormat="1"/>
    <xf numFmtId="0" fontId="16" fillId="0" borderId="0" xfId="4" applyFont="1" applyBorder="1"/>
    <xf numFmtId="0" fontId="23" fillId="0" borderId="0" xfId="0" applyFont="1"/>
    <xf numFmtId="0" fontId="23" fillId="0" borderId="2" xfId="13" applyFont="1" applyBorder="1"/>
    <xf numFmtId="3" fontId="16" fillId="0" borderId="2" xfId="4" applyNumberFormat="1" applyFont="1" applyBorder="1"/>
    <xf numFmtId="4" fontId="16" fillId="0" borderId="2" xfId="4" applyNumberFormat="1" applyFont="1" applyBorder="1"/>
    <xf numFmtId="0" fontId="16" fillId="0" borderId="2" xfId="4" applyFont="1" applyBorder="1"/>
    <xf numFmtId="0" fontId="17" fillId="0" borderId="2" xfId="4" applyFont="1" applyBorder="1"/>
    <xf numFmtId="3" fontId="17" fillId="0" borderId="2" xfId="4" applyNumberFormat="1" applyFont="1" applyBorder="1"/>
    <xf numFmtId="165" fontId="28" fillId="0" borderId="0" xfId="10" applyNumberFormat="1" applyFont="1" applyBorder="1" applyAlignment="1"/>
    <xf numFmtId="165" fontId="28" fillId="0" borderId="0" xfId="10" applyNumberFormat="1" applyFont="1" applyBorder="1"/>
    <xf numFmtId="0" fontId="14" fillId="0" borderId="0" xfId="4" applyFont="1"/>
    <xf numFmtId="43" fontId="7" fillId="0" borderId="0" xfId="4" applyNumberFormat="1" applyFont="1"/>
    <xf numFmtId="3" fontId="19" fillId="0" borderId="0" xfId="4" applyNumberFormat="1" applyFont="1" applyFill="1" applyBorder="1" applyAlignment="1"/>
    <xf numFmtId="166" fontId="7" fillId="0" borderId="0" xfId="4" applyNumberFormat="1" applyFont="1" applyFill="1" applyBorder="1" applyAlignment="1"/>
    <xf numFmtId="0" fontId="33" fillId="0" borderId="0" xfId="2" applyFont="1" applyFill="1"/>
    <xf numFmtId="0" fontId="4" fillId="2" borderId="0" xfId="0" applyFont="1" applyFill="1"/>
    <xf numFmtId="172" fontId="0" fillId="0" borderId="0" xfId="10" applyNumberFormat="1" applyFont="1" applyFill="1"/>
    <xf numFmtId="0" fontId="6" fillId="0" borderId="0" xfId="4" applyNumberFormat="1" applyFont="1" applyFill="1" applyBorder="1" applyAlignment="1">
      <alignment horizontal="left" wrapText="1"/>
    </xf>
    <xf numFmtId="165" fontId="0" fillId="0" borderId="0" xfId="0" applyNumberFormat="1" applyBorder="1"/>
    <xf numFmtId="172" fontId="0" fillId="0" borderId="0" xfId="10" applyNumberFormat="1" applyFont="1" applyFill="1" applyBorder="1"/>
    <xf numFmtId="165" fontId="1" fillId="0" borderId="0" xfId="10" applyNumberFormat="1" applyFont="1" applyBorder="1" applyAlignment="1"/>
    <xf numFmtId="165" fontId="4" fillId="7" borderId="0" xfId="10" applyNumberFormat="1" applyFont="1" applyFill="1" applyBorder="1" applyAlignment="1"/>
    <xf numFmtId="0" fontId="17" fillId="0" borderId="0" xfId="4" applyFont="1" applyBorder="1"/>
    <xf numFmtId="0" fontId="23" fillId="0" borderId="0" xfId="0" applyFont="1" applyBorder="1"/>
    <xf numFmtId="3" fontId="8" fillId="0" borderId="0" xfId="4" applyNumberFormat="1" applyFont="1" applyBorder="1" applyAlignment="1"/>
    <xf numFmtId="0" fontId="35" fillId="0" borderId="0" xfId="0" applyFont="1"/>
    <xf numFmtId="0" fontId="9" fillId="0" borderId="0" xfId="0" applyFont="1" applyBorder="1" applyAlignment="1">
      <alignment vertical="center"/>
    </xf>
    <xf numFmtId="0" fontId="10" fillId="4" borderId="0" xfId="0" applyFont="1" applyFill="1" applyBorder="1" applyAlignment="1">
      <alignment vertical="center"/>
    </xf>
    <xf numFmtId="0" fontId="6" fillId="0" borderId="0" xfId="0" applyFont="1" applyBorder="1" applyAlignment="1"/>
    <xf numFmtId="0" fontId="7" fillId="0" borderId="0" xfId="2" applyFont="1" applyFill="1" applyAlignment="1">
      <alignment horizontal="left" wrapText="1"/>
    </xf>
    <xf numFmtId="0" fontId="10" fillId="0" borderId="0" xfId="0" applyFont="1" applyBorder="1" applyAlignment="1">
      <alignment vertical="center"/>
    </xf>
    <xf numFmtId="0" fontId="32" fillId="10" borderId="20" xfId="12" applyFill="1"/>
    <xf numFmtId="0" fontId="32" fillId="10" borderId="0" xfId="12" applyFill="1" applyBorder="1"/>
    <xf numFmtId="0" fontId="10" fillId="4" borderId="22" xfId="4" applyNumberFormat="1" applyFont="1" applyFill="1" applyBorder="1" applyAlignment="1"/>
    <xf numFmtId="0" fontId="16" fillId="0" borderId="0" xfId="0" applyFont="1"/>
    <xf numFmtId="0" fontId="0" fillId="10" borderId="0" xfId="0" applyFill="1"/>
    <xf numFmtId="0" fontId="23" fillId="0" borderId="0" xfId="0" applyFont="1" applyFill="1"/>
    <xf numFmtId="0" fontId="22" fillId="0" borderId="0" xfId="0" applyFont="1" applyFill="1"/>
    <xf numFmtId="0" fontId="23" fillId="10" borderId="0" xfId="0" applyFont="1" applyFill="1"/>
    <xf numFmtId="4" fontId="17" fillId="0" borderId="2" xfId="4" applyNumberFormat="1" applyFont="1" applyBorder="1"/>
    <xf numFmtId="4" fontId="17" fillId="0" borderId="2" xfId="4" applyNumberFormat="1" applyFont="1" applyFill="1" applyBorder="1"/>
    <xf numFmtId="0" fontId="20" fillId="4" borderId="4" xfId="4" applyFont="1" applyFill="1" applyBorder="1" applyAlignment="1">
      <alignment horizontal="left"/>
    </xf>
    <xf numFmtId="3" fontId="20" fillId="4" borderId="4" xfId="4" applyNumberFormat="1" applyFont="1" applyFill="1" applyBorder="1" applyAlignment="1">
      <alignment horizontal="left" wrapText="1"/>
    </xf>
    <xf numFmtId="0" fontId="20" fillId="4" borderId="4" xfId="4" applyFont="1" applyFill="1" applyBorder="1" applyAlignment="1">
      <alignment horizontal="left" wrapText="1"/>
    </xf>
    <xf numFmtId="3" fontId="16" fillId="0" borderId="23" xfId="4" applyNumberFormat="1" applyFont="1" applyBorder="1" applyAlignment="1"/>
    <xf numFmtId="165" fontId="19" fillId="0" borderId="3" xfId="0" applyNumberFormat="1" applyFont="1" applyFill="1" applyBorder="1" applyAlignment="1"/>
    <xf numFmtId="0" fontId="20" fillId="6" borderId="17" xfId="4" applyNumberFormat="1" applyFont="1" applyFill="1" applyBorder="1" applyAlignment="1"/>
    <xf numFmtId="0" fontId="16" fillId="0" borderId="0" xfId="4" applyFont="1" applyFill="1" applyBorder="1" applyAlignment="1"/>
    <xf numFmtId="168" fontId="25" fillId="0" borderId="14" xfId="4" applyNumberFormat="1" applyFont="1" applyFill="1" applyBorder="1" applyAlignment="1"/>
    <xf numFmtId="0" fontId="10" fillId="4" borderId="0" xfId="4" applyNumberFormat="1" applyFont="1" applyFill="1" applyBorder="1" applyAlignment="1">
      <alignment horizontal="left"/>
    </xf>
    <xf numFmtId="0" fontId="10" fillId="4" borderId="0" xfId="4" applyNumberFormat="1" applyFont="1" applyFill="1" applyBorder="1" applyAlignment="1">
      <alignment horizontal="left" wrapText="1"/>
    </xf>
    <xf numFmtId="49" fontId="9" fillId="0" borderId="0" xfId="10" applyNumberFormat="1" applyFont="1"/>
    <xf numFmtId="0" fontId="42" fillId="3" borderId="20" xfId="12" applyNumberFormat="1" applyFont="1" applyFill="1" applyAlignment="1"/>
    <xf numFmtId="0" fontId="7" fillId="0" borderId="0" xfId="4" applyFont="1" applyAlignment="1">
      <alignment wrapText="1"/>
    </xf>
    <xf numFmtId="172" fontId="0" fillId="0" borderId="0" xfId="0" applyNumberFormat="1" applyBorder="1"/>
    <xf numFmtId="165" fontId="28" fillId="11" borderId="0" xfId="10" applyNumberFormat="1" applyFont="1" applyFill="1" applyBorder="1"/>
    <xf numFmtId="0" fontId="28" fillId="11" borderId="0" xfId="0" applyFont="1" applyFill="1" applyBorder="1"/>
    <xf numFmtId="0" fontId="44" fillId="0" borderId="0" xfId="0" applyFont="1"/>
    <xf numFmtId="0" fontId="3" fillId="10" borderId="1" xfId="3" applyFill="1" applyAlignment="1">
      <alignment horizontal="right"/>
    </xf>
    <xf numFmtId="49" fontId="4" fillId="7" borderId="0" xfId="10" applyNumberFormat="1" applyFont="1" applyFill="1" applyBorder="1" applyAlignment="1">
      <alignment horizontal="right"/>
    </xf>
    <xf numFmtId="49" fontId="4" fillId="7" borderId="0" xfId="0" applyNumberFormat="1" applyFont="1" applyFill="1" applyBorder="1" applyAlignment="1">
      <alignment horizontal="right"/>
    </xf>
    <xf numFmtId="49" fontId="4" fillId="2" borderId="0" xfId="0" applyNumberFormat="1" applyFont="1" applyFill="1" applyAlignment="1">
      <alignment horizontal="right"/>
    </xf>
    <xf numFmtId="49" fontId="4" fillId="2" borderId="0" xfId="0" applyNumberFormat="1" applyFont="1" applyFill="1" applyBorder="1" applyAlignment="1">
      <alignment horizontal="right"/>
    </xf>
    <xf numFmtId="0" fontId="15" fillId="0" borderId="0" xfId="4" applyFont="1" applyFill="1"/>
    <xf numFmtId="3" fontId="17" fillId="0" borderId="0" xfId="4" applyNumberFormat="1" applyFont="1" applyBorder="1" applyAlignment="1"/>
    <xf numFmtId="0" fontId="32" fillId="3" borderId="0" xfId="12" applyFill="1" applyBorder="1"/>
    <xf numFmtId="3" fontId="20" fillId="5" borderId="16" xfId="4" applyNumberFormat="1" applyFont="1" applyFill="1" applyBorder="1" applyAlignment="1">
      <alignment horizontal="right"/>
    </xf>
    <xf numFmtId="3" fontId="20" fillId="9" borderId="0" xfId="4" applyNumberFormat="1" applyFont="1" applyFill="1" applyBorder="1" applyAlignment="1"/>
    <xf numFmtId="0" fontId="25" fillId="0" borderId="10" xfId="4" applyNumberFormat="1" applyFont="1" applyFill="1" applyBorder="1" applyAlignment="1">
      <alignment wrapText="1"/>
    </xf>
    <xf numFmtId="10" fontId="0" fillId="0" borderId="0" xfId="0" applyNumberFormat="1"/>
    <xf numFmtId="10" fontId="0" fillId="0" borderId="0" xfId="0" applyNumberFormat="1" applyFont="1" applyFill="1" applyBorder="1"/>
    <xf numFmtId="0" fontId="45" fillId="0" borderId="0" xfId="0" applyFont="1" applyFill="1"/>
    <xf numFmtId="0" fontId="10" fillId="4" borderId="0" xfId="0" applyFont="1" applyFill="1" applyBorder="1" applyAlignment="1">
      <alignment horizontal="left" wrapText="1"/>
    </xf>
    <xf numFmtId="3" fontId="20" fillId="6" borderId="7" xfId="4" applyNumberFormat="1" applyFont="1" applyFill="1" applyBorder="1" applyAlignment="1"/>
    <xf numFmtId="0" fontId="20" fillId="6" borderId="7" xfId="4" applyNumberFormat="1" applyFont="1" applyFill="1" applyBorder="1" applyAlignment="1"/>
    <xf numFmtId="0" fontId="20" fillId="5" borderId="7" xfId="4" applyNumberFormat="1" applyFont="1" applyFill="1" applyBorder="1" applyAlignment="1"/>
    <xf numFmtId="0" fontId="20" fillId="6" borderId="21" xfId="4" applyNumberFormat="1" applyFont="1" applyFill="1" applyBorder="1" applyAlignment="1"/>
    <xf numFmtId="172" fontId="8" fillId="0" borderId="0" xfId="10" applyNumberFormat="1" applyFont="1"/>
    <xf numFmtId="43" fontId="8" fillId="0" borderId="0" xfId="4" applyNumberFormat="1" applyFont="1"/>
    <xf numFmtId="0" fontId="10" fillId="2" borderId="0" xfId="4" applyFont="1" applyFill="1" applyAlignment="1">
      <alignment wrapText="1"/>
    </xf>
    <xf numFmtId="172" fontId="9" fillId="0" borderId="24" xfId="10" applyNumberFormat="1" applyFont="1" applyFill="1" applyBorder="1"/>
    <xf numFmtId="172" fontId="6" fillId="0" borderId="16" xfId="10" applyNumberFormat="1" applyFont="1" applyFill="1" applyBorder="1"/>
    <xf numFmtId="3" fontId="6" fillId="0" borderId="16" xfId="0" applyNumberFormat="1" applyFont="1" applyFill="1" applyBorder="1"/>
    <xf numFmtId="0" fontId="20" fillId="6" borderId="18" xfId="4" applyFont="1" applyFill="1" applyBorder="1"/>
    <xf numFmtId="0" fontId="20" fillId="5" borderId="0" xfId="4" applyFont="1" applyFill="1"/>
    <xf numFmtId="3" fontId="20" fillId="6" borderId="0" xfId="4" applyNumberFormat="1" applyFont="1" applyFill="1"/>
    <xf numFmtId="0" fontId="20" fillId="6" borderId="0" xfId="4" applyFont="1" applyFill="1" applyAlignment="1">
      <alignment wrapText="1"/>
    </xf>
    <xf numFmtId="0" fontId="20" fillId="6" borderId="0" xfId="4" applyFont="1" applyFill="1"/>
    <xf numFmtId="0" fontId="16" fillId="0" borderId="10" xfId="4" applyNumberFormat="1" applyFont="1" applyFill="1" applyBorder="1" applyAlignment="1">
      <alignment wrapText="1"/>
    </xf>
    <xf numFmtId="168" fontId="16" fillId="0" borderId="5" xfId="8" applyNumberFormat="1" applyFont="1" applyFill="1" applyBorder="1"/>
    <xf numFmtId="0" fontId="29" fillId="0" borderId="0" xfId="0" applyFont="1" applyAlignment="1">
      <alignment wrapText="1"/>
    </xf>
    <xf numFmtId="0" fontId="10" fillId="4" borderId="3" xfId="4" applyFont="1" applyFill="1" applyBorder="1" applyAlignment="1">
      <alignment horizontal="left"/>
    </xf>
    <xf numFmtId="0" fontId="10" fillId="4" borderId="2" xfId="4" applyFont="1" applyFill="1" applyBorder="1" applyAlignment="1">
      <alignment horizontal="left"/>
    </xf>
    <xf numFmtId="9" fontId="36" fillId="11" borderId="0" xfId="0" applyNumberFormat="1" applyFont="1" applyFill="1" applyBorder="1"/>
    <xf numFmtId="165" fontId="0" fillId="0" borderId="0" xfId="10" applyNumberFormat="1" applyFont="1" applyFill="1" applyBorder="1"/>
    <xf numFmtId="165" fontId="28" fillId="11" borderId="0" xfId="0" applyNumberFormat="1" applyFont="1" applyFill="1" applyBorder="1"/>
    <xf numFmtId="0" fontId="43" fillId="11" borderId="0" xfId="0" applyFont="1" applyFill="1" applyBorder="1"/>
    <xf numFmtId="0" fontId="36" fillId="11" borderId="0" xfId="0" applyFont="1" applyFill="1" applyBorder="1"/>
    <xf numFmtId="0" fontId="0" fillId="0" borderId="0" xfId="0" quotePrefix="1" applyBorder="1"/>
    <xf numFmtId="0" fontId="6" fillId="0" borderId="0" xfId="0" applyFont="1" applyFill="1" applyBorder="1"/>
    <xf numFmtId="0" fontId="46" fillId="0" borderId="0" xfId="0" applyFont="1" applyBorder="1"/>
    <xf numFmtId="3" fontId="46" fillId="0" borderId="0" xfId="0" applyNumberFormat="1" applyFont="1" applyBorder="1"/>
    <xf numFmtId="3" fontId="6" fillId="0" borderId="0" xfId="0" applyNumberFormat="1" applyFont="1" applyBorder="1"/>
    <xf numFmtId="3" fontId="6" fillId="0" borderId="0" xfId="0" applyNumberFormat="1" applyFont="1" applyFill="1" applyBorder="1"/>
    <xf numFmtId="0" fontId="9" fillId="0" borderId="0" xfId="0" applyFont="1" applyBorder="1"/>
    <xf numFmtId="3" fontId="9" fillId="0" borderId="0" xfId="0" applyNumberFormat="1" applyFont="1" applyFill="1" applyBorder="1"/>
    <xf numFmtId="3" fontId="9" fillId="0" borderId="0" xfId="0" applyNumberFormat="1" applyFont="1" applyBorder="1" applyAlignment="1">
      <alignment horizontal="right"/>
    </xf>
    <xf numFmtId="3" fontId="0" fillId="0" borderId="0" xfId="0" applyNumberFormat="1" applyFont="1" applyFill="1" applyBorder="1" applyAlignment="1"/>
    <xf numFmtId="0" fontId="9" fillId="0" borderId="0" xfId="0" applyFont="1" applyBorder="1" applyAlignment="1"/>
    <xf numFmtId="165" fontId="11" fillId="0" borderId="0" xfId="0" applyNumberFormat="1" applyFont="1" applyFill="1" applyBorder="1" applyAlignment="1"/>
    <xf numFmtId="0" fontId="31" fillId="0" borderId="0" xfId="0" applyFont="1" applyBorder="1" applyAlignment="1"/>
    <xf numFmtId="0" fontId="7" fillId="0" borderId="0" xfId="0" applyFont="1" applyFill="1" applyBorder="1" applyAlignment="1"/>
    <xf numFmtId="0" fontId="0" fillId="0" borderId="0" xfId="0" applyBorder="1" applyAlignment="1"/>
    <xf numFmtId="0" fontId="28" fillId="3" borderId="0" xfId="0" applyFont="1" applyFill="1" applyBorder="1" applyAlignment="1"/>
    <xf numFmtId="43" fontId="0" fillId="0" borderId="0" xfId="10" applyFont="1" applyBorder="1" applyAlignment="1"/>
    <xf numFmtId="10" fontId="0" fillId="0" borderId="0" xfId="9" applyNumberFormat="1" applyFont="1" applyFill="1" applyBorder="1" applyAlignment="1"/>
    <xf numFmtId="0" fontId="28" fillId="0" borderId="0" xfId="0" applyFont="1" applyBorder="1" applyAlignment="1"/>
    <xf numFmtId="43" fontId="28" fillId="0" borderId="0" xfId="10" applyFont="1" applyBorder="1" applyAlignment="1"/>
    <xf numFmtId="10" fontId="28" fillId="0" borderId="0" xfId="9" applyNumberFormat="1" applyFont="1" applyFill="1" applyBorder="1" applyAlignment="1"/>
    <xf numFmtId="10" fontId="0" fillId="0" borderId="0" xfId="0" applyNumberFormat="1" applyBorder="1" applyAlignment="1"/>
    <xf numFmtId="10" fontId="28" fillId="0" borderId="0" xfId="0" applyNumberFormat="1" applyFont="1" applyBorder="1" applyAlignment="1"/>
    <xf numFmtId="172" fontId="0" fillId="0" borderId="0" xfId="10" applyNumberFormat="1" applyFont="1" applyBorder="1" applyAlignment="1"/>
    <xf numFmtId="169" fontId="0" fillId="0" borderId="0" xfId="9" applyNumberFormat="1" applyFont="1" applyBorder="1" applyAlignment="1"/>
    <xf numFmtId="165" fontId="0" fillId="0" borderId="0" xfId="0" applyNumberFormat="1" applyBorder="1" applyAlignment="1"/>
    <xf numFmtId="3" fontId="16" fillId="0" borderId="0" xfId="4" applyNumberFormat="1" applyFont="1" applyFill="1" applyBorder="1" applyAlignment="1"/>
    <xf numFmtId="173" fontId="16" fillId="0" borderId="0" xfId="9" applyNumberFormat="1" applyFont="1" applyFill="1" applyBorder="1" applyAlignment="1"/>
    <xf numFmtId="165" fontId="23" fillId="0" borderId="3" xfId="0" applyNumberFormat="1" applyFont="1" applyBorder="1" applyAlignment="1"/>
    <xf numFmtId="3" fontId="16" fillId="0" borderId="15" xfId="4" applyNumberFormat="1" applyFont="1" applyBorder="1" applyAlignment="1"/>
    <xf numFmtId="165" fontId="19" fillId="0" borderId="3" xfId="0" applyNumberFormat="1" applyFont="1" applyBorder="1" applyAlignment="1"/>
    <xf numFmtId="0" fontId="20" fillId="6" borderId="17" xfId="0" applyNumberFormat="1" applyFont="1" applyFill="1" applyBorder="1" applyAlignment="1">
      <alignment horizontal="left" wrapText="1"/>
    </xf>
    <xf numFmtId="0" fontId="20" fillId="6" borderId="0" xfId="0" applyNumberFormat="1" applyFont="1" applyFill="1" applyBorder="1" applyAlignment="1">
      <alignment horizontal="right"/>
    </xf>
    <xf numFmtId="0" fontId="23" fillId="0" borderId="0" xfId="5" applyNumberFormat="1" applyFont="1" applyBorder="1" applyAlignment="1"/>
    <xf numFmtId="0" fontId="16" fillId="0" borderId="0" xfId="4" applyNumberFormat="1" applyFont="1" applyBorder="1" applyAlignment="1"/>
    <xf numFmtId="3" fontId="16" fillId="0" borderId="0" xfId="4" applyNumberFormat="1" applyFont="1" applyBorder="1" applyAlignment="1"/>
    <xf numFmtId="166" fontId="16" fillId="0" borderId="0" xfId="4" applyNumberFormat="1" applyFont="1" applyBorder="1" applyAlignment="1"/>
    <xf numFmtId="166" fontId="17" fillId="0" borderId="0" xfId="4" applyNumberFormat="1" applyFont="1" applyBorder="1" applyAlignment="1"/>
    <xf numFmtId="168" fontId="17" fillId="0" borderId="0" xfId="8" applyNumberFormat="1" applyFont="1" applyBorder="1"/>
    <xf numFmtId="0" fontId="17" fillId="0" borderId="0" xfId="4" applyNumberFormat="1" applyFont="1" applyBorder="1" applyAlignment="1"/>
    <xf numFmtId="168" fontId="17" fillId="0" borderId="0" xfId="9" applyNumberFormat="1" applyFont="1" applyBorder="1" applyAlignment="1"/>
    <xf numFmtId="0" fontId="20" fillId="9" borderId="0" xfId="4" applyFont="1" applyFill="1"/>
    <xf numFmtId="168" fontId="16" fillId="0" borderId="14" xfId="4" applyNumberFormat="1" applyFont="1" applyFill="1" applyBorder="1" applyAlignment="1"/>
    <xf numFmtId="3" fontId="23" fillId="0" borderId="0" xfId="4" applyNumberFormat="1" applyFont="1" applyBorder="1" applyAlignment="1"/>
    <xf numFmtId="3" fontId="19" fillId="0" borderId="0" xfId="4" applyNumberFormat="1" applyFont="1" applyBorder="1" applyAlignment="1"/>
    <xf numFmtId="169" fontId="19" fillId="0" borderId="0" xfId="9" applyNumberFormat="1" applyFont="1" applyBorder="1"/>
    <xf numFmtId="165" fontId="23" fillId="0" borderId="0" xfId="13" applyNumberFormat="1" applyFont="1" applyBorder="1"/>
    <xf numFmtId="0" fontId="20" fillId="4" borderId="0" xfId="13" applyFont="1" applyFill="1" applyBorder="1" applyAlignment="1">
      <alignment horizontal="left" wrapText="1"/>
    </xf>
    <xf numFmtId="0" fontId="23" fillId="0" borderId="0" xfId="13" applyFont="1" applyBorder="1"/>
    <xf numFmtId="172" fontId="23" fillId="0" borderId="0" xfId="10" applyNumberFormat="1" applyFont="1" applyBorder="1"/>
    <xf numFmtId="0" fontId="40" fillId="12" borderId="10" xfId="15" applyFont="1" applyBorder="1" applyAlignment="1">
      <alignment horizontal="left" wrapText="1"/>
    </xf>
    <xf numFmtId="0" fontId="40" fillId="12" borderId="5" xfId="15" applyFont="1" applyBorder="1" applyAlignment="1">
      <alignment horizontal="left" wrapText="1"/>
    </xf>
    <xf numFmtId="0" fontId="40" fillId="12" borderId="25" xfId="15" applyFont="1" applyBorder="1" applyAlignment="1">
      <alignment horizontal="left" wrapText="1"/>
    </xf>
    <xf numFmtId="165" fontId="23" fillId="0" borderId="9" xfId="13" applyNumberFormat="1" applyFont="1" applyBorder="1"/>
    <xf numFmtId="165" fontId="23" fillId="0" borderId="26" xfId="13" applyNumberFormat="1" applyFont="1" applyBorder="1"/>
    <xf numFmtId="165" fontId="23" fillId="0" borderId="27" xfId="13" applyNumberFormat="1" applyFont="1" applyBorder="1"/>
    <xf numFmtId="165" fontId="23" fillId="0" borderId="4" xfId="13" applyNumberFormat="1" applyFont="1" applyBorder="1"/>
    <xf numFmtId="165" fontId="23" fillId="0" borderId="28" xfId="13" applyNumberFormat="1" applyFont="1" applyBorder="1"/>
    <xf numFmtId="0" fontId="20" fillId="13" borderId="10" xfId="13" applyFont="1" applyFill="1" applyBorder="1" applyAlignment="1">
      <alignment horizontal="left" wrapText="1"/>
    </xf>
    <xf numFmtId="0" fontId="20" fillId="13" borderId="5" xfId="13" applyFont="1" applyFill="1" applyBorder="1" applyAlignment="1">
      <alignment horizontal="left" wrapText="1"/>
    </xf>
    <xf numFmtId="0" fontId="20" fillId="13" borderId="25" xfId="13" applyFont="1" applyFill="1" applyBorder="1" applyAlignment="1">
      <alignment horizontal="left" wrapText="1"/>
    </xf>
    <xf numFmtId="0" fontId="20" fillId="14" borderId="10" xfId="13" applyFont="1" applyFill="1" applyBorder="1" applyAlignment="1">
      <alignment horizontal="left" wrapText="1"/>
    </xf>
    <xf numFmtId="0" fontId="7" fillId="0" borderId="0" xfId="5" applyNumberFormat="1" applyFont="1" applyBorder="1" applyAlignment="1"/>
    <xf numFmtId="166" fontId="6" fillId="0" borderId="0" xfId="0" applyNumberFormat="1" applyFont="1" applyBorder="1"/>
    <xf numFmtId="166" fontId="6" fillId="0" borderId="0" xfId="0" applyNumberFormat="1" applyFont="1" applyFill="1" applyBorder="1"/>
    <xf numFmtId="166" fontId="6" fillId="0" borderId="9" xfId="0" applyNumberFormat="1" applyFont="1" applyBorder="1"/>
    <xf numFmtId="166" fontId="8" fillId="0" borderId="0" xfId="0" applyNumberFormat="1" applyFont="1" applyBorder="1"/>
    <xf numFmtId="0" fontId="6" fillId="0" borderId="0" xfId="5" applyNumberFormat="1" applyFont="1" applyBorder="1" applyAlignment="1"/>
    <xf numFmtId="3" fontId="7" fillId="0" borderId="0" xfId="4" applyNumberFormat="1" applyFont="1" applyFill="1" applyBorder="1" applyAlignment="1"/>
    <xf numFmtId="174" fontId="7" fillId="0" borderId="0" xfId="4" applyNumberFormat="1" applyFont="1" applyFill="1" applyBorder="1" applyAlignment="1"/>
    <xf numFmtId="170" fontId="7" fillId="0" borderId="0" xfId="4" applyNumberFormat="1" applyFont="1" applyFill="1" applyBorder="1" applyAlignment="1"/>
    <xf numFmtId="3" fontId="8" fillId="0" borderId="0" xfId="4" applyNumberFormat="1" applyFont="1" applyFill="1" applyBorder="1" applyAlignment="1"/>
    <xf numFmtId="174" fontId="8" fillId="0" borderId="0" xfId="4" applyNumberFormat="1" applyFont="1" applyFill="1" applyBorder="1" applyAlignment="1"/>
    <xf numFmtId="170" fontId="8" fillId="0" borderId="0" xfId="4" applyNumberFormat="1" applyFont="1" applyFill="1" applyBorder="1" applyAlignment="1"/>
    <xf numFmtId="167" fontId="7" fillId="0" borderId="0" xfId="4" applyNumberFormat="1" applyFont="1" applyBorder="1" applyAlignment="1"/>
    <xf numFmtId="166" fontId="7" fillId="0" borderId="0" xfId="4" applyNumberFormat="1" applyFont="1" applyBorder="1" applyAlignment="1"/>
    <xf numFmtId="0" fontId="7" fillId="0" borderId="0" xfId="4" applyNumberFormat="1" applyFont="1" applyFill="1" applyBorder="1" applyAlignment="1"/>
    <xf numFmtId="175" fontId="7" fillId="0" borderId="0" xfId="4" applyNumberFormat="1" applyFont="1" applyBorder="1" applyAlignment="1"/>
    <xf numFmtId="2" fontId="7" fillId="0" borderId="0" xfId="4" applyNumberFormat="1" applyFont="1" applyBorder="1" applyAlignment="1"/>
    <xf numFmtId="167" fontId="8" fillId="0" borderId="0" xfId="4" applyNumberFormat="1" applyFont="1" applyBorder="1" applyAlignment="1"/>
    <xf numFmtId="166" fontId="8" fillId="0" borderId="0" xfId="4" applyNumberFormat="1" applyFont="1" applyBorder="1" applyAlignment="1"/>
    <xf numFmtId="0" fontId="8" fillId="0" borderId="0" xfId="4" applyNumberFormat="1" applyFont="1" applyFill="1" applyBorder="1" applyAlignment="1"/>
    <xf numFmtId="175" fontId="8" fillId="0" borderId="0" xfId="4" applyNumberFormat="1" applyFont="1" applyBorder="1" applyAlignment="1"/>
    <xf numFmtId="2" fontId="8" fillId="0" borderId="0" xfId="4" applyNumberFormat="1" applyFont="1" applyBorder="1" applyAlignment="1"/>
    <xf numFmtId="3" fontId="7" fillId="0" borderId="0" xfId="4" applyNumberFormat="1" applyFont="1" applyFill="1" applyAlignment="1"/>
    <xf numFmtId="0" fontId="10" fillId="4" borderId="0" xfId="4" applyNumberFormat="1" applyFont="1" applyFill="1" applyAlignment="1">
      <alignment wrapText="1"/>
    </xf>
    <xf numFmtId="3" fontId="8" fillId="0" borderId="0" xfId="4" applyNumberFormat="1" applyFont="1" applyFill="1" applyAlignment="1"/>
    <xf numFmtId="4" fontId="7" fillId="0" borderId="0" xfId="4" applyNumberFormat="1" applyFont="1" applyFill="1" applyAlignment="1"/>
    <xf numFmtId="4" fontId="8" fillId="0" borderId="0" xfId="4" applyNumberFormat="1" applyFont="1" applyFill="1" applyAlignment="1"/>
    <xf numFmtId="170" fontId="16" fillId="0" borderId="0" xfId="4" applyNumberFormat="1" applyFont="1" applyBorder="1" applyAlignment="1"/>
    <xf numFmtId="170" fontId="17" fillId="0" borderId="0" xfId="4" applyNumberFormat="1" applyFont="1" applyBorder="1" applyAlignment="1"/>
    <xf numFmtId="166" fontId="16" fillId="0" borderId="0" xfId="4" applyNumberFormat="1" applyFont="1" applyFill="1" applyBorder="1" applyAlignment="1"/>
    <xf numFmtId="166" fontId="17" fillId="0" borderId="0" xfId="4" applyNumberFormat="1" applyFont="1" applyFill="1" applyBorder="1" applyAlignment="1"/>
    <xf numFmtId="166" fontId="16" fillId="0" borderId="0" xfId="4" applyNumberFormat="1" applyFont="1" applyFill="1" applyAlignment="1"/>
    <xf numFmtId="0" fontId="20" fillId="5" borderId="0" xfId="4" applyNumberFormat="1" applyFont="1" applyFill="1" applyAlignment="1">
      <alignment horizontal="left" wrapText="1"/>
    </xf>
    <xf numFmtId="3" fontId="16" fillId="0" borderId="0" xfId="4" applyNumberFormat="1" applyFont="1" applyFill="1" applyAlignment="1"/>
    <xf numFmtId="3" fontId="17" fillId="0" borderId="0" xfId="4" applyNumberFormat="1" applyFont="1" applyFill="1" applyAlignment="1"/>
    <xf numFmtId="3" fontId="47" fillId="0" borderId="0" xfId="4" applyNumberFormat="1" applyFont="1" applyFill="1" applyAlignment="1"/>
    <xf numFmtId="166" fontId="17" fillId="0" borderId="0" xfId="4" applyNumberFormat="1" applyFont="1" applyFill="1" applyAlignment="1"/>
    <xf numFmtId="3" fontId="48" fillId="0" borderId="0" xfId="4" applyNumberFormat="1" applyFont="1" applyFill="1" applyAlignment="1"/>
    <xf numFmtId="168" fontId="16" fillId="0" borderId="0" xfId="8" applyNumberFormat="1" applyFont="1" applyFill="1" applyBorder="1"/>
    <xf numFmtId="168" fontId="16" fillId="0" borderId="0" xfId="4" applyNumberFormat="1" applyFont="1" applyFill="1" applyBorder="1"/>
    <xf numFmtId="168" fontId="25" fillId="0" borderId="0" xfId="9" applyNumberFormat="1" applyFont="1" applyFill="1" applyBorder="1"/>
    <xf numFmtId="0" fontId="10" fillId="4" borderId="29" xfId="4" applyNumberFormat="1" applyFont="1" applyFill="1" applyBorder="1" applyAlignment="1">
      <alignment horizontal="left"/>
    </xf>
    <xf numFmtId="0" fontId="10" fillId="4" borderId="2" xfId="4" applyNumberFormat="1" applyFont="1" applyFill="1" applyBorder="1" applyAlignment="1">
      <alignment horizontal="left"/>
    </xf>
    <xf numFmtId="0" fontId="10" fillId="4" borderId="2" xfId="4" applyNumberFormat="1" applyFont="1" applyFill="1" applyBorder="1" applyAlignment="1">
      <alignment horizontal="left" wrapText="1"/>
    </xf>
    <xf numFmtId="0" fontId="7" fillId="0" borderId="15" xfId="5" applyNumberFormat="1" applyFont="1" applyBorder="1" applyAlignment="1"/>
    <xf numFmtId="49" fontId="9" fillId="0" borderId="16" xfId="10" applyNumberFormat="1" applyFont="1" applyBorder="1"/>
    <xf numFmtId="172" fontId="6" fillId="0" borderId="16" xfId="10" applyNumberFormat="1" applyFont="1" applyBorder="1"/>
    <xf numFmtId="3" fontId="6" fillId="0" borderId="16" xfId="0" applyNumberFormat="1" applyFont="1" applyBorder="1"/>
    <xf numFmtId="165" fontId="6" fillId="0" borderId="16" xfId="0" applyNumberFormat="1" applyFont="1" applyBorder="1"/>
    <xf numFmtId="3" fontId="9" fillId="0" borderId="16" xfId="0" applyNumberFormat="1" applyFont="1" applyBorder="1"/>
    <xf numFmtId="0" fontId="7" fillId="0" borderId="15" xfId="4" applyNumberFormat="1" applyFont="1" applyBorder="1" applyAlignment="1"/>
    <xf numFmtId="172" fontId="9" fillId="0" borderId="16" xfId="10" applyNumberFormat="1" applyFont="1" applyBorder="1"/>
    <xf numFmtId="165" fontId="9" fillId="0" borderId="16" xfId="0" applyNumberFormat="1" applyFont="1" applyBorder="1"/>
    <xf numFmtId="165" fontId="6" fillId="0" borderId="16" xfId="9" applyNumberFormat="1" applyFont="1" applyBorder="1"/>
    <xf numFmtId="3" fontId="6" fillId="0" borderId="16" xfId="9" applyNumberFormat="1" applyFont="1" applyBorder="1"/>
    <xf numFmtId="165" fontId="9" fillId="0" borderId="16" xfId="9" applyNumberFormat="1" applyFont="1" applyBorder="1"/>
    <xf numFmtId="3" fontId="9" fillId="0" borderId="16" xfId="9" applyNumberFormat="1" applyFont="1" applyBorder="1"/>
    <xf numFmtId="0" fontId="28" fillId="0" borderId="0" xfId="0" applyFont="1"/>
    <xf numFmtId="3" fontId="6" fillId="0" borderId="2" xfId="0" applyNumberFormat="1" applyFont="1" applyBorder="1"/>
    <xf numFmtId="0" fontId="4" fillId="4" borderId="2" xfId="0" applyFont="1" applyFill="1" applyBorder="1" applyAlignment="1">
      <alignment wrapText="1"/>
    </xf>
    <xf numFmtId="172" fontId="6" fillId="0" borderId="2" xfId="10" applyNumberFormat="1" applyFont="1" applyBorder="1"/>
    <xf numFmtId="165" fontId="6" fillId="0" borderId="2" xfId="9" applyNumberFormat="1" applyFont="1" applyBorder="1"/>
    <xf numFmtId="3" fontId="6" fillId="0" borderId="2" xfId="9" applyNumberFormat="1" applyFont="1" applyBorder="1"/>
    <xf numFmtId="10" fontId="6" fillId="0" borderId="2" xfId="9" applyNumberFormat="1" applyFont="1" applyBorder="1"/>
    <xf numFmtId="10" fontId="9" fillId="0" borderId="2" xfId="9" applyNumberFormat="1" applyFont="1" applyBorder="1"/>
    <xf numFmtId="3" fontId="9" fillId="0" borderId="2" xfId="0" applyNumberFormat="1" applyFont="1" applyBorder="1"/>
    <xf numFmtId="0" fontId="1" fillId="0" borderId="0" xfId="0" applyFont="1" applyAlignment="1">
      <alignment horizontal="left"/>
    </xf>
    <xf numFmtId="0" fontId="0" fillId="0" borderId="9" xfId="0" applyBorder="1"/>
    <xf numFmtId="0" fontId="0" fillId="0" borderId="27" xfId="0" applyBorder="1"/>
    <xf numFmtId="0" fontId="7" fillId="0" borderId="2" xfId="0" applyFont="1" applyBorder="1" applyAlignment="1">
      <alignment vertical="center"/>
    </xf>
    <xf numFmtId="0" fontId="7" fillId="0" borderId="8" xfId="0" applyFont="1" applyBorder="1" applyAlignment="1">
      <alignment vertical="center"/>
    </xf>
    <xf numFmtId="174" fontId="0" fillId="0" borderId="26" xfId="0" applyNumberFormat="1" applyBorder="1" applyAlignment="1">
      <alignment horizontal="right"/>
    </xf>
    <xf numFmtId="174" fontId="0" fillId="0" borderId="28" xfId="0" applyNumberFormat="1" applyBorder="1" applyAlignment="1">
      <alignment horizontal="right"/>
    </xf>
    <xf numFmtId="0" fontId="7" fillId="0" borderId="0" xfId="0" applyFont="1" applyFill="1" applyBorder="1" applyAlignment="1">
      <alignment vertical="center"/>
    </xf>
    <xf numFmtId="0" fontId="7" fillId="0" borderId="0" xfId="0" applyFont="1" applyFill="1" applyAlignment="1">
      <alignment vertical="center"/>
    </xf>
    <xf numFmtId="0" fontId="7" fillId="3" borderId="0" xfId="4" applyFont="1" applyFill="1"/>
    <xf numFmtId="0" fontId="7" fillId="3" borderId="0" xfId="4" applyNumberFormat="1" applyFont="1" applyFill="1" applyBorder="1" applyAlignment="1"/>
    <xf numFmtId="3" fontId="6" fillId="0" borderId="0" xfId="0" applyNumberFormat="1" applyFont="1" applyBorder="1" applyAlignment="1">
      <alignment horizontal="center"/>
    </xf>
    <xf numFmtId="3" fontId="6" fillId="0" borderId="2" xfId="0" applyNumberFormat="1" applyFont="1" applyBorder="1" applyAlignment="1">
      <alignment horizontal="center"/>
    </xf>
    <xf numFmtId="0" fontId="29" fillId="0" borderId="0" xfId="0" applyFont="1" applyAlignment="1">
      <alignment horizontal="left" vertical="top" wrapText="1"/>
    </xf>
    <xf numFmtId="10" fontId="9" fillId="0" borderId="0" xfId="9" applyNumberFormat="1" applyFont="1" applyBorder="1"/>
    <xf numFmtId="0" fontId="32" fillId="3" borderId="0" xfId="12" applyFill="1" applyBorder="1" applyAlignment="1">
      <alignment horizontal="left"/>
    </xf>
    <xf numFmtId="0" fontId="4" fillId="4" borderId="0" xfId="0" applyFont="1" applyFill="1" applyBorder="1" applyAlignment="1">
      <alignment wrapText="1"/>
    </xf>
    <xf numFmtId="10" fontId="6" fillId="0" borderId="0" xfId="9" applyNumberFormat="1" applyFont="1" applyBorder="1"/>
    <xf numFmtId="0" fontId="49" fillId="4" borderId="2" xfId="4" applyNumberFormat="1" applyFont="1" applyFill="1" applyBorder="1" applyAlignment="1">
      <alignment horizontal="left" wrapText="1"/>
    </xf>
    <xf numFmtId="0" fontId="4" fillId="15" borderId="0" xfId="16" applyFont="1" applyAlignment="1">
      <alignment horizontal="left" wrapText="1"/>
    </xf>
    <xf numFmtId="0" fontId="4" fillId="15" borderId="2" xfId="16" applyFont="1" applyBorder="1" applyAlignment="1">
      <alignment horizontal="left" wrapText="1"/>
    </xf>
    <xf numFmtId="3" fontId="6" fillId="0" borderId="16" xfId="10" applyNumberFormat="1" applyFont="1" applyBorder="1"/>
    <xf numFmtId="0" fontId="50" fillId="15" borderId="2" xfId="16" applyFont="1" applyBorder="1" applyAlignment="1">
      <alignment horizontal="left" wrapText="1"/>
    </xf>
    <xf numFmtId="0" fontId="32" fillId="8" borderId="20" xfId="12" applyFill="1"/>
    <xf numFmtId="3" fontId="32" fillId="3" borderId="20" xfId="12" applyNumberFormat="1" applyFill="1"/>
    <xf numFmtId="3" fontId="6" fillId="0" borderId="0" xfId="0" applyNumberFormat="1" applyFont="1" applyBorder="1" applyAlignment="1">
      <alignment horizontal="left"/>
    </xf>
    <xf numFmtId="3" fontId="6" fillId="0" borderId="0" xfId="0" applyNumberFormat="1" applyFont="1" applyFill="1" applyBorder="1" applyAlignment="1">
      <alignment horizontal="left"/>
    </xf>
    <xf numFmtId="165" fontId="1" fillId="16" borderId="0" xfId="10" applyNumberFormat="1" applyFont="1" applyFill="1" applyBorder="1" applyAlignment="1"/>
    <xf numFmtId="166" fontId="8" fillId="0" borderId="9" xfId="7" applyNumberFormat="1" applyFont="1" applyFill="1" applyBorder="1" applyAlignment="1"/>
    <xf numFmtId="166" fontId="8" fillId="0" borderId="0" xfId="7" applyNumberFormat="1" applyFont="1" applyFill="1" applyBorder="1" applyAlignment="1"/>
    <xf numFmtId="174" fontId="7" fillId="0" borderId="2" xfId="0" applyNumberFormat="1" applyFont="1" applyBorder="1" applyAlignment="1">
      <alignment vertical="center"/>
    </xf>
    <xf numFmtId="174" fontId="7" fillId="0" borderId="8" xfId="0" applyNumberFormat="1" applyFont="1" applyBorder="1" applyAlignment="1">
      <alignment vertical="center"/>
    </xf>
    <xf numFmtId="174" fontId="7" fillId="0" borderId="0" xfId="0" applyNumberFormat="1" applyFont="1" applyFill="1" applyBorder="1" applyAlignment="1">
      <alignment vertical="center"/>
    </xf>
    <xf numFmtId="174" fontId="7" fillId="0" borderId="0" xfId="0" applyNumberFormat="1" applyFont="1" applyFill="1" applyAlignment="1">
      <alignment vertical="center"/>
    </xf>
    <xf numFmtId="169" fontId="6" fillId="0" borderId="16" xfId="9" applyNumberFormat="1" applyFont="1" applyBorder="1"/>
    <xf numFmtId="169" fontId="9" fillId="0" borderId="16" xfId="9" applyNumberFormat="1" applyFont="1" applyBorder="1"/>
    <xf numFmtId="165" fontId="38" fillId="0" borderId="0" xfId="0" applyNumberFormat="1" applyFont="1"/>
    <xf numFmtId="165" fontId="7" fillId="0" borderId="0" xfId="4" applyNumberFormat="1" applyFont="1"/>
    <xf numFmtId="165" fontId="6" fillId="0" borderId="0" xfId="0" applyNumberFormat="1" applyFont="1"/>
    <xf numFmtId="165" fontId="0" fillId="0" borderId="0" xfId="0" applyNumberFormat="1" applyAlignment="1"/>
    <xf numFmtId="165" fontId="52" fillId="0" borderId="0" xfId="0" applyNumberFormat="1" applyFont="1" applyAlignment="1">
      <alignment vertical="center" wrapText="1"/>
    </xf>
    <xf numFmtId="165" fontId="53" fillId="0" borderId="0" xfId="0" applyNumberFormat="1" applyFont="1" applyAlignment="1">
      <alignment vertical="center" wrapText="1"/>
    </xf>
    <xf numFmtId="165" fontId="6" fillId="0" borderId="0" xfId="0" applyNumberFormat="1" applyFont="1" applyAlignment="1">
      <alignment vertical="center" wrapText="1"/>
    </xf>
    <xf numFmtId="165" fontId="9" fillId="0" borderId="0" xfId="10" applyNumberFormat="1" applyFont="1" applyFill="1" applyBorder="1"/>
    <xf numFmtId="170" fontId="0" fillId="0" borderId="0" xfId="0" applyNumberFormat="1"/>
    <xf numFmtId="165" fontId="12" fillId="0" borderId="0" xfId="4" applyNumberFormat="1" applyFont="1"/>
    <xf numFmtId="165" fontId="7" fillId="0" borderId="0" xfId="4" applyNumberFormat="1" applyFont="1" applyFill="1"/>
    <xf numFmtId="165" fontId="30" fillId="0" borderId="0" xfId="0" applyNumberFormat="1" applyFont="1"/>
    <xf numFmtId="0" fontId="20" fillId="6" borderId="7" xfId="4" applyNumberFormat="1" applyFont="1" applyFill="1" applyBorder="1" applyAlignment="1">
      <alignment horizontal="left" wrapText="1"/>
    </xf>
    <xf numFmtId="0" fontId="20" fillId="6" borderId="0" xfId="4" applyNumberFormat="1" applyFont="1" applyFill="1" applyBorder="1" applyAlignment="1">
      <alignment horizontal="left"/>
    </xf>
    <xf numFmtId="0" fontId="20" fillId="6" borderId="0" xfId="4" applyNumberFormat="1" applyFont="1" applyFill="1" applyBorder="1" applyAlignment="1">
      <alignment horizontal="left" wrapText="1"/>
    </xf>
    <xf numFmtId="166" fontId="6" fillId="0" borderId="9" xfId="0" applyNumberFormat="1" applyFont="1" applyFill="1" applyBorder="1"/>
    <xf numFmtId="166" fontId="8" fillId="0" borderId="9" xfId="0" applyNumberFormat="1" applyFont="1" applyBorder="1"/>
    <xf numFmtId="0" fontId="9" fillId="0" borderId="0" xfId="4" applyFont="1" applyAlignment="1">
      <alignment horizontal="left" vertical="center" wrapText="1"/>
    </xf>
    <xf numFmtId="0" fontId="0" fillId="0" borderId="0" xfId="0" applyFont="1" applyAlignment="1">
      <alignment horizontal="left" wrapText="1"/>
    </xf>
    <xf numFmtId="0" fontId="6" fillId="0" borderId="0" xfId="0" applyFont="1" applyAlignment="1">
      <alignment horizontal="left" wrapText="1"/>
    </xf>
    <xf numFmtId="0" fontId="6" fillId="0" borderId="0" xfId="0" applyFont="1" applyFill="1" applyAlignment="1">
      <alignment horizontal="left" wrapText="1"/>
    </xf>
    <xf numFmtId="0" fontId="6" fillId="0" borderId="0" xfId="4" applyFont="1" applyAlignment="1">
      <alignment horizontal="left" wrapText="1"/>
    </xf>
    <xf numFmtId="0" fontId="29" fillId="0" borderId="0" xfId="0" applyFont="1" applyAlignment="1">
      <alignment horizontal="left" vertical="top" wrapText="1"/>
    </xf>
    <xf numFmtId="0" fontId="7" fillId="3" borderId="0" xfId="4" applyNumberFormat="1" applyFont="1" applyFill="1" applyBorder="1" applyAlignment="1">
      <alignment horizontal="left" vertical="top" wrapText="1"/>
    </xf>
    <xf numFmtId="0" fontId="16" fillId="0" borderId="0" xfId="0" applyFont="1" applyAlignment="1">
      <alignment horizontal="left" wrapText="1"/>
    </xf>
    <xf numFmtId="0" fontId="23" fillId="0" borderId="0" xfId="2" applyFont="1" applyFill="1" applyAlignment="1">
      <alignment horizontal="left" wrapText="1"/>
    </xf>
    <xf numFmtId="0" fontId="7" fillId="0" borderId="0" xfId="0" applyFont="1" applyAlignment="1">
      <alignment horizontal="left" wrapText="1"/>
    </xf>
  </cellXfs>
  <cellStyles count="17">
    <cellStyle name="Accent1" xfId="16" builtinId="29"/>
    <cellStyle name="Accent6" xfId="15" builtinId="49"/>
    <cellStyle name="Comma" xfId="10" builtinId="3"/>
    <cellStyle name="Erotin 2" xfId="1" xr:uid="{00000000-0005-0000-0000-000000000000}"/>
    <cellStyle name="Heading 2" xfId="12" builtinId="17"/>
    <cellStyle name="Heading 3" xfId="3" builtinId="18"/>
    <cellStyle name="Normaali 11" xfId="7" xr:uid="{00000000-0005-0000-0000-000002000000}"/>
    <cellStyle name="Normaali 13" xfId="13" xr:uid="{BE8D02C9-179D-4B07-ABDC-5C0FB1C343D4}"/>
    <cellStyle name="Normaali 2" xfId="4" xr:uid="{00000000-0005-0000-0000-000003000000}"/>
    <cellStyle name="Normaali 2 2 2" xfId="11" xr:uid="{00000000-0005-0000-0000-000004000000}"/>
    <cellStyle name="Normaali 2 3" xfId="14" xr:uid="{73527740-3C0F-4B21-A486-46F10BA75326}"/>
    <cellStyle name="Normaali 5" xfId="6" xr:uid="{00000000-0005-0000-0000-000005000000}"/>
    <cellStyle name="Normaali 9" xfId="5" xr:uid="{00000000-0005-0000-0000-000006000000}"/>
    <cellStyle name="Normal" xfId="0" builtinId="0"/>
    <cellStyle name="Percent" xfId="9" builtinId="5"/>
    <cellStyle name="Prosenttia 2" xfId="8" xr:uid="{00000000-0005-0000-0000-00000C000000}"/>
    <cellStyle name="Title" xfId="2" builtinId="15"/>
  </cellStyles>
  <dxfs count="259">
    <dxf>
      <font>
        <color rgb="FF9C0006"/>
      </font>
      <fill>
        <patternFill>
          <bgColor rgb="FFFFC7CE"/>
        </patternFill>
      </fill>
    </dxf>
    <dxf>
      <fill>
        <patternFill>
          <bgColor theme="7" tint="0.79998168889431442"/>
        </patternFill>
      </fill>
    </dxf>
    <dxf>
      <font>
        <color rgb="FFFF0000"/>
      </font>
    </dxf>
    <dxf>
      <font>
        <color rgb="FFFF0000"/>
      </font>
    </dxf>
    <dxf>
      <font>
        <color rgb="FFFF0000"/>
      </font>
    </dxf>
    <dxf>
      <font>
        <b val="0"/>
        <i val="0"/>
        <strike val="0"/>
        <condense val="0"/>
        <extend val="0"/>
        <outline val="0"/>
        <shadow val="0"/>
        <u val="none"/>
        <vertAlign val="baseline"/>
        <sz val="11"/>
        <color auto="1"/>
        <name val="Arial"/>
        <family val="2"/>
        <scheme val="major"/>
      </font>
      <numFmt numFmtId="174" formatCode="#,##0.0"/>
      <alignment horizontal="general" vertical="center" textRotation="0" wrapText="0" indent="0" justifyLastLine="0" shrinkToFit="0" readingOrder="0"/>
      <border diagonalUp="0" diagonalDown="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strike val="0"/>
        <outline val="0"/>
        <shadow val="0"/>
        <u val="none"/>
        <vertAlign val="baseline"/>
        <sz val="11"/>
        <color auto="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family val="2"/>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rgb="FFFF0000"/>
        <name val="Arial"/>
        <family val="2"/>
        <scheme val="major"/>
      </font>
      <numFmt numFmtId="174" formatCode="#,##0.0"/>
      <fill>
        <patternFill patternType="none">
          <fgColor indexed="64"/>
          <bgColor indexed="65"/>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rgb="FFFF0000"/>
        <name val="Arial"/>
        <family val="2"/>
        <scheme val="major"/>
      </font>
      <alignment horizontal="general"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4" formatCode="#,##0.0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70" formatCode="#,##0.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7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75" formatCode="0.000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00"/>
    </dxf>
    <dxf>
      <font>
        <b val="0"/>
        <i val="0"/>
        <strike val="0"/>
        <condense val="0"/>
        <extend val="0"/>
        <outline val="0"/>
        <shadow val="0"/>
        <u val="none"/>
        <vertAlign val="baseline"/>
        <sz val="11"/>
        <color theme="1"/>
        <name val="Arial"/>
        <family val="2"/>
        <scheme val="major"/>
      </font>
      <numFmt numFmtId="166" formatCode="0.000"/>
    </dxf>
    <dxf>
      <font>
        <b val="0"/>
        <i val="0"/>
        <strike val="0"/>
        <condense val="0"/>
        <extend val="0"/>
        <outline val="0"/>
        <shadow val="0"/>
        <u val="none"/>
        <vertAlign val="baseline"/>
        <sz val="11"/>
        <color theme="1"/>
        <name val="Arial"/>
        <family val="2"/>
        <scheme val="major"/>
      </font>
      <numFmt numFmtId="166" formatCode="0.00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major"/>
      </font>
      <numFmt numFmtId="166" formatCode="0.000"/>
    </dxf>
    <dxf>
      <font>
        <b val="0"/>
        <i val="0"/>
        <strike val="0"/>
        <condense val="0"/>
        <extend val="0"/>
        <outline val="0"/>
        <shadow val="0"/>
        <u val="none"/>
        <vertAlign val="baseline"/>
        <sz val="11"/>
        <color theme="1"/>
        <name val="Arial"/>
        <family val="2"/>
        <scheme val="major"/>
      </font>
      <numFmt numFmtId="166" formatCode="0.000"/>
    </dxf>
    <dxf>
      <font>
        <b val="0"/>
        <i val="0"/>
        <strike val="0"/>
        <condense val="0"/>
        <extend val="0"/>
        <outline val="0"/>
        <shadow val="0"/>
        <u val="none"/>
        <vertAlign val="baseline"/>
        <sz val="11"/>
        <color theme="1"/>
        <name val="Arial"/>
        <family val="2"/>
        <scheme val="major"/>
      </font>
      <numFmt numFmtId="166" formatCode="0.00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dxf>
    <dxf>
      <border outline="0">
        <top style="thin">
          <color theme="4"/>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fill>
        <patternFill patternType="none">
          <fgColor indexed="64"/>
          <bgColor auto="1"/>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3" formatCode="#,##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ajor"/>
      </font>
    </dxf>
    <dxf>
      <border outline="0">
        <bottom style="thin">
          <color indexed="64"/>
        </bottom>
      </border>
    </dxf>
    <dxf>
      <font>
        <b/>
        <i val="0"/>
        <strike val="0"/>
        <condense val="0"/>
        <extend val="0"/>
        <outline val="0"/>
        <shadow val="0"/>
        <u val="none"/>
        <vertAlign val="baseline"/>
        <sz val="12"/>
        <color theme="0"/>
        <name val="Arial"/>
        <family val="2"/>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major"/>
      </font>
      <numFmt numFmtId="165" formatCode="#,##0_ ;[Red]\-#,##0\ "/>
      <border outline="0">
        <left style="thin">
          <color indexed="64"/>
        </left>
      </border>
    </dxf>
    <dxf>
      <font>
        <b val="0"/>
        <i val="0"/>
        <strike val="0"/>
        <condense val="0"/>
        <extend val="0"/>
        <outline val="0"/>
        <shadow val="0"/>
        <u val="none"/>
        <vertAlign val="baseline"/>
        <sz val="12"/>
        <color theme="1"/>
        <name val="Arial"/>
        <family val="2"/>
        <scheme val="major"/>
      </font>
      <numFmt numFmtId="165" formatCode="#,##0_ ;[Red]\-#,##0\ "/>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major"/>
      </font>
      <numFmt numFmtId="165" formatCode="#,##0_ ;[Red]\-#,##0\ "/>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major"/>
      </font>
      <numFmt numFmtId="165" formatCode="#,##0_ ;[Red]\-#,##0\ "/>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major"/>
      </font>
      <numFmt numFmtId="165" formatCode="#,##0_ ;[Red]\-#,##0\ "/>
    </dxf>
    <dxf>
      <font>
        <b val="0"/>
        <i val="0"/>
        <strike val="0"/>
        <condense val="0"/>
        <extend val="0"/>
        <outline val="0"/>
        <shadow val="0"/>
        <u val="none"/>
        <vertAlign val="baseline"/>
        <sz val="12"/>
        <color theme="1"/>
        <name val="Arial"/>
        <family val="2"/>
        <scheme val="major"/>
      </font>
      <numFmt numFmtId="165" formatCode="#,##0_ ;[Red]\-#,##0\ "/>
    </dxf>
    <dxf>
      <font>
        <b val="0"/>
        <i val="0"/>
        <strike val="0"/>
        <condense val="0"/>
        <extend val="0"/>
        <outline val="0"/>
        <shadow val="0"/>
        <u val="none"/>
        <vertAlign val="baseline"/>
        <sz val="12"/>
        <color theme="1"/>
        <name val="Arial"/>
        <family val="2"/>
        <scheme val="major"/>
      </font>
      <numFmt numFmtId="165" formatCode="#,##0_ ;[Red]\-#,##0\ "/>
    </dxf>
    <dxf>
      <font>
        <b val="0"/>
        <i val="0"/>
        <strike val="0"/>
        <condense val="0"/>
        <extend val="0"/>
        <outline val="0"/>
        <shadow val="0"/>
        <u val="none"/>
        <vertAlign val="baseline"/>
        <sz val="12"/>
        <color theme="1"/>
        <name val="Arial"/>
        <family val="2"/>
        <scheme val="major"/>
      </font>
      <numFmt numFmtId="165" formatCode="#,##0_ ;[Red]\-#,##0\ "/>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major"/>
      </font>
      <numFmt numFmtId="165" formatCode="#,##0_ ;[Red]\-#,##0\ "/>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major"/>
      </font>
      <numFmt numFmtId="165" formatCode="#,##0_ ;[Red]\-#,##0\ "/>
    </dxf>
    <dxf>
      <font>
        <b val="0"/>
        <i val="0"/>
        <strike val="0"/>
        <condense val="0"/>
        <extend val="0"/>
        <outline val="0"/>
        <shadow val="0"/>
        <u val="none"/>
        <vertAlign val="baseline"/>
        <sz val="12"/>
        <color theme="1"/>
        <name val="Arial"/>
        <family val="2"/>
        <scheme val="major"/>
      </font>
      <numFmt numFmtId="165" formatCode="#,##0_ ;[Red]\-#,##0\ "/>
    </dxf>
    <dxf>
      <font>
        <b val="0"/>
        <i val="0"/>
        <strike val="0"/>
        <condense val="0"/>
        <extend val="0"/>
        <outline val="0"/>
        <shadow val="0"/>
        <u val="none"/>
        <vertAlign val="baseline"/>
        <sz val="12"/>
        <color theme="1"/>
        <name val="Arial"/>
        <family val="2"/>
        <scheme val="major"/>
      </font>
      <numFmt numFmtId="165" formatCode="#,##0_ ;[Red]\-#,##0\ "/>
    </dxf>
    <dxf>
      <font>
        <b val="0"/>
        <i val="0"/>
        <strike val="0"/>
        <condense val="0"/>
        <extend val="0"/>
        <outline val="0"/>
        <shadow val="0"/>
        <u val="none"/>
        <vertAlign val="baseline"/>
        <sz val="12"/>
        <color theme="1"/>
        <name val="Arial"/>
        <family val="2"/>
        <scheme val="major"/>
      </font>
      <numFmt numFmtId="165" formatCode="#,##0_ ;[Red]\-#,##0\ "/>
    </dxf>
    <dxf>
      <font>
        <b val="0"/>
        <i val="0"/>
        <strike val="0"/>
        <condense val="0"/>
        <extend val="0"/>
        <outline val="0"/>
        <shadow val="0"/>
        <u val="none"/>
        <vertAlign val="baseline"/>
        <sz val="12"/>
        <color theme="1"/>
        <name val="Arial"/>
        <family val="2"/>
        <scheme val="major"/>
      </font>
      <numFmt numFmtId="165" formatCode="#,##0_ ;[Red]\-#,##0\ "/>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major"/>
      </font>
      <border outline="0">
        <right style="thin">
          <color indexed="64"/>
        </right>
      </border>
    </dxf>
    <dxf>
      <font>
        <b val="0"/>
        <i val="0"/>
        <strike val="0"/>
        <condense val="0"/>
        <extend val="0"/>
        <outline val="0"/>
        <shadow val="0"/>
        <u val="none"/>
        <vertAlign val="baseline"/>
        <sz val="12"/>
        <color theme="1"/>
        <name val="Arial"/>
        <family val="2"/>
        <scheme val="major"/>
      </font>
    </dxf>
    <dxf>
      <font>
        <b val="0"/>
        <i val="0"/>
        <strike val="0"/>
        <condense val="0"/>
        <extend val="0"/>
        <outline val="0"/>
        <shadow val="0"/>
        <u val="none"/>
        <vertAlign val="baseline"/>
        <sz val="11"/>
        <color theme="1"/>
        <name val="Arial"/>
        <family val="2"/>
        <scheme val="major"/>
      </font>
      <numFmt numFmtId="14" formatCode="0.00\ %"/>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alignment horizontal="center"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family val="2"/>
        <scheme val="major"/>
      </font>
      <numFmt numFmtId="30" formatCode="@"/>
      <border diagonalUp="0" diagonalDown="0" outline="0">
        <left/>
        <right/>
        <top style="thin">
          <color theme="9"/>
        </top>
        <bottom/>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right style="thin">
          <color theme="4"/>
        </right>
        <bottom style="thin">
          <color theme="9"/>
        </bottom>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indexed="6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family val="2"/>
        <scheme val="major"/>
      </font>
      <numFmt numFmtId="14" formatCode="0.00\ %"/>
      <border diagonalUp="0" diagonalDown="0">
        <left/>
        <right/>
        <top style="thin">
          <color theme="4"/>
        </top>
        <bottom/>
      </border>
    </dxf>
    <dxf>
      <font>
        <b val="0"/>
        <i val="0"/>
        <strike val="0"/>
        <condense val="0"/>
        <extend val="0"/>
        <outline val="0"/>
        <shadow val="0"/>
        <u val="none"/>
        <vertAlign val="baseline"/>
        <sz val="11"/>
        <color theme="1"/>
        <name val="Arial"/>
        <family val="2"/>
        <scheme val="major"/>
      </font>
      <numFmt numFmtId="172" formatCode="_-* #,##0_-;\-* #,##0_-;_-* &quot;-&quot;??_-;_-@_-"/>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4" formatCode="0.00\ %"/>
      <border diagonalUp="0" diagonalDown="0" outline="0">
        <left/>
        <right/>
        <top style="thin">
          <color theme="4"/>
        </top>
        <bottom/>
      </border>
    </dxf>
    <dxf>
      <font>
        <b val="0"/>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65" formatCode="#,##0_ ;[Red]\-#,##0\ "/>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border diagonalUp="0" diagonalDown="0">
        <left/>
        <right/>
        <top style="thin">
          <color theme="9"/>
        </top>
        <bottom/>
        <vertical/>
        <horizontal/>
      </border>
    </dxf>
    <dxf>
      <font>
        <b/>
        <i val="0"/>
        <strike val="0"/>
        <condense val="0"/>
        <extend val="0"/>
        <outline val="0"/>
        <shadow val="0"/>
        <u val="none"/>
        <vertAlign val="baseline"/>
        <sz val="11"/>
        <color theme="1"/>
        <name val="Arial"/>
        <family val="2"/>
        <scheme val="major"/>
      </font>
      <numFmt numFmtId="30" formatCode="@"/>
      <border diagonalUp="0" diagonalDown="0">
        <left/>
        <right/>
        <top style="thin">
          <color theme="9"/>
        </top>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bottom style="thin">
          <color theme="9"/>
        </bottom>
      </border>
    </dxf>
    <dxf>
      <font>
        <b/>
        <i val="0"/>
        <strike val="0"/>
        <condense val="0"/>
        <extend val="0"/>
        <outline val="0"/>
        <shadow val="0"/>
        <u val="none"/>
        <vertAlign val="baseline"/>
        <sz val="12"/>
        <color theme="1"/>
        <name val="Arial"/>
        <scheme val="major"/>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5" formatCode="#,##0_ ;[Red]\-#,##0\ "/>
      <alignment horizontal="general" vertical="bottom" textRotation="0" wrapText="0" indent="0" justifyLastLine="0" shrinkToFit="0" readingOrder="0"/>
      <border diagonalUp="0" diagonalDown="0">
        <left style="thin">
          <color theme="4"/>
        </left>
        <right/>
        <top style="thin">
          <color theme="4"/>
        </top>
        <bottom/>
        <vertical/>
        <horizontal/>
      </border>
    </dxf>
    <dxf>
      <border outline="0">
        <right style="thin">
          <color theme="4"/>
        </right>
        <top style="thin">
          <color rgb="FF1B396D"/>
        </top>
      </border>
    </dxf>
    <dxf>
      <font>
        <b/>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dxf>
    <dxf>
      <border outline="0">
        <right style="thin">
          <color theme="8"/>
        </right>
        <top style="thick">
          <color theme="4" tint="0.499984740745262"/>
        </top>
      </border>
    </dxf>
    <dxf>
      <font>
        <b val="0"/>
        <i val="0"/>
        <strike val="0"/>
        <condense val="0"/>
        <extend val="0"/>
        <outline val="0"/>
        <shadow val="0"/>
        <u val="none"/>
        <vertAlign val="baseline"/>
        <sz val="12"/>
        <color auto="1"/>
        <name val="Arial"/>
        <family val="2"/>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166" formatCode="0.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170" formatCode="#,##0.0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166" formatCode="0.00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166" formatCode="0.00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166" formatCode="0.00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border outline="0">
        <left style="thin">
          <color rgb="FF006475"/>
        </left>
        <right style="thin">
          <color rgb="FF1B396D"/>
        </right>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border diagonalUp="0" diagonalDown="0" outline="0">
        <left/>
        <right/>
        <top/>
        <bottom/>
      </border>
    </dxf>
    <dxf>
      <numFmt numFmtId="165" formatCode="#,##0_ ;[Red]\-#,##0\ "/>
    </dxf>
    <dxf>
      <font>
        <b/>
        <i val="0"/>
        <strike val="0"/>
        <condense val="0"/>
        <extend val="0"/>
        <outline val="0"/>
        <shadow val="0"/>
        <u val="none"/>
        <vertAlign val="baseline"/>
        <sz val="11"/>
        <color theme="0"/>
        <name val="Arial"/>
        <family val="2"/>
        <scheme val="minor"/>
      </font>
      <fill>
        <patternFill patternType="solid">
          <fgColor indexed="64"/>
          <bgColor theme="4"/>
        </patternFill>
      </fill>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dxf>
    <dxf>
      <numFmt numFmtId="14" formatCode="0.00\ %"/>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1"/>
        <color theme="1"/>
        <name val="Arial"/>
        <family val="2"/>
        <scheme val="minor"/>
      </font>
      <numFmt numFmtId="14" formatCode="0.00\ %"/>
      <fill>
        <patternFill patternType="none">
          <fgColor indexed="64"/>
          <bgColor auto="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9" formatCode="0.0\ %"/>
    </dxf>
    <dxf>
      <font>
        <b val="0"/>
        <i val="0"/>
        <strike val="0"/>
        <condense val="0"/>
        <extend val="0"/>
        <outline val="0"/>
        <shadow val="0"/>
        <u val="none"/>
        <vertAlign val="baseline"/>
        <sz val="11"/>
        <color theme="1"/>
        <name val="Arial"/>
        <family val="2"/>
        <scheme val="major"/>
      </font>
      <numFmt numFmtId="3" formatCode="#,##0"/>
      <border diagonalUp="0" diagonalDown="0" outline="0">
        <left/>
        <right/>
        <top style="thin">
          <color theme="9"/>
        </top>
        <bottom/>
      </border>
    </dxf>
    <dxf>
      <font>
        <b/>
        <i val="0"/>
        <strike val="0"/>
        <condense val="0"/>
        <extend val="0"/>
        <outline val="0"/>
        <shadow val="0"/>
        <u val="none"/>
        <vertAlign val="baseline"/>
        <sz val="11"/>
        <color theme="1"/>
        <name val="Arial"/>
        <family val="2"/>
        <scheme val="major"/>
      </font>
      <numFmt numFmtId="172" formatCode="_-* #,##0_-;\-* #,##0_-;_-* &quot;-&quot;??_-;_-@_-"/>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65" formatCode="#,##0_ ;[Red]\-#,##0\ "/>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65" formatCode="#,##0_ ;[Red]\-#,##0\ "/>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border diagonalUp="0" diagonalDown="0">
        <left/>
        <right/>
        <top style="thin">
          <color theme="9"/>
        </top>
        <bottom/>
        <vertical/>
        <horizontal/>
      </border>
    </dxf>
    <dxf>
      <font>
        <b/>
        <i val="0"/>
        <strike val="0"/>
        <condense val="0"/>
        <extend val="0"/>
        <outline val="0"/>
        <shadow val="0"/>
        <u val="none"/>
        <vertAlign val="baseline"/>
        <sz val="11"/>
        <color theme="1"/>
        <name val="Arial"/>
        <family val="2"/>
        <scheme val="major"/>
      </font>
      <numFmt numFmtId="30" formatCode="@"/>
      <border diagonalUp="0" diagonalDown="0">
        <left/>
        <right/>
        <top style="thin">
          <color theme="9"/>
        </top>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right style="thin">
          <color theme="9"/>
        </right>
        <bottom style="thin">
          <color theme="9"/>
        </bottom>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indexed="6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fill>
        <patternFill patternType="none">
          <fgColor indexed="64"/>
          <bgColor indexed="65"/>
        </patternFill>
      </fill>
      <border diagonalUp="0" diagonalDown="0">
        <left/>
        <right/>
        <top style="thin">
          <color theme="9"/>
        </top>
        <bottom/>
        <vertical/>
        <horizontal/>
      </border>
    </dxf>
    <dxf>
      <font>
        <b/>
        <i val="0"/>
        <strike val="0"/>
        <condense val="0"/>
        <extend val="0"/>
        <outline val="0"/>
        <shadow val="0"/>
        <u val="none"/>
        <vertAlign val="baseline"/>
        <sz val="11"/>
        <color auto="1"/>
        <name val="Arial"/>
        <family val="2"/>
        <scheme val="major"/>
      </font>
      <numFmt numFmtId="30" formatCode="@"/>
      <fill>
        <patternFill patternType="none">
          <fgColor indexed="64"/>
          <bgColor indexed="65"/>
        </patternFill>
      </fill>
      <border diagonalUp="0" diagonalDown="0" outline="0">
        <left/>
        <right/>
        <top style="thin">
          <color theme="9"/>
        </top>
        <bottom/>
      </border>
    </dxf>
    <dxf>
      <font>
        <b val="0"/>
        <i val="0"/>
        <strike val="0"/>
        <condense val="0"/>
        <extend val="0"/>
        <outline val="0"/>
        <shadow val="0"/>
        <u val="none"/>
        <vertAlign val="baseline"/>
        <sz val="11"/>
        <color auto="1"/>
        <name val="Arial"/>
        <family val="2"/>
        <scheme val="major"/>
      </font>
      <numFmt numFmtId="172" formatCode="_-* #,##0_-;\-* #,##0_-;_-* &quot;-&quot;??_-;_-@_-"/>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fill>
        <patternFill patternType="none">
          <fgColor indexed="64"/>
          <bgColor indexed="65"/>
        </patternFill>
      </fill>
    </dxf>
    <dxf>
      <font>
        <b/>
        <i val="0"/>
        <strike val="0"/>
        <condense val="0"/>
        <extend val="0"/>
        <outline val="0"/>
        <shadow val="0"/>
        <u val="none"/>
        <vertAlign val="baseline"/>
        <sz val="11"/>
        <color theme="0"/>
        <name val="Arial"/>
        <family val="2"/>
        <scheme val="major"/>
      </font>
      <fill>
        <patternFill patternType="solid">
          <fgColor indexed="64"/>
          <bgColor theme="3"/>
        </patternFill>
      </fill>
      <alignment horizontal="general" vertical="bottom" textRotation="0" wrapText="1" indent="0" justifyLastLine="0" shrinkToFit="0" readingOrder="0"/>
    </dxf>
  </dxfs>
  <tableStyles count="1" defaultTableStyle="TableStyleMedium2" defaultPivotStyle="PivotStyleLight16">
    <tableStyle name="Table Style 1" pivot="0" count="0" xr9:uid="{D4465EB1-98D3-4A32-AF60-0D5A43E719A3}"/>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9D3A6B3-A1E1-4A77-952E-B70F79361F45}" name="Maksuerät" displayName="Maksuerät" ref="A33:O56" totalsRowShown="0" headerRowDxfId="258" dataDxfId="257" headerRowCellStyle="Normaali 2">
  <tableColumns count="15">
    <tableColumn id="1" xr3:uid="{3C3217FF-EAD4-4999-9526-E7B87F979538}" name="Hyvinvointialuekoodi" dataDxfId="256" dataCellStyle="Comma"/>
    <tableColumn id="2" xr3:uid="{25B30EBA-A5D1-4450-BC9C-ECD941853964}" name="Hyvinvointialue" dataDxfId="255" dataCellStyle="Comma"/>
    <tableColumn id="3" xr3:uid="{F2A0589F-7EC7-4B01-849A-B13D9FEE657B}" name="Tammikuu" dataDxfId="254"/>
    <tableColumn id="4" xr3:uid="{B2001F51-C01B-4FF8-AECD-882680713EBA}" name="Helmikuu" dataDxfId="253"/>
    <tableColumn id="5" xr3:uid="{80D664D9-1390-495C-9FA4-0F8B84C06C37}" name="Maaliskuu" dataDxfId="252"/>
    <tableColumn id="6" xr3:uid="{891F6D66-ABF6-44C0-BDCC-0D4FD7407E4A}" name="Huhtikuu" dataDxfId="251"/>
    <tableColumn id="7" xr3:uid="{2E1BEDAD-0E0D-4C4E-9909-DBDD4234E1F4}" name="Toukokuu" dataDxfId="250"/>
    <tableColumn id="8" xr3:uid="{D71FA85A-8D82-414A-AC2E-07718922D738}" name="Kesäkuu" dataDxfId="249"/>
    <tableColumn id="9" xr3:uid="{D35DCAB2-8ED5-4524-8C26-B923A48FD0D6}" name="Heinäkuu" dataDxfId="248"/>
    <tableColumn id="10" xr3:uid="{892A16B6-15C3-4067-8400-72D030AF4888}" name="Elokuu" dataDxfId="247"/>
    <tableColumn id="11" xr3:uid="{131471C1-BBFB-458E-A3B0-D42A73C758C4}" name="Syyskuu" dataDxfId="246"/>
    <tableColumn id="12" xr3:uid="{01FC97EE-6617-4199-86BB-96C9FA935A44}" name="Lokakuu" dataDxfId="245"/>
    <tableColumn id="13" xr3:uid="{0C202517-EFAC-4D7E-A24B-7D306E151BA9}" name="Marraskuu" dataDxfId="244"/>
    <tableColumn id="14" xr3:uid="{1D543063-B18E-4BA9-9E85-D32C5EA17A03}" name="Joulukuu" dataDxfId="243"/>
    <tableColumn id="15" xr3:uid="{5BDFE38C-5E26-4404-8280-D22107F05A1B}" name="Vuoden 2027 rahoitus, yhteensä" dataDxfId="242"/>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CA8217-8E9C-4A43-9860-01667DD9A7FA}" name="Sote_painot" displayName="Sote_painot" ref="A19:N23" totalsRowShown="0" headerRowDxfId="171" headerRowCellStyle="Normaali 2">
  <tableColumns count="14">
    <tableColumn id="1" xr3:uid="{EC84855B-E0E9-4D41-B419-C8538FEA6D43}" name="Kriteeri"/>
    <tableColumn id="2" xr3:uid="{EDC2ADEE-B66B-47B0-946C-7A94CA36CD63}" name="Asukasperusteisuus"/>
    <tableColumn id="3" xr3:uid="{4B7EFB30-D78E-4C3E-9A79-8670AAFC1A74}" name="Sote-palvelutarve yhteensä"/>
    <tableColumn id="4" xr3:uid="{17D947E1-0CA3-4CAB-8801-18512162C65F}" name="Terveydenhuollon palvelutarve"/>
    <tableColumn id="5" xr3:uid="{91741629-0264-47FF-BC3F-A25CF32A4899}" name="Vanhustenhuollon palvelutarve"/>
    <tableColumn id="6" xr3:uid="{450691C6-BB51-44F8-9948-5DE098AC98D6}" name="Sosiaalihuollon palvelutarve"/>
    <tableColumn id="7" xr3:uid="{78B16548-F36E-43B6-9C20-EAB26AA48A5A}" name="Vieraskielisyys"/>
    <tableColumn id="8" xr3:uid="{BDEAAA8E-8A69-44A2-8AF8-EB7D83E23DCD}" name="Kaksikielisyys"/>
    <tableColumn id="9" xr3:uid="{2B6556D7-50FB-4138-8835-6A508444A11D}" name="Asukastiheys"/>
    <tableColumn id="10" xr3:uid="{9FE80EB9-D44A-4D83-9BD1-7BA2A48F6D78}" name="Saaristoisuus"/>
    <tableColumn id="11" xr3:uid="{F53FC133-0042-421D-BD28-8FF10779ED6E}" name="Hyte-kriteeri"/>
    <tableColumn id="12" xr3:uid="{B404855C-A927-4555-9322-3BADD3301DD9}" name="Saamenkielisyys"/>
    <tableColumn id="13" xr3:uid="{C814D19E-F5B0-4077-BAE3-56DC402FD143}" name="Yo-lisä"/>
    <tableColumn id="14" xr3:uid="{4580EDDA-237C-4021-9E8D-385DE18623BA}" name="Yhteensä">
      <calculatedColumnFormula>B20+SUM(D20:M20)</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85F2191-F591-4CDE-9151-01B418E1322C}" name="Sote_laskennallinen_rahoitus_euroa" displayName="Sote_laskennallinen_rahoitus_euroa" ref="A53:N77" totalsRowShown="0" dataDxfId="170" tableBorderDxfId="169" dataCellStyle="Normaali 2">
  <tableColumns count="14">
    <tableColumn id="1" xr3:uid="{7C95F050-0176-4D59-B9EE-5222C118D851}" name="Hyvinvointialuekoodi" dataDxfId="168" dataCellStyle="Normaali 2"/>
    <tableColumn id="2" xr3:uid="{B119E5EB-68B9-47EE-8CE6-C412498B7A18}" name="Hyvinvointialue" dataDxfId="167" dataCellStyle="Normaali 2"/>
    <tableColumn id="3" xr3:uid="{E2B518D5-DD01-4D69-9E36-5271E59E38F7}" name="Asukasperusteisuus" dataDxfId="166" dataCellStyle="Normaali 2"/>
    <tableColumn id="4" xr3:uid="{F0469B55-E833-41B5-B820-638D390BCBAB}" name="Terveydenhuollon palvelutarve" dataDxfId="165" dataCellStyle="Normaali 2"/>
    <tableColumn id="5" xr3:uid="{7D038E3E-CE66-423E-83BD-DF186B1B8EDF}" name="Vanhustenhuollon palvelutarve" dataDxfId="164" dataCellStyle="Normaali 2"/>
    <tableColumn id="6" xr3:uid="{66D45B4C-5132-4323-BA5C-81D0260EAA60}" name="Sosiaalihuollon palvelutarve" dataDxfId="163" dataCellStyle="Normaali 2"/>
    <tableColumn id="7" xr3:uid="{26DBB451-0882-4B15-AFA3-8BEEA57B6CB6}" name="Vieraskielisyys" dataDxfId="162" dataCellStyle="Normaali 2"/>
    <tableColumn id="8" xr3:uid="{3D87F0DE-839A-4349-9239-31EAE7596E3E}" name="Kaksikielisyys" dataDxfId="161" dataCellStyle="Normaali 2"/>
    <tableColumn id="9" xr3:uid="{79344645-6152-493A-8C05-C5A8E69A05A2}" name="Asukastiheys" dataDxfId="160" dataCellStyle="Normaali 2"/>
    <tableColumn id="10" xr3:uid="{C146059B-B9AB-4F10-82E8-205035C3BBBF}" name="Saaristoisuus" dataDxfId="159" dataCellStyle="Normaali 2"/>
    <tableColumn id="11" xr3:uid="{DFC22DD8-50DC-4286-BF50-F6336A21D45C}" name="Hyte-kriteeri" dataDxfId="158" dataCellStyle="Normaali 2"/>
    <tableColumn id="12" xr3:uid="{588CAE44-CD9B-4B24-B321-07EF5B5C24E0}" name="Saamenkielisyys" dataDxfId="157" dataCellStyle="Normaali 2"/>
    <tableColumn id="13" xr3:uid="{C933B8AB-8A90-46C7-AB5B-D94B78D16E09}" name="Yo-lisä" dataDxfId="156" dataCellStyle="Normaali 2"/>
    <tableColumn id="14" xr3:uid="{2363968D-BDB9-4CAD-AB33-24230D94AA00}" name="Yhteensä, euroa" dataDxfId="155" dataCellStyle="Normaali 2">
      <calculatedColumnFormula>SUM(C54:M54)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A16D22A-2803-4DFA-8D96-E86BA9B907DF}" name="Sote_laskennallinen_rahoitus_yhteensä" displayName="Sote_laskennallinen_rahoitus_yhteensä" ref="A6:B16" totalsRowShown="0" tableBorderDxfId="154">
  <tableColumns count="2">
    <tableColumn id="1" xr3:uid="{D6DDCA83-D3A4-4E2F-BB40-E3594C9E634B}" name="Laskennallinen sote-rahoitus vuonna 2027"/>
    <tableColumn id="2" xr3:uid="{937AD237-DC78-4CAE-9F5E-0F9D3354DDF0}" name="euroa" dataDxfId="153"/>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la_osuudet" displayName="Pela_osuudet" ref="A14:E18" totalsRowShown="0" headerRowDxfId="152" dataDxfId="151" headerRowCellStyle="Normaali 2">
  <tableColumns count="5">
    <tableColumn id="1" xr3:uid="{00000000-0010-0000-0900-000001000000}" name="Kriteeri" dataDxfId="150"/>
    <tableColumn id="2" xr3:uid="{00000000-0010-0000-0900-000002000000}" name="Asukasperusteisuus" dataDxfId="149"/>
    <tableColumn id="3" xr3:uid="{00000000-0010-0000-0900-000003000000}" name="Asukastiheys" dataDxfId="148"/>
    <tableColumn id="4" xr3:uid="{00000000-0010-0000-0900-000004000000}" name="Riskitekijät" dataDxfId="147"/>
    <tableColumn id="5" xr3:uid="{00000000-0010-0000-0900-000005000000}" name="Yhteensä" dataDxfId="146"/>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ela_laskennallinen_määräytymistekijät" displayName="Pela_laskennallinen_määräytymistekijät" ref="A21:E44" totalsRowShown="0" headerRowDxfId="145" dataDxfId="143" headerRowBorderDxfId="144" headerRowCellStyle="Normaali 2">
  <tableColumns count="5">
    <tableColumn id="1" xr3:uid="{00000000-0010-0000-0A00-000001000000}" name="Hyvinvointialuekoodi" dataDxfId="142" dataCellStyle="Normaali 2"/>
    <tableColumn id="2" xr3:uid="{00000000-0010-0000-0A00-000002000000}" name="Hyvinvointialue" dataDxfId="141" dataCellStyle="Normaali 2"/>
    <tableColumn id="3" xr3:uid="{00000000-0010-0000-0A00-000003000000}" name="Asukasluku" dataDxfId="140" dataCellStyle="Normaali 2">
      <calculatedColumnFormula>Määräytymistekijät!C7</calculatedColumnFormula>
    </tableColumn>
    <tableColumn id="4" xr3:uid="{00000000-0010-0000-0A00-000004000000}" name="Asukastiheyskerroin" dataDxfId="139" dataCellStyle="Normaali 2">
      <calculatedColumnFormula>Määräytymistekijät!F35</calculatedColumnFormula>
    </tableColumn>
    <tableColumn id="5" xr3:uid="{00000000-0010-0000-0A00-000005000000}" name="Riskikerroin" dataDxfId="138" dataCellStyle="Normaali 2">
      <calculatedColumnFormula>Määräytymistekijät!L35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Pela_laskennallinen_rahoitus_per_asukas" displayName="Pela_laskennallinen_rahoitus_per_asukas" ref="A74:F98" totalsRowShown="0" headerRowDxfId="137" dataDxfId="136" headerRowCellStyle="Normaali 2" dataCellStyle="Normaali 2">
  <tableColumns count="6">
    <tableColumn id="1" xr3:uid="{00000000-0010-0000-0B00-000001000000}" name="Hyvinvointialuekoodi" dataDxfId="135" dataCellStyle="Normaali 2"/>
    <tableColumn id="2" xr3:uid="{00000000-0010-0000-0B00-000002000000}" name="Hyvinvointialue" dataDxfId="134" dataCellStyle="Normaali 2"/>
    <tableColumn id="3" xr3:uid="{00000000-0010-0000-0B00-000003000000}" name="Asukasperusteisuus" dataDxfId="133" dataCellStyle="Normaali 2"/>
    <tableColumn id="4" xr3:uid="{00000000-0010-0000-0B00-000004000000}" name="Asukastiheys" dataDxfId="132" dataCellStyle="Normaali 2"/>
    <tableColumn id="5" xr3:uid="{00000000-0010-0000-0B00-000005000000}" name="Riskitekijät" dataDxfId="131" dataCellStyle="Normaali 2"/>
    <tableColumn id="6" xr3:uid="{00000000-0010-0000-0B00-000006000000}" name="Yhteensä, e/as." dataDxfId="130" dataCellStyle="Normaali 2"/>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Pela_laskennallinen_rahoitus_euroa" displayName="Pela_laskennallinen_rahoitus_euroa" ref="A47:F71" totalsRowShown="0" headerRowDxfId="129" dataDxfId="128" tableBorderDxfId="127" headerRowCellStyle="Normaali 2" dataCellStyle="Normaali 2">
  <autoFilter ref="A47:F71"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Hyvinvointialuekoodi" dataDxfId="126" dataCellStyle="Normaali 2"/>
    <tableColumn id="2" xr3:uid="{00000000-0010-0000-0D00-000002000000}" name="Hyvinvointialue" dataDxfId="125" dataCellStyle="Normaali 2"/>
    <tableColumn id="3" xr3:uid="{00000000-0010-0000-0D00-000003000000}" name="Asukasperusteisuus" dataDxfId="124" dataCellStyle="Normaali 2"/>
    <tableColumn id="4" xr3:uid="{00000000-0010-0000-0D00-000004000000}" name="Asukastiheys" dataDxfId="123" dataCellStyle="Normaali 2"/>
    <tableColumn id="5" xr3:uid="{00000000-0010-0000-0D00-000005000000}" name="Riskitekijät" dataDxfId="122" dataCellStyle="Normaali 2"/>
    <tableColumn id="6" xr3:uid="{00000000-0010-0000-0D00-000006000000}" name="Yhteensä, euroa" dataDxfId="121" dataCellStyle="Normaali 2">
      <calculatedColumnFormula>SUM(C48:E48)</calculatedColumnFormula>
    </tableColumn>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D63997C-63C6-4098-8D7E-A6FD45D10CE1}" name="Pela_laskennallinen_rahoitus_yhteensä" displayName="Pela_laskennallinen_rahoitus_yhteensä" ref="A6:B11" totalsRowShown="0">
  <tableColumns count="2">
    <tableColumn id="1" xr3:uid="{353836A5-B0FE-473C-A47D-8065CEAFAC7B}" name="Laskennallinen pela-rahoitus"/>
    <tableColumn id="2" xr3:uid="{0A7CBFB8-A00F-4332-9197-A319FEC2C5A8}" name="euroa"/>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245083E-A9AB-48A7-8A22-630F8C89887A}" name="Tasausmalli_yhteenveto" displayName="Tasausmalli_yhteenveto" ref="A7:K30" totalsRowShown="0" tableBorderDxfId="120">
  <tableColumns count="11">
    <tableColumn id="1" xr3:uid="{55102CB6-43C7-4803-AC86-C4B6AA0A8D3D}" name="Hyvinvointialuekoodi" dataDxfId="119" dataCellStyle="Normaali 2"/>
    <tableColumn id="2" xr3:uid="{FC20111F-65E5-4436-A835-EBED1DDCEA4A}" name="Hyvinvointialue" dataDxfId="118" dataCellStyle="Comma"/>
    <tableColumn id="3" xr3:uid="{C769B3FC-57B6-46BD-8D97-1185193B6EEE}" name="Asukasluku 2025" dataDxfId="117" dataCellStyle="Comma">
      <calculatedColumnFormula>Määräytymistekijät!C7</calculatedColumnFormula>
    </tableColumn>
    <tableColumn id="4" xr3:uid="{C4CCA828-0836-41D2-9C1C-7AB5D2DF2917}" name="Vuoden 2026 rahoitus yhteensä, euroa (18.12.2025)" dataDxfId="116" dataCellStyle="Comma"/>
    <tableColumn id="5" xr3:uid="{CF308B60-ED07-4810-B01D-CE57E9C07999}" name="Laskennallinen rahoitus vuonna 2027, euroa" dataDxfId="115">
      <calculatedColumnFormula>'SOTE laskennallinen rahoitus'!N54+'PELA laskennallinen rahoitus'!F48</calculatedColumnFormula>
    </tableColumn>
    <tableColumn id="6" xr3:uid="{A3E08FDA-0AC6-45C1-8F86-603C5E6F9D6A}" name="Siirtymätasaus vuonna 2027, euroa" dataDxfId="114"/>
    <tableColumn id="7" xr3:uid="{76E89ABA-F3D8-4E46-B690-1E4B2E79CC43}" name="Vuoden 2027 rahoitus yhteensä, euroa" dataDxfId="113" dataCellStyle="Percent">
      <calculatedColumnFormula>E8+F8</calculatedColumnFormula>
    </tableColumn>
    <tableColumn id="8" xr3:uid="{C269CA6D-4B54-492C-B6B9-6E0EE114EB35}" name="Rahoituksen muutos 2026–2027, euroa" dataDxfId="112" dataCellStyle="Percent">
      <calculatedColumnFormula>G8-D8</calculatedColumnFormula>
    </tableColumn>
    <tableColumn id="9" xr3:uid="{AAA2FF91-4A62-41A2-99D7-C38CFEC994D7}" name="Rahotuksen muutos 2026–2027, prosenttia" dataDxfId="111" dataCellStyle="Percent">
      <calculatedColumnFormula>G8/D8-1</calculatedColumnFormula>
    </tableColumn>
    <tableColumn id="11" xr3:uid="{23B58DFF-D5ED-4632-9F9B-99409A481821}" name="Vuoden 2027 rahoitus yhteensä tasauksen jälkeen" dataDxfId="110" dataCellStyle="Comma">
      <calculatedColumnFormula>J36</calculatedColumnFormula>
    </tableColumn>
    <tableColumn id="10" xr3:uid="{DB3D0F84-D5AC-4E90-992F-D29DF7819992}" name="Rahoituksen muutos 2026–2027 tasauksen jälkeen, prosenttia" dataDxfId="109" dataCellStyle="Percent">
      <calculatedColumnFormula>K36</calculatedColumnFormula>
    </tableColumn>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2A0A7B6-67F1-4507-B7C1-AC8412C1130A}" name="Tasausmallin_laskenta" displayName="Tasausmallin_laskenta" ref="A35:K58" totalsRowShown="0" headerRowDxfId="108" dataDxfId="107" tableBorderDxfId="106">
  <tableColumns count="11">
    <tableColumn id="1" xr3:uid="{F98B860E-BFF0-4247-8588-42EA5EBCA8F7}" name="Hyvinvointialuekoodi" dataDxfId="105" dataCellStyle="Normaali 2"/>
    <tableColumn id="2" xr3:uid="{3D70F484-0B94-481F-82DB-215D2D7C1670}" name="Hyvinvointialue" dataDxfId="104" dataCellStyle="Comma"/>
    <tableColumn id="3" xr3:uid="{39901816-8A3D-4448-928C-E94F759BB1E2}" name="Rahoituksen muutos 2026–2027 ennen tasausta" dataDxfId="103">
      <calculatedColumnFormula>IF(I8&lt;0,"Alle 0 %",(IF(I8&gt;$I$30,"Yli 1,25 %","0–1,25 %")))</calculatedColumnFormula>
    </tableColumn>
    <tableColumn id="4" xr3:uid="{F6F4B343-58EB-465C-A99D-BF4405E9602D}" name="Tasattava määrä, jotta rahoitus ei vähene vuodesta 2026" dataDxfId="102"/>
    <tableColumn id="5" xr3:uid="{4CA7ED9C-5EC5-4DB7-B972-10D259708BB9}" name="Vähennys keskimääräisen kasvun ylittäviltä alueilta (laskelman välitulos)" dataDxfId="101"/>
    <tableColumn id="6" xr3:uid="{B65A7F62-0D55-4821-B7AD-4C988365F8B2}" name="Laskennallinen palautus, jotta rahoituksen kasvu ei laske alle keskimääräisen (laskelman välitulos)" dataDxfId="100"/>
    <tableColumn id="7" xr3:uid="{647DF636-1DB9-4DCB-9086-012E2472CB44}" name="Rahoituksen vähennys, kun on varmistettu, ettei vähennys laske rahoituksen kasvua alle keskimääräisen (laskelman välitulos)" dataDxfId="99"/>
    <tableColumn id="8" xr3:uid="{C7062487-00EE-4BA7-ACAD-B7B5F30EE9E9}" name="Toteutuva lisäys tai vähennys yhteensä" dataDxfId="98"/>
    <tableColumn id="11" xr3:uid="{5D4D73ED-F598-485F-A1EB-B0217F94D468}" name="Toteutuva lisäys tai vähennys yhteensä, euroa/asukas" dataDxfId="97">
      <calculatedColumnFormula>H36/C8</calculatedColumnFormula>
    </tableColumn>
    <tableColumn id="9" xr3:uid="{7F4E468E-65C8-4DF0-8768-6C5ED7B16FE6}" name="Rahoitus yhteensä tasauksen jälkeen" dataDxfId="96" dataCellStyle="Comma">
      <calculatedColumnFormula>G8+H36</calculatedColumnFormula>
    </tableColumn>
    <tableColumn id="14" xr3:uid="{704C8435-6CD3-4F47-A10E-D60AD562E4C7}" name="Rahoituksen muutos tasauksen jälkeen, prosenttia" dataDxfId="95" dataCellStyle="Percent">
      <calculatedColumnFormula>J36/D8-1</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29241E5-BBF3-4564-A9DB-CB2016A15E5E}" name="Yhteenveto_vuoden_2027_rahoituksesta" displayName="Yhteenveto_vuoden_2027_rahoituksesta" ref="A6:L29" totalsRowShown="0" headerRowDxfId="241" dataDxfId="240" tableBorderDxfId="239">
  <tableColumns count="12">
    <tableColumn id="1" xr3:uid="{9FCCAA0D-7EAB-4BAE-92BB-CF0F8CCE65C7}" name="Hyvinvointialuekoodi" dataDxfId="238" dataCellStyle="Normaali 2"/>
    <tableColumn id="2" xr3:uid="{61184185-4038-42BB-82B1-055661397ECC}" name="Hyvinvointialue" dataDxfId="237" dataCellStyle="Comma"/>
    <tableColumn id="3" xr3:uid="{568E9CED-354C-4E19-AB75-4D05F21135E9}" name="Asukasluku 2025" dataDxfId="236" dataCellStyle="Comma">
      <calculatedColumnFormula>Määräytymistekijät!C7</calculatedColumnFormula>
    </tableColumn>
    <tableColumn id="4" xr3:uid="{E225DC9F-ABC6-49DD-875B-4E01AEC09863}" name="Vuoden 2026 rahoitus yhteensä, euroa (18.12.2025)" dataDxfId="235"/>
    <tableColumn id="5" xr3:uid="{88248C36-57D6-4311-9F4E-F54BA42DC05E}" name="Laskennallinen rahoitus vuonna 2027, euroa" dataDxfId="234">
      <calculatedColumnFormula>'SOTE laskennallinen rahoitus'!N54+'PELA laskennallinen rahoitus'!F48</calculatedColumnFormula>
    </tableColumn>
    <tableColumn id="6" xr3:uid="{77130346-B55C-4B96-9FF0-9C493AEC2B4F}" name="Siirtymätasaus vuonna 2027, euroa" dataDxfId="233"/>
    <tableColumn id="7" xr3:uid="{318E0189-EEA1-484C-AF9A-652B7F446A62}" name="Vähimmäistasoa koskeva tasaus, euroa" dataDxfId="232">
      <calculatedColumnFormula>'Vähimmäistasoa koskeva tasaus'!H36</calculatedColumnFormula>
    </tableColumn>
    <tableColumn id="8" xr3:uid="{DD4E6FB1-1075-4764-AC9F-3052C3B20D86}" name="Vuoden 2027 rahoitus yhteensä, euroa" dataDxfId="231">
      <calculatedColumnFormula>E7+F7+G7</calculatedColumnFormula>
    </tableColumn>
    <tableColumn id="9" xr3:uid="{E1EEF3FD-229B-4AFC-AD5E-6CCF40E09CE7}" name="Rahoitukseen sisältyvä jälkikäteistarkistus yhteensä vuonna 2027, euroa" dataDxfId="230"/>
    <tableColumn id="10" xr3:uid="{1034DABB-E4C5-4DB1-BB96-E2302CDEEA33}" name="Vuoden 2027 rahoitus yhteensä, euroa/asukas" dataDxfId="229" dataCellStyle="Comma">
      <calculatedColumnFormula>H7/C7</calculatedColumnFormula>
    </tableColumn>
    <tableColumn id="11" xr3:uid="{936A645F-871C-49BE-A83E-F6795D29B8A3}" name="Rahoituksen muutos vuodelle 2027, euroa" dataDxfId="228">
      <calculatedColumnFormula>H7-D7</calculatedColumnFormula>
    </tableColumn>
    <tableColumn id="12" xr3:uid="{30CE1B15-B074-4B60-AECD-5DC661B0B4D5}" name="Rahoituksen muutos vuodelle 2027, prosenttia" dataDxfId="227" dataCellStyle="Percent">
      <calculatedColumnFormula>K7/D7</calculatedColumnFormula>
    </tableColumn>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2EE805-725E-4297-942D-102BEF1041AC}" name="Hyte_tiedot" displayName="Hyte_tiedot" ref="A32:P54" totalsRowShown="0">
  <autoFilter ref="A32:P54" xr:uid="{222EE805-725E-4297-942D-102BEF1041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1D8DCF4-FF89-47D6-B894-448E20C0E6A3}" name="Hyvinvointialuekoodi" dataDxfId="94" dataCellStyle="Normaali 13"/>
    <tableColumn id="2" xr3:uid="{AC6ADF28-7F57-48E0-8927-AAE415AF7B80}" name="Hyvinvointialue" dataDxfId="93" dataCellStyle="Normaali 13"/>
    <tableColumn id="3" xr3:uid="{40A987DC-FDF1-41E2-98D6-450764792BBF}" name="Lastenneuvolan 4-vuotiaiden terveystarkastuksista poisjäävien tuen tarpeen selvittäminen" dataDxfId="92" dataCellStyle="Normaali 13"/>
    <tableColumn id="4" xr3:uid="{E1BA4E7E-856C-4E44-B2D8-3974C22E1B14}" name="Kouluterveydenhuollon 8.-luokkalaisten terveystarkastuksista poisjäävien tuen tarpeen selvittäminen" dataDxfId="91" dataCellStyle="Normaali 13"/>
    <tableColumn id="5" xr3:uid="{454E3ED1-13E0-4A75-AF06-3C4641671C38}" name="Elintapaneuvonnan toteutuminen tyypin 2 diabetesriskissä oleville Käypä hoito -suosituksen mukaisesti" dataDxfId="90" dataCellStyle="Normaali 13"/>
    <tableColumn id="6" xr3:uid="{D9559195-019D-44B6-A9F1-FBDEE5C2563D}" name="Alkoholinkäytön mini-intervention toteutuminen, kun juomiseen liittyy haitta tai haittariski" dataDxfId="89" dataCellStyle="Normaali 13"/>
    <tableColumn id="7" xr3:uid="{FC157637-57BB-4974-A3D9-85E27B5AFBD1}" name="Lasten tuhkarokko-sikotauti-vihurirokko (MRP) -rokotuskattavuus" dataDxfId="88" dataCellStyle="Normaali 13"/>
    <tableColumn id="8" xr3:uid="{79DA5E80-9F81-42F1-89CE-0F1788254F6E}" name="Työttömien toteutuneiden terveystarkastusten osuus suhteessa työttömien kokonaismäärään" dataDxfId="87" dataCellStyle="Normaali 13"/>
    <tableColumn id="9" xr3:uid="{7307BF8E-D979-4DB7-91F2-3294B7E3FF96}" name="Vammojen ja myrkytysten vuoksi sairaalassa hoidetut potilaat" dataDxfId="86" dataCellStyle="Normaali 13"/>
    <tableColumn id="10" xr3:uid="{86F722EC-554B-43BE-8CE9-3923028E09E2}" name="Lonkkamurtumat 65 vuotta täyttäneillä" dataDxfId="85" dataCellStyle="Normaali 13"/>
    <tableColumn id="11" xr3:uid="{32B401E5-F72A-4BE5-8B0A-8EA7C522C471}" name="Ei työssä, koulutuksessa eikä asevelvollisuutta suorittamassa olevat 18–24–vuotiaat (NEET)" dataDxfId="84" dataCellStyle="Normaali 13"/>
    <tableColumn id="12" xr3:uid="{5805A6CF-81FA-4BC2-A942-B84F8F2639D8}" name="Perustoimeentulotukea pitkäaikaisesti saaneet 25–64-vuotiaat" dataDxfId="83" dataCellStyle="Normaali 13"/>
    <tableColumn id="13" xr3:uid="{08A30BF3-B3EF-4F4C-9660-920390B09708}" name="Mielenterveyshäiriöiden vuoksi työkyvyttömyyseläkettä saavat 18–34-vuotiaat" dataDxfId="82" dataCellStyle="Normaali 13"/>
    <tableColumn id="14" xr3:uid="{3294EA20-62D1-471A-9732-8F2C01FEDC44}" name="Prosessi-indikaattorien keskiarvo" dataDxfId="81" dataCellStyle="Normaali 13"/>
    <tableColumn id="15" xr3:uid="{8C5F0FF6-D1DD-42A5-9575-0441DC6EDB6B}" name="Tulosindikaattorien keskiarvo" dataDxfId="80" dataCellStyle="Normaali 13"/>
    <tableColumn id="16" xr3:uid="{7F337959-DBC5-4C0C-8DA5-452A621EF0F8}" name="Indikaattorien keskiarvo" dataDxfId="79" dataCellStyle="Normaali 13"/>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34E3E6C-4006-4C63-810C-F6FC8532874F}" name="Hyte_kerroin" displayName="Hyte_kerroin" ref="A6:G29" totalsRowShown="0" headerRowDxfId="78" dataDxfId="76" headerRowBorderDxfId="77" tableBorderDxfId="75" headerRowCellStyle="Normaali 2" dataCellStyle="Normaali 2">
  <tableColumns count="7">
    <tableColumn id="1" xr3:uid="{24D4352D-D2A6-47E2-815E-24800C49EB0E}" name="Hyvinvointialuekoodi" dataDxfId="74" dataCellStyle="Normaali 13"/>
    <tableColumn id="2" xr3:uid="{4D20F99E-15A4-44F3-94B0-E5E3C3630B7C}" name="Hyvinvointialue" dataDxfId="73" dataCellStyle="Normaali 2"/>
    <tableColumn id="3" xr3:uid="{5884B159-A7D8-4F31-AFF3-23F9C6FDBD04}" name="Asukasluku 2025" dataDxfId="72" dataCellStyle="Normaali 2"/>
    <tableColumn id="4" xr3:uid="{8D391C93-B229-46A5-8C29-29BA909C312E}" name="Prosessi-indikaattorien keskiarvo" dataDxfId="71" dataCellStyle="Normaali 2"/>
    <tableColumn id="5" xr3:uid="{399C4BBB-DDAB-40E4-8E6F-928D8D00E0F0}" name="Tulosindikaattorien keskiarvo" dataDxfId="70" dataCellStyle="Normaali 2"/>
    <tableColumn id="6" xr3:uid="{27F3780E-8B65-4573-994C-B408AB79C6B0}" name="Prosessi- ja tulosindikaattorien keskiarvo" dataDxfId="69" dataCellStyle="Normaali 2"/>
    <tableColumn id="7" xr3:uid="{777EE889-AE43-4CCF-8A24-98D72B21C5A6}" name="Rahoituslaskelmassa käytettävä hyte-kerroin" dataDxfId="68" dataCellStyle="Normaali 2"/>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B9E68-4A40-4156-84E0-A0CACF6DBD88}" name="Tarvekertoimet" displayName="Tarvekertoimet" ref="A6:I29" totalsRowShown="0" headerRowDxfId="67">
  <tableColumns count="9">
    <tableColumn id="1" xr3:uid="{9F94AF6D-ED1E-43CC-8C87-E3767B1970CB}" name="Hyvinvointialuekoodi" dataDxfId="66" dataCellStyle="Normaali 2"/>
    <tableColumn id="2" xr3:uid="{31C01BDB-59E2-4582-A479-8A4CE0514D1C}" name="Hyvinvointialue" dataDxfId="65" dataCellStyle="Normaali 2"/>
    <tableColumn id="3" xr3:uid="{287B9178-E25C-4367-84B0-B28C074684DB}" name="Asukasluku 2025" dataDxfId="64" dataCellStyle="Normaali 2"/>
    <tableColumn id="4" xr3:uid="{6AFD16F4-C147-4B08-BCCF-0F0F88C9A3F1}" name="Terveydenhuollon tarvekerroin: Keskiarvo 2023–2024" dataDxfId="63"/>
    <tableColumn id="5" xr3:uid="{8914F851-9C14-4B47-94D2-A82970FF60A4}" name="Vanhustenhuollon tarvekerroin: Keskiarvo 2023–2024" dataDxfId="62"/>
    <tableColumn id="6" xr3:uid="{DAEA885F-743A-4C2B-B24F-2D984ADA29FC}" name="Sosiaalihuollon tarvekerroin: Keskiarvo 2023–2024" dataDxfId="61"/>
    <tableColumn id="10" xr3:uid="{5EF577AD-B224-4591-AF8F-BAF14C95EA49}" name="Rahoituslaskelmassa käytettävä terveydenhuollon tarvekerroin" dataDxfId="60" dataCellStyle="Normaali 11"/>
    <tableColumn id="11" xr3:uid="{259368C9-4E41-4380-88C9-6649D6291EC5}" name="Rahoituslaskelmassa käytettävä vanhustenhuollon tarvekerroin" dataDxfId="59" dataCellStyle="Normaali 11">
      <calculatedColumnFormula>E7/E$29</calculatedColumnFormula>
    </tableColumn>
    <tableColumn id="12" xr3:uid="{2A38237A-07F4-498F-A0C8-049749EB649E}" name="Rahoituslaskelmassa käytettävä sosiaalihuollon tarvekerroin" dataDxfId="58" dataCellStyle="Normaali 11">
      <calculatedColumnFormula>F7/F$29</calculatedColumnFormula>
    </tableColumn>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334493-2A10-44FC-9724-0A20C6EC149B}" name="Tarvekertoimet_2023_ja_2024" displayName="Tarvekertoimet_2023_ja_2024" ref="A32:H54" totalsRowShown="0" headerRowDxfId="57" dataDxfId="56" tableBorderDxfId="55">
  <tableColumns count="8">
    <tableColumn id="1" xr3:uid="{724D2A7B-3F36-40A1-88C7-A9FA273705CB}" name="Hyvinvointialuekoodi" dataDxfId="54" dataCellStyle="Normaali 2"/>
    <tableColumn id="2" xr3:uid="{0610D396-4BAA-4FE8-8023-7A771C041F7D}" name="Hyvinvointialue" dataDxfId="53" dataCellStyle="Normaali 2"/>
    <tableColumn id="4" xr3:uid="{1B548E52-18E6-4A1D-A0CE-271627889DC2}" name="Terveydenhuollon tarvekerroin 2023" dataDxfId="52"/>
    <tableColumn id="5" xr3:uid="{6E015E65-0295-4592-8285-405758507B4F}" name="Vanhustenhuollon tarvekerroin 2023" dataDxfId="51"/>
    <tableColumn id="6" xr3:uid="{3214A69D-BD51-48AF-AFBC-02BA9E375AB2}" name="Sosiaalihuollon tarvekerroin 2023" dataDxfId="50"/>
    <tableColumn id="7" xr3:uid="{A29DA278-D524-4CBA-A40A-F0A84081118A}" name="Terveydenhuollon tarvekerroin 2024" dataDxfId="49"/>
    <tableColumn id="8" xr3:uid="{3AE9D435-209C-4B94-8A92-DC8E32E3D37A}" name="Vanhustenhuollon tarvekerroin 2024" dataDxfId="48"/>
    <tableColumn id="9" xr3:uid="{E1253136-33F1-4C44-98DD-4662936DF2D7}" name="Sosiaalihuollon tarvekerroin 2024" dataDxfId="47"/>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Pela_määräytymistekijät" displayName="Pela_määräytymistekijät" ref="A34:L57" totalsRowShown="0" headerRowDxfId="46" dataDxfId="45" tableBorderDxfId="44" headerRowCellStyle="Normaali 2" dataCellStyle="Normaali 2">
  <autoFilter ref="A34:L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Hyvinvointialuekoodi" dataDxfId="43" dataCellStyle="Normaali 2"/>
    <tableColumn id="2" xr3:uid="{00000000-0010-0000-0E00-000002000000}" name="Hyvinvointialue" dataDxfId="42" dataCellStyle="Normaali 2"/>
    <tableColumn id="3" xr3:uid="{00000000-0010-0000-0E00-000003000000}" name="Asukasluku 2025" dataDxfId="41" dataCellStyle="Normaali 2">
      <calculatedColumnFormula>C7</calculatedColumnFormula>
    </tableColumn>
    <tableColumn id="4" xr3:uid="{00000000-0010-0000-0E00-000004000000}" name="Kokonaispinta-ala, km2" dataDxfId="40" dataCellStyle="Normaali 2"/>
    <tableColumn id="5" xr3:uid="{00000000-0010-0000-0E00-000005000000}" name="Asukastiheys" dataDxfId="39" dataCellStyle="Normaali 2">
      <calculatedColumnFormula>C35/D35</calculatedColumnFormula>
    </tableColumn>
    <tableColumn id="6" xr3:uid="{00000000-0010-0000-0E00-000006000000}" name="Asukastiheyskerroin" dataDxfId="38" dataCellStyle="Normaali 2">
      <calculatedColumnFormula>$E$57/E35</calculatedColumnFormula>
    </tableColumn>
    <tableColumn id="7" xr3:uid="{00000000-0010-0000-0E00-000007000000}" name="RL I (2024)" dataDxfId="37" dataCellStyle="Normaali 2"/>
    <tableColumn id="8" xr3:uid="{00000000-0010-0000-0E00-000008000000}" name="RL II (2024)" dataDxfId="36" dataCellStyle="Normaali 2"/>
    <tableColumn id="9" xr3:uid="{00000000-0010-0000-0E00-000009000000}" name="RL III–IV (2025)" dataDxfId="35" dataCellStyle="Normaali 2"/>
    <tableColumn id="11" xr3:uid="{00000000-0010-0000-0E00-00000B000000}" name="Yhteensä RL I–IV " dataDxfId="34" dataCellStyle="Normaali 2"/>
    <tableColumn id="12" xr3:uid="{00000000-0010-0000-0E00-00000C000000}" name="Painotettu summa" dataDxfId="33" dataCellStyle="Normaali 2">
      <calculatedColumnFormula>J35/C35</calculatedColumnFormula>
    </tableColumn>
    <tableColumn id="13" xr3:uid="{00000000-0010-0000-0E00-00000D000000}" name="Riskikerroin" dataDxfId="32" dataCellStyle="Normaali 2">
      <calculatedColumnFormula>K35/$K$57</calculatedColumnFormula>
    </tableColumn>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Sote_määräytymistekijät" displayName="Sote_määräytymistekijät" ref="A6:L29" totalsRowShown="0" headerRowDxfId="31" dataDxfId="30" tableBorderDxfId="29" headerRowCellStyle="Normaali 2" dataCellStyle="Normaali 2">
  <autoFilter ref="A6:L29"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F00-000001000000}" name="Hyvinvointialuekoodi" dataDxfId="28" dataCellStyle="Normaali 2"/>
    <tableColumn id="2" xr3:uid="{00000000-0010-0000-0F00-000002000000}" name="Hyvinvointialue" dataDxfId="27" dataCellStyle="Normaali 2"/>
    <tableColumn id="3" xr3:uid="{00000000-0010-0000-0F00-000003000000}" name="Asukasluku 2025" dataDxfId="26" dataCellStyle="Normaali 2"/>
    <tableColumn id="4" xr3:uid="{00000000-0010-0000-0F00-000004000000}" name="Ruotsinkielisten määrä kaksikielisillä hyvinvointialueilla" dataDxfId="25" dataCellStyle="Normaali 2"/>
    <tableColumn id="5" xr3:uid="{00000000-0010-0000-0F00-000005000000}" name="Saamenkielisten määrä hyvinvointialueella, jolla sijaitsee saamelaisten kotiseutualueen kunnat" dataDxfId="24" dataCellStyle="Normaali 2"/>
    <tableColumn id="6" xr3:uid="{00000000-0010-0000-0F00-000006000000}" name="Vieraskielisten määrä" dataDxfId="23" dataCellStyle="Normaali 2"/>
    <tableColumn id="7" xr3:uid="{00000000-0010-0000-0F00-000007000000}" name="Maapinta-ala, km2" dataDxfId="22" dataCellStyle="Normaali 2"/>
    <tableColumn id="8" xr3:uid="{00000000-0010-0000-0F00-000008000000}" name="Asukastiheys" dataDxfId="21" dataCellStyle="Normaali 2">
      <calculatedColumnFormula>C7/G7</calculatedColumnFormula>
    </tableColumn>
    <tableColumn id="9" xr3:uid="{00000000-0010-0000-0F00-000009000000}" name="Asukastiheyskerroin" dataDxfId="20" dataCellStyle="Normaali 2">
      <calculatedColumnFormula>$H$29/H7</calculatedColumnFormula>
    </tableColumn>
    <tableColumn id="10" xr3:uid="{00000000-0010-0000-0F00-00000A000000}" name="Saaristoisen hyvinvointialueen saaristoalueiden vakituinen väestö" dataDxfId="19" dataCellStyle="Normaali 2"/>
    <tableColumn id="11" xr3:uid="{F9BA6B09-EEC5-4863-A580-DABE9D787DBB}" name="Saaristoisen hyvinvointialueen saaristoisuuspiste" dataDxfId="18" dataCellStyle="Normaali 2"/>
    <tableColumn id="12" xr3:uid="{49A69ECF-7BBB-420B-8761-27AED72B1E5B}" name="Saaristoisuuskerroin" dataDxfId="17" dataCellStyle="Normaali 2"/>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Vanhustenhuollon_regressiokertoimet" displayName="Vanhustenhuollon_regressiokertoimet" ref="D4:E67" totalsRowShown="0" headerRowDxfId="16">
  <tableColumns count="2">
    <tableColumn id="1" xr3:uid="{00000000-0010-0000-1000-000001000000}" name="Vanhustenhuollon tarvetekijät" dataDxfId="15"/>
    <tableColumn id="2" xr3:uid="{00000000-0010-0000-1000-000002000000}" name="Regressiokerroin" dataDxfId="14"/>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erveydenhuollon_regressiokertoimet" displayName="Terveydenhuollon_regressiokertoimet" ref="A4:B193" totalsRowShown="0" headerRowDxfId="13" dataDxfId="12">
  <tableColumns count="2">
    <tableColumn id="1" xr3:uid="{00000000-0010-0000-1100-000001000000}" name="Terveydenhuollon tarvetekijät" dataDxfId="11"/>
    <tableColumn id="2" xr3:uid="{00000000-0010-0000-1100-000002000000}" name="Regressiokerroin" dataDxfId="10"/>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9DF303-25B4-4BED-9098-7514451D3225}" name="Sosiaalihuollon_regressiokertoimet" displayName="Sosiaalihuollon_regressiokertoimet" ref="G4:H78" totalsRowShown="0" headerRowDxfId="9" dataDxfId="8" tableBorderDxfId="7">
  <tableColumns count="2">
    <tableColumn id="1" xr3:uid="{C0DA564E-A99C-4787-9E19-E691C89E16D1}" name="Sosiaalihuollon tarvetekijät" dataDxfId="6"/>
    <tableColumn id="2" xr3:uid="{07183B49-263A-4353-B349-61BC2A0F376D}" name="Regressiokerroin" dataDxfId="5"/>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uoden_2027_rahoituksen_muodostuminen" displayName="Vuoden_2027_rahoituksen_muodostuminen" ref="A7:B28" totalsRowShown="0" headerRowDxfId="226" dataDxfId="225">
  <tableColumns count="2">
    <tableColumn id="1" xr3:uid="{00000000-0010-0000-0100-000001000000}" name=" " dataDxfId="224"/>
    <tableColumn id="2" xr3:uid="{00000000-0010-0000-0100-000002000000}" name="euroa" dataDxfId="22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Sote_tehtävämuutokset" displayName="Sote_tehtävämuutokset" ref="A30:C45" totalsRowShown="0">
  <autoFilter ref="A30:C45" xr:uid="{00000000-0009-0000-0100-000004000000}">
    <filterColumn colId="0" hiddenButton="1"/>
    <filterColumn colId="1" hiddenButton="1"/>
    <filterColumn colId="2" hiddenButton="1"/>
  </autoFilter>
  <tableColumns count="3">
    <tableColumn id="1" xr3:uid="{00000000-0010-0000-0200-000001000000}" name="Julkisen talouden suunnitelman 2027–2030 mukaiset sote-rahoituksen tehtävämuutokset"/>
    <tableColumn id="3" xr3:uid="{FF601BF0-FF01-4AC1-8C63-4960052AEA17}" name="euroa"/>
    <tableColumn id="2" xr3:uid="{00000000-0010-0000-0200-000002000000}" name="kohdennus"/>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Hyvinvointialueindeksin_laskenta" displayName="Hyvinvointialueindeksin_laskenta" ref="D7:F11" totalsRowShown="0" headerRowDxfId="222" dataDxfId="221">
  <autoFilter ref="D7:F11" xr:uid="{00000000-0009-0000-0100-000015000000}">
    <filterColumn colId="0" hiddenButton="1"/>
    <filterColumn colId="1" hiddenButton="1"/>
    <filterColumn colId="2" hiddenButton="1"/>
  </autoFilter>
  <tableColumns count="3">
    <tableColumn id="1" xr3:uid="{00000000-0010-0000-0300-000001000000}" name="Indeksi" dataDxfId="220"/>
    <tableColumn id="2" xr3:uid="{00000000-0010-0000-0300-000002000000}" name="Paino" dataDxfId="219" dataCellStyle="Comma"/>
    <tableColumn id="3" xr3:uid="{00000000-0010-0000-0300-000003000000}" name=" " dataDxfId="218" dataCellStyle="Percent"/>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EEDD894-97F0-4365-A98A-7DED436F6C36}" name="Palvelutarpeen_muutoksen_laskenta" displayName="Palvelutarpeen_muutoksen_laskenta" ref="D14:E18" totalsRowShown="0" headerRowDxfId="217" dataDxfId="216">
  <tableColumns count="2">
    <tableColumn id="1" xr3:uid="{FB0B91E9-FF4D-4C4B-94B8-6B8548093071}" name="Tekijä" dataDxfId="215"/>
    <tableColumn id="2" xr3:uid="{8C26E5BC-0B1D-425C-8AE3-09FF90FE6F0F}" name="Arvo" dataDxfId="214"/>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CCD36B-F993-4263-BD30-DF36DD4E6428}" name="Jälkikäteistarkistuksen_laskenta" displayName="Jälkikäteistarkistuksen_laskenta" ref="A9:F35" headerRowCount="0" totalsRowShown="0" headerRowDxfId="213">
  <tableColumns count="6">
    <tableColumn id="1" xr3:uid="{5B45A407-50EB-4E89-AD9D-7CD6FC6BF10E}" name="Sarake1" headerRowDxfId="212"/>
    <tableColumn id="2" xr3:uid="{490FA70E-E3BB-4737-B966-80374969BB6D}" name="Sarake2" headerRowDxfId="211"/>
    <tableColumn id="3" xr3:uid="{24518723-52CB-4058-8D0E-F3141D393374}" name="Sarake3" headerRowDxfId="210"/>
    <tableColumn id="4" xr3:uid="{6B63866B-70D8-48B9-BF71-6039C8E12A39}" name="Sarake4" headerRowDxfId="209" dataDxfId="208"/>
    <tableColumn id="5" xr3:uid="{9057A344-13BF-4BDA-BD75-C6AC121BBD53}" name="Sarake5" headerRowDxfId="207"/>
    <tableColumn id="6" xr3:uid="{813A007E-B0BF-4214-BD49-2B48DE438202}" name="Column1" headerRowDxfId="206"/>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0FC7B3D-C719-4BF9-9B38-3007247ED23F}" name="Sote_laskennallinen_määräytymistekijät" displayName="Sote_laskennallinen_määräytymistekijät" ref="A27:N50" totalsRowShown="0" headerRowDxfId="205" dataDxfId="204" tableBorderDxfId="203" headerRowCellStyle="Normaali 2" dataCellStyle="Normaali 2">
  <autoFilter ref="A27:N5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C2403C3-DCEC-4B27-85B6-C99BC8E4225F}" name="Hyvinvointialuekoodi" dataDxfId="202" dataCellStyle="Normaali 2"/>
    <tableColumn id="2" xr3:uid="{BF114DB0-197E-4218-87E9-446B90DD3D80}" name="Hyvinvointialue" dataDxfId="201" dataCellStyle="Normaali 2"/>
    <tableColumn id="3" xr3:uid="{5D60E1FB-117D-4C9C-8387-897474061070}" name="Asukasluku" dataDxfId="200" dataCellStyle="Normaali 2">
      <calculatedColumnFormula>Määräytymistekijät!C7</calculatedColumnFormula>
    </tableColumn>
    <tableColumn id="4" xr3:uid="{67F826DD-9F0C-465B-8A7B-78CE3C8BEC69}" name="Terveydenhuollon palvelutarvekerroin" dataDxfId="199" dataCellStyle="Normaali 2"/>
    <tableColumn id="5" xr3:uid="{B562F6A2-0336-478D-9BF2-9ADB049D15F5}" name="Vanhustenhuollon palvelutarvekerroin" dataDxfId="198" dataCellStyle="Normaali 2"/>
    <tableColumn id="6" xr3:uid="{69167818-2333-4264-A278-170E80B70A12}" name="Sosiaalihuollon palvelutarvekerroin" dataDxfId="197" dataCellStyle="Normaali 2"/>
    <tableColumn id="7" xr3:uid="{F37C51F5-FEB0-4DC3-8817-356F3DF64B5D}" name="Vieraskielisten määrä" dataDxfId="196" dataCellStyle="Normaali 2">
      <calculatedColumnFormula>Määräytymistekijät!F7</calculatedColumnFormula>
    </tableColumn>
    <tableColumn id="8" xr3:uid="{9019F590-1EEF-4096-B72A-16489F45BF59}" name="Ruotsinkielisten määrä kaksikielisillä hyvinvointialueilla" dataDxfId="195" dataCellStyle="Normaali 2">
      <calculatedColumnFormula>Määräytymistekijät!D7</calculatedColumnFormula>
    </tableColumn>
    <tableColumn id="9" xr3:uid="{CB4CA78B-B0FE-411F-90CD-E4F8648E9746}" name="Asukastiheyskerroin" dataDxfId="194" dataCellStyle="Normaali 2">
      <calculatedColumnFormula>Määräytymistekijät!I7</calculatedColumnFormula>
    </tableColumn>
    <tableColumn id="10" xr3:uid="{74574B21-2864-4AE5-A36C-7F6C567597F0}" name="Saaristoisuuskerroin" dataDxfId="193" dataCellStyle="Normaali 2">
      <calculatedColumnFormula>Määräytymistekijät!L7</calculatedColumnFormula>
    </tableColumn>
    <tableColumn id="11" xr3:uid="{67C11BBE-3F15-42C5-90FD-8CEB1D61D3ED}" name="Saaristoisen hyvinvointialueen saaristoalueiden vakituinen väestö" dataDxfId="192" dataCellStyle="Normaali 2">
      <calculatedColumnFormula>Määräytymistekijät!J7</calculatedColumnFormula>
    </tableColumn>
    <tableColumn id="12" xr3:uid="{1D993D62-4D6A-4B94-8954-60604AFAB299}" name="Hyte-kerroin" dataDxfId="191" dataCellStyle="Normaali 2">
      <calculatedColumnFormula>'Hyte-kerroin'!G7</calculatedColumnFormula>
    </tableColumn>
    <tableColumn id="13" xr3:uid="{E07360F9-36B3-4750-9AB4-44D5F0B8C5A4}" name="Saamenkielisten määrä hyvinvointialueella, jolla sijaitsee saamelaisten kotiseutualueen kunnat " dataDxfId="190" dataCellStyle="Normaali 2">
      <calculatedColumnFormula>Määräytymistekijät!E7</calculatedColumnFormula>
    </tableColumn>
    <tableColumn id="14" xr3:uid="{ACF4B2D9-C73A-45E9-8434-15B55DB81405}" name="Yo-sairaala-alueen asukasluku" dataDxfId="189" dataCellStyle="Normaali 2"/>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2E1B276-F30F-45AA-A853-D9316CAC59F4}" name="Sote_laskennallinen_rahoitus_per_asukas" displayName="Sote_laskennallinen_rahoitus_per_asukas" ref="A81:N105" totalsRowShown="0" headerRowDxfId="188" dataDxfId="187" tableBorderDxfId="186" headerRowCellStyle="Normaali 2" dataCellStyle="Normaali 2">
  <autoFilter ref="A81:N10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3CE91A5-EFB7-495D-A707-EFA8655932E3}" name="Hyvinvointialuekoodi" dataDxfId="185" dataCellStyle="Normaali 2"/>
    <tableColumn id="2" xr3:uid="{12E2D1D0-318D-4868-8146-6F71E9206CE9}" name="Hyvinvointialue" dataDxfId="184" dataCellStyle="Normaali 2"/>
    <tableColumn id="3" xr3:uid="{AE871769-1989-4E97-8723-B139A4911E52}" name="Asukasperusteisuus" dataDxfId="183" dataCellStyle="Normaali 2"/>
    <tableColumn id="4" xr3:uid="{528BE6EA-416F-4ECE-971C-55F62894C5FB}" name="Terveydenhuollon palvelutarve" dataDxfId="182" dataCellStyle="Normaali 2"/>
    <tableColumn id="5" xr3:uid="{70D1CDFA-EBE8-4900-8A3C-611829BA6B05}" name="Vanhustenhuollon palvelutarve" dataDxfId="181" dataCellStyle="Normaali 2"/>
    <tableColumn id="6" xr3:uid="{F8ED224B-A5E0-412F-B710-81D32C15F1E3}" name="Sosiaalihuollon palvelutarve" dataDxfId="180" dataCellStyle="Normaali 2"/>
    <tableColumn id="7" xr3:uid="{FB1B9627-E7B4-4BC1-807F-5D0603432667}" name="Vieraskielisyys" dataDxfId="179" dataCellStyle="Normaali 2"/>
    <tableColumn id="8" xr3:uid="{8BBF06ED-051F-4865-8317-61B9DCED3FE2}" name="Kaksikielisyys" dataDxfId="178" dataCellStyle="Normaali 2"/>
    <tableColumn id="9" xr3:uid="{4CFA85AB-098D-4661-A6B6-C6FD41FFB45C}" name="Asukastiheys" dataDxfId="177" dataCellStyle="Normaali 2"/>
    <tableColumn id="10" xr3:uid="{0A1EBF17-4868-4FAD-9307-B38FB304B46D}" name="Saaristoisuus" dataDxfId="176" dataCellStyle="Normaali 2"/>
    <tableColumn id="11" xr3:uid="{AFC5246F-04F6-460C-B2B2-152A7847A5DF}" name="Hyte-kriteeri" dataDxfId="175" dataCellStyle="Normaali 2"/>
    <tableColumn id="12" xr3:uid="{826E679D-1548-4C95-AA01-2C6D1EB7AB7D}" name="Saamenkielisyys" dataDxfId="174" dataCellStyle="Normaali 2"/>
    <tableColumn id="14" xr3:uid="{A1F87D95-5AB7-498D-B2A8-61966F432494}" name="Yo-lisä" dataDxfId="173" dataCellStyle="Normaali 2">
      <calculatedColumnFormula>M54/C28</calculatedColumnFormula>
    </tableColumn>
    <tableColumn id="13" xr3:uid="{EC3783A9-86A2-4A27-B570-05268387F668}" name="Yhteensä, e/as." dataDxfId="172" dataCellStyle="Normaali 2"/>
  </tableColumns>
  <tableStyleInfo name="TableStyleLight13"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8.bin"/><Relationship Id="rId4" Type="http://schemas.openxmlformats.org/officeDocument/2006/relationships/table" Target="../tables/table2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5" Type="http://schemas.openxmlformats.org/officeDocument/2006/relationships/table" Target="../tables/table17.xml"/><Relationship Id="rId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table" Target="../tables/table2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E8C78-36FF-44DC-BCE6-DB6467C84955}">
  <sheetPr>
    <tabColor theme="8"/>
  </sheetPr>
  <dimension ref="A1:G16"/>
  <sheetViews>
    <sheetView tabSelected="1" zoomScaleNormal="100" workbookViewId="0"/>
  </sheetViews>
  <sheetFormatPr defaultRowHeight="14.25" x14ac:dyDescent="0.2"/>
  <cols>
    <col min="1" max="1" width="111.625" customWidth="1"/>
    <col min="2" max="2" width="16.25" customWidth="1"/>
  </cols>
  <sheetData>
    <row r="1" spans="1:7" ht="20.25" x14ac:dyDescent="0.3">
      <c r="A1" s="95" t="s">
        <v>255</v>
      </c>
    </row>
    <row r="2" spans="1:7" x14ac:dyDescent="0.2">
      <c r="A2" s="2" t="s">
        <v>254</v>
      </c>
    </row>
    <row r="3" spans="1:7" ht="25.5" customHeight="1" x14ac:dyDescent="0.2">
      <c r="A3" s="177" t="s">
        <v>256</v>
      </c>
      <c r="C3" s="177"/>
    </row>
    <row r="4" spans="1:7" ht="128.25" x14ac:dyDescent="0.2">
      <c r="A4" s="177" t="s">
        <v>487</v>
      </c>
      <c r="B4" s="71"/>
      <c r="C4" s="77"/>
    </row>
    <row r="5" spans="1:7" ht="109.9" customHeight="1" x14ac:dyDescent="0.2">
      <c r="A5" s="177" t="s">
        <v>467</v>
      </c>
      <c r="B5" s="195"/>
      <c r="C5" s="177"/>
    </row>
    <row r="6" spans="1:7" ht="132.75" customHeight="1" x14ac:dyDescent="0.2">
      <c r="A6" s="177" t="s">
        <v>488</v>
      </c>
    </row>
    <row r="7" spans="1:7" ht="28.5" x14ac:dyDescent="0.2">
      <c r="A7" s="177" t="s">
        <v>466</v>
      </c>
      <c r="B7" s="181"/>
    </row>
    <row r="8" spans="1:7" x14ac:dyDescent="0.2">
      <c r="B8" s="181"/>
    </row>
    <row r="9" spans="1:7" ht="15" x14ac:dyDescent="0.25">
      <c r="A9" s="341" t="s">
        <v>187</v>
      </c>
      <c r="B9" s="214"/>
      <c r="C9" s="214"/>
      <c r="D9" s="214"/>
      <c r="E9" s="214"/>
      <c r="F9" s="214"/>
      <c r="G9" s="214"/>
    </row>
    <row r="10" spans="1:7" x14ac:dyDescent="0.2">
      <c r="A10" s="74" t="s">
        <v>239</v>
      </c>
    </row>
    <row r="11" spans="1:7" x14ac:dyDescent="0.2">
      <c r="A11" t="s">
        <v>258</v>
      </c>
    </row>
    <row r="12" spans="1:7" x14ac:dyDescent="0.2">
      <c r="A12" s="123" t="s">
        <v>215</v>
      </c>
    </row>
    <row r="14" spans="1:7" x14ac:dyDescent="0.2">
      <c r="A14" s="74" t="s">
        <v>257</v>
      </c>
    </row>
    <row r="15" spans="1:7" x14ac:dyDescent="0.2">
      <c r="A15" t="s">
        <v>258</v>
      </c>
    </row>
    <row r="16" spans="1:7" x14ac:dyDescent="0.2">
      <c r="A16" s="123" t="s">
        <v>259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X58"/>
  <sheetViews>
    <sheetView zoomScaleNormal="100" workbookViewId="0"/>
  </sheetViews>
  <sheetFormatPr defaultRowHeight="14.25" x14ac:dyDescent="0.2"/>
  <cols>
    <col min="1" max="1" width="20.25" style="111" customWidth="1"/>
    <col min="2" max="2" width="25.25" style="111" customWidth="1"/>
    <col min="3" max="3" width="19.375" style="111" customWidth="1"/>
    <col min="4" max="4" width="23.25" style="111" customWidth="1"/>
    <col min="5" max="5" width="22.75" style="111" customWidth="1"/>
    <col min="6" max="6" width="20.625" style="111" customWidth="1"/>
    <col min="7" max="7" width="17.75" style="111" customWidth="1"/>
    <col min="8" max="8" width="18.25" style="111" customWidth="1"/>
    <col min="9" max="9" width="20.375" style="111" customWidth="1"/>
    <col min="10" max="10" width="18.25" style="111" customWidth="1"/>
    <col min="11" max="11" width="17.125" style="111" customWidth="1"/>
    <col min="12" max="12" width="20.125" style="111" customWidth="1"/>
    <col min="13" max="15" width="9" style="111"/>
    <col min="16" max="16" width="8.875" style="111" bestFit="1" customWidth="1"/>
    <col min="17" max="16384" width="9" style="111"/>
  </cols>
  <sheetData>
    <row r="1" spans="1:14" ht="20.25" x14ac:dyDescent="0.3">
      <c r="A1" s="95" t="s">
        <v>5</v>
      </c>
      <c r="B1" s="5"/>
      <c r="C1" s="5"/>
      <c r="D1" s="5"/>
      <c r="E1" s="5"/>
      <c r="F1" s="5"/>
      <c r="G1" s="5"/>
      <c r="H1" s="5"/>
      <c r="I1" s="5"/>
      <c r="J1" s="6"/>
      <c r="K1" s="5"/>
      <c r="L1" s="5"/>
      <c r="M1" s="395"/>
    </row>
    <row r="2" spans="1:14" x14ac:dyDescent="0.2">
      <c r="A2" t="str">
        <f>INFO!A2</f>
        <v>VM/HVO 30.4.2026</v>
      </c>
      <c r="B2" s="5"/>
      <c r="C2" s="5"/>
      <c r="D2" s="5"/>
      <c r="E2" s="5"/>
      <c r="F2" s="5"/>
      <c r="G2" s="5"/>
      <c r="H2" s="5"/>
      <c r="I2" s="5"/>
      <c r="J2" s="6"/>
      <c r="K2" s="5"/>
      <c r="L2" s="5"/>
      <c r="M2" s="395"/>
    </row>
    <row r="3" spans="1:14" s="388" customFormat="1" ht="17.25" thickBot="1" x14ac:dyDescent="0.3">
      <c r="A3" s="91" t="s">
        <v>462</v>
      </c>
      <c r="B3" s="91"/>
      <c r="C3" s="91"/>
      <c r="D3" s="91"/>
      <c r="E3" s="91"/>
      <c r="F3" s="91"/>
      <c r="G3" s="91"/>
      <c r="H3" s="91"/>
      <c r="I3" s="91"/>
      <c r="J3" s="91"/>
      <c r="K3" s="91"/>
      <c r="L3" s="91"/>
      <c r="M3" s="387"/>
    </row>
    <row r="4" spans="1:14" s="388" customFormat="1" ht="15.75" thickTop="1" x14ac:dyDescent="0.25">
      <c r="A4" s="359" t="s">
        <v>482</v>
      </c>
      <c r="B4" s="4"/>
      <c r="C4" s="7"/>
      <c r="D4" s="7"/>
      <c r="E4" s="7"/>
      <c r="F4" s="7"/>
      <c r="G4" s="7"/>
      <c r="H4" s="7"/>
      <c r="I4" s="7"/>
      <c r="J4" s="7"/>
      <c r="K4" s="7"/>
      <c r="L4" s="7"/>
      <c r="M4" s="387"/>
    </row>
    <row r="5" spans="1:14" s="388" customFormat="1" ht="15" x14ac:dyDescent="0.25">
      <c r="A5" s="359" t="s">
        <v>483</v>
      </c>
      <c r="B5" s="4"/>
      <c r="C5" s="7"/>
      <c r="D5" s="7"/>
      <c r="E5" s="7"/>
      <c r="F5" s="7"/>
      <c r="G5" s="7"/>
      <c r="H5" s="7"/>
      <c r="I5" s="7"/>
      <c r="J5" s="7"/>
      <c r="K5" s="7"/>
      <c r="L5" s="7"/>
      <c r="M5" s="387"/>
    </row>
    <row r="6" spans="1:14" s="388" customFormat="1" ht="62.45" customHeight="1" x14ac:dyDescent="0.25">
      <c r="A6" s="83" t="s">
        <v>6</v>
      </c>
      <c r="B6" s="83" t="s">
        <v>7</v>
      </c>
      <c r="C6" s="10" t="s">
        <v>311</v>
      </c>
      <c r="D6" s="10" t="s">
        <v>8</v>
      </c>
      <c r="E6" s="10" t="s">
        <v>9</v>
      </c>
      <c r="F6" s="10" t="s">
        <v>10</v>
      </c>
      <c r="G6" s="10" t="s">
        <v>11</v>
      </c>
      <c r="H6" s="10" t="s">
        <v>12</v>
      </c>
      <c r="I6" s="10" t="s">
        <v>36</v>
      </c>
      <c r="J6" s="84" t="s">
        <v>355</v>
      </c>
      <c r="K6" s="307" t="s">
        <v>342</v>
      </c>
      <c r="L6" s="307" t="s">
        <v>326</v>
      </c>
      <c r="M6" s="387"/>
      <c r="N6" s="387"/>
    </row>
    <row r="7" spans="1:14" s="388" customFormat="1" x14ac:dyDescent="0.2">
      <c r="A7" s="289">
        <v>31</v>
      </c>
      <c r="B7" s="58" t="s">
        <v>13</v>
      </c>
      <c r="C7" s="290">
        <v>694392</v>
      </c>
      <c r="D7" s="290">
        <v>37349</v>
      </c>
      <c r="E7" s="290"/>
      <c r="F7" s="290">
        <v>147482</v>
      </c>
      <c r="G7" s="290">
        <v>214.58</v>
      </c>
      <c r="H7" s="291">
        <f>C7/G7</f>
        <v>3236.0518221642278</v>
      </c>
      <c r="I7" s="292">
        <f t="shared" ref="I7:I29" si="0">$H$29/H7</f>
        <v>5.7429589451085264E-3</v>
      </c>
      <c r="J7" s="290"/>
      <c r="K7" s="306"/>
      <c r="L7" s="309"/>
      <c r="M7" s="387"/>
      <c r="N7" s="387"/>
    </row>
    <row r="8" spans="1:14" s="388" customFormat="1" x14ac:dyDescent="0.2">
      <c r="A8" s="289">
        <v>32</v>
      </c>
      <c r="B8" s="58" t="s">
        <v>39</v>
      </c>
      <c r="C8" s="290">
        <v>291723</v>
      </c>
      <c r="D8" s="290">
        <v>5719</v>
      </c>
      <c r="E8" s="290"/>
      <c r="F8" s="290">
        <v>82712</v>
      </c>
      <c r="G8" s="290">
        <v>269.02999999999997</v>
      </c>
      <c r="H8" s="291">
        <f t="shared" ref="H8:H28" si="1">C8/G8</f>
        <v>1084.3511875998961</v>
      </c>
      <c r="I8" s="292">
        <f t="shared" si="0"/>
        <v>1.7138831931440751E-2</v>
      </c>
      <c r="J8" s="290"/>
      <c r="K8" s="306"/>
      <c r="L8" s="309"/>
      <c r="M8" s="387"/>
      <c r="N8" s="387"/>
    </row>
    <row r="9" spans="1:14" s="388" customFormat="1" x14ac:dyDescent="0.2">
      <c r="A9" s="289">
        <v>33</v>
      </c>
      <c r="B9" s="58" t="s">
        <v>14</v>
      </c>
      <c r="C9" s="290">
        <v>506379</v>
      </c>
      <c r="D9" s="290">
        <v>55873</v>
      </c>
      <c r="E9" s="290"/>
      <c r="F9" s="290">
        <v>100208</v>
      </c>
      <c r="G9" s="290">
        <v>4253.66</v>
      </c>
      <c r="H9" s="291">
        <f t="shared" si="1"/>
        <v>119.04548083297678</v>
      </c>
      <c r="I9" s="292">
        <f t="shared" si="0"/>
        <v>0.15611271111590744</v>
      </c>
      <c r="J9" s="306">
        <v>1353</v>
      </c>
      <c r="K9" s="290">
        <v>71</v>
      </c>
      <c r="L9" s="309">
        <f>K9/$K$29</f>
        <v>0.78756912789060518</v>
      </c>
      <c r="M9" s="387"/>
      <c r="N9" s="387"/>
    </row>
    <row r="10" spans="1:14" s="388" customFormat="1" x14ac:dyDescent="0.2">
      <c r="A10" s="289">
        <v>34</v>
      </c>
      <c r="B10" s="58" t="s">
        <v>15</v>
      </c>
      <c r="C10" s="290">
        <v>99584</v>
      </c>
      <c r="D10" s="290">
        <v>26797</v>
      </c>
      <c r="E10" s="290"/>
      <c r="F10" s="290">
        <v>8238</v>
      </c>
      <c r="G10" s="290">
        <v>2703.65</v>
      </c>
      <c r="H10" s="291">
        <f t="shared" si="1"/>
        <v>36.833169973924136</v>
      </c>
      <c r="I10" s="292">
        <f t="shared" si="0"/>
        <v>0.50455914525113144</v>
      </c>
      <c r="J10" s="306">
        <v>3133</v>
      </c>
      <c r="K10" s="290">
        <v>99</v>
      </c>
      <c r="L10" s="309">
        <f>K10/$K$29</f>
        <v>1.0981597698756325</v>
      </c>
      <c r="M10" s="387"/>
      <c r="N10" s="387"/>
    </row>
    <row r="11" spans="1:14" s="388" customFormat="1" x14ac:dyDescent="0.2">
      <c r="A11" s="289">
        <v>35</v>
      </c>
      <c r="B11" s="58" t="s">
        <v>16</v>
      </c>
      <c r="C11" s="290">
        <v>207551</v>
      </c>
      <c r="D11" s="290"/>
      <c r="E11" s="290"/>
      <c r="F11" s="290">
        <v>17902</v>
      </c>
      <c r="G11" s="290">
        <v>1669.72</v>
      </c>
      <c r="H11" s="291">
        <f t="shared" si="1"/>
        <v>124.30287712909949</v>
      </c>
      <c r="I11" s="292">
        <f t="shared" si="0"/>
        <v>0.14950991632825317</v>
      </c>
      <c r="J11" s="306"/>
      <c r="K11" s="290"/>
      <c r="L11" s="309"/>
      <c r="M11" s="387"/>
      <c r="N11" s="387"/>
    </row>
    <row r="12" spans="1:14" s="388" customFormat="1" x14ac:dyDescent="0.2">
      <c r="A12" s="58">
        <v>2</v>
      </c>
      <c r="B12" s="58" t="s">
        <v>17</v>
      </c>
      <c r="C12" s="290">
        <v>497800</v>
      </c>
      <c r="D12" s="290">
        <v>27522</v>
      </c>
      <c r="E12" s="290"/>
      <c r="F12" s="290">
        <v>58815</v>
      </c>
      <c r="G12" s="290">
        <v>10677.09</v>
      </c>
      <c r="H12" s="291">
        <f t="shared" si="1"/>
        <v>46.623190401129897</v>
      </c>
      <c r="I12" s="292">
        <f t="shared" si="0"/>
        <v>0.39861091870886661</v>
      </c>
      <c r="J12" s="306">
        <v>30926</v>
      </c>
      <c r="K12" s="290">
        <v>100</v>
      </c>
      <c r="L12" s="309">
        <f>K12/$K$29</f>
        <v>1.1092522928036692</v>
      </c>
      <c r="M12" s="387"/>
      <c r="N12" s="387"/>
    </row>
    <row r="13" spans="1:14" s="388" customFormat="1" x14ac:dyDescent="0.2">
      <c r="A13" s="58">
        <v>4</v>
      </c>
      <c r="B13" s="58" t="s">
        <v>18</v>
      </c>
      <c r="C13" s="290">
        <v>210112</v>
      </c>
      <c r="D13" s="290"/>
      <c r="E13" s="290"/>
      <c r="F13" s="290">
        <v>13284</v>
      </c>
      <c r="G13" s="290">
        <v>7824.19</v>
      </c>
      <c r="H13" s="291">
        <f t="shared" si="1"/>
        <v>26.85415359289588</v>
      </c>
      <c r="I13" s="292">
        <f t="shared" si="0"/>
        <v>0.69205356611385549</v>
      </c>
      <c r="J13" s="306"/>
      <c r="K13" s="290"/>
      <c r="L13" s="309"/>
      <c r="M13" s="387"/>
      <c r="N13" s="387"/>
    </row>
    <row r="14" spans="1:14" s="388" customFormat="1" x14ac:dyDescent="0.2">
      <c r="A14" s="58">
        <v>5</v>
      </c>
      <c r="B14" s="58" t="s">
        <v>19</v>
      </c>
      <c r="C14" s="290">
        <v>168957</v>
      </c>
      <c r="D14" s="290"/>
      <c r="E14" s="290"/>
      <c r="F14" s="290">
        <v>11698</v>
      </c>
      <c r="G14" s="290">
        <v>5200.1099999999997</v>
      </c>
      <c r="H14" s="291">
        <f t="shared" si="1"/>
        <v>32.491043458696069</v>
      </c>
      <c r="I14" s="292">
        <f t="shared" si="0"/>
        <v>0.57198879385200985</v>
      </c>
      <c r="J14" s="306"/>
      <c r="K14" s="290"/>
      <c r="L14" s="309"/>
      <c r="M14" s="387"/>
      <c r="N14" s="387"/>
    </row>
    <row r="15" spans="1:14" s="388" customFormat="1" x14ac:dyDescent="0.2">
      <c r="A15" s="58">
        <v>6</v>
      </c>
      <c r="B15" s="58" t="s">
        <v>20</v>
      </c>
      <c r="C15" s="290">
        <v>548910</v>
      </c>
      <c r="D15" s="290"/>
      <c r="E15" s="290"/>
      <c r="F15" s="290">
        <v>42804</v>
      </c>
      <c r="G15" s="290">
        <v>13249.18</v>
      </c>
      <c r="H15" s="291">
        <f t="shared" si="1"/>
        <v>41.429733764655623</v>
      </c>
      <c r="I15" s="292">
        <f t="shared" si="0"/>
        <v>0.44857910177514942</v>
      </c>
      <c r="J15" s="306"/>
      <c r="K15" s="290"/>
      <c r="L15" s="309"/>
      <c r="M15" s="387"/>
      <c r="N15" s="387"/>
    </row>
    <row r="16" spans="1:14" s="388" customFormat="1" x14ac:dyDescent="0.2">
      <c r="A16" s="58">
        <v>7</v>
      </c>
      <c r="B16" s="58" t="s">
        <v>21</v>
      </c>
      <c r="C16" s="290">
        <v>204522</v>
      </c>
      <c r="D16" s="290"/>
      <c r="E16" s="290"/>
      <c r="F16" s="290">
        <v>17148</v>
      </c>
      <c r="G16" s="290">
        <v>5715.65</v>
      </c>
      <c r="H16" s="291">
        <f t="shared" si="1"/>
        <v>35.782806854863402</v>
      </c>
      <c r="I16" s="292">
        <f t="shared" si="0"/>
        <v>0.51936989835124947</v>
      </c>
      <c r="J16" s="306"/>
      <c r="K16" s="290"/>
      <c r="L16" s="309"/>
      <c r="M16" s="387"/>
      <c r="N16" s="387"/>
    </row>
    <row r="17" spans="1:14" s="388" customFormat="1" x14ac:dyDescent="0.2">
      <c r="A17" s="58">
        <v>8</v>
      </c>
      <c r="B17" s="58" t="s">
        <v>22</v>
      </c>
      <c r="C17" s="290">
        <v>156198</v>
      </c>
      <c r="D17" s="290">
        <v>1135</v>
      </c>
      <c r="E17" s="290"/>
      <c r="F17" s="290">
        <v>12993</v>
      </c>
      <c r="G17" s="290">
        <v>4561.2700000000004</v>
      </c>
      <c r="H17" s="291">
        <f t="shared" si="1"/>
        <v>34.244409999846532</v>
      </c>
      <c r="I17" s="292">
        <f t="shared" si="0"/>
        <v>0.54270208653079688</v>
      </c>
      <c r="J17" s="306"/>
      <c r="K17" s="290"/>
      <c r="L17" s="309"/>
      <c r="M17" s="387"/>
      <c r="N17" s="387"/>
    </row>
    <row r="18" spans="1:14" s="388" customFormat="1" x14ac:dyDescent="0.2">
      <c r="A18" s="58">
        <v>9</v>
      </c>
      <c r="B18" s="58" t="s">
        <v>23</v>
      </c>
      <c r="C18" s="290">
        <v>124238</v>
      </c>
      <c r="D18" s="290"/>
      <c r="E18" s="290"/>
      <c r="F18" s="290">
        <v>12380</v>
      </c>
      <c r="G18" s="290">
        <v>5327.89</v>
      </c>
      <c r="H18" s="291">
        <f t="shared" si="1"/>
        <v>23.318424366869436</v>
      </c>
      <c r="I18" s="292">
        <f t="shared" si="0"/>
        <v>0.79698835849893324</v>
      </c>
      <c r="J18" s="306"/>
      <c r="K18" s="290"/>
      <c r="L18" s="309"/>
      <c r="M18" s="387"/>
      <c r="N18" s="387"/>
    </row>
    <row r="19" spans="1:14" s="388" customFormat="1" x14ac:dyDescent="0.2">
      <c r="A19" s="58">
        <v>10</v>
      </c>
      <c r="B19" s="58" t="s">
        <v>24</v>
      </c>
      <c r="C19" s="290">
        <v>128144</v>
      </c>
      <c r="D19" s="290"/>
      <c r="E19" s="290"/>
      <c r="F19" s="290">
        <v>8215</v>
      </c>
      <c r="G19" s="290">
        <v>12652.94</v>
      </c>
      <c r="H19" s="291">
        <f t="shared" si="1"/>
        <v>10.127606706425542</v>
      </c>
      <c r="I19" s="292">
        <f t="shared" si="0"/>
        <v>1.8350349986578471</v>
      </c>
      <c r="J19" s="306">
        <v>10576</v>
      </c>
      <c r="K19" s="290">
        <v>70</v>
      </c>
      <c r="L19" s="309">
        <f>K19/$K$29</f>
        <v>0.77647660496256843</v>
      </c>
      <c r="M19" s="387"/>
      <c r="N19" s="387"/>
    </row>
    <row r="20" spans="1:14" s="388" customFormat="1" x14ac:dyDescent="0.2">
      <c r="A20" s="58">
        <v>11</v>
      </c>
      <c r="B20" s="58" t="s">
        <v>25</v>
      </c>
      <c r="C20" s="290">
        <v>248512</v>
      </c>
      <c r="D20" s="290"/>
      <c r="E20" s="290"/>
      <c r="F20" s="290">
        <v>14189</v>
      </c>
      <c r="G20" s="290">
        <v>17346.310000000001</v>
      </c>
      <c r="H20" s="291">
        <f t="shared" si="1"/>
        <v>14.326505176028791</v>
      </c>
      <c r="I20" s="292">
        <f t="shared" si="0"/>
        <v>1.2972118831903636</v>
      </c>
      <c r="J20" s="306"/>
      <c r="K20" s="290"/>
      <c r="L20" s="309"/>
      <c r="M20" s="387"/>
      <c r="N20" s="387"/>
    </row>
    <row r="21" spans="1:14" s="388" customFormat="1" x14ac:dyDescent="0.2">
      <c r="A21" s="58">
        <v>12</v>
      </c>
      <c r="B21" s="58" t="s">
        <v>26</v>
      </c>
      <c r="C21" s="290">
        <v>161418</v>
      </c>
      <c r="D21" s="290"/>
      <c r="E21" s="290"/>
      <c r="F21" s="290">
        <v>11474</v>
      </c>
      <c r="G21" s="290">
        <v>18794.37</v>
      </c>
      <c r="H21" s="291">
        <f t="shared" si="1"/>
        <v>8.5886358521195447</v>
      </c>
      <c r="I21" s="292">
        <f t="shared" si="0"/>
        <v>2.1638491931575401</v>
      </c>
      <c r="J21" s="306"/>
      <c r="K21" s="290"/>
      <c r="L21" s="309"/>
      <c r="M21" s="387"/>
      <c r="N21" s="387"/>
    </row>
    <row r="22" spans="1:14" s="388" customFormat="1" x14ac:dyDescent="0.2">
      <c r="A22" s="58">
        <v>13</v>
      </c>
      <c r="B22" s="58" t="s">
        <v>27</v>
      </c>
      <c r="C22" s="290">
        <v>273731</v>
      </c>
      <c r="D22" s="290"/>
      <c r="E22" s="290"/>
      <c r="F22" s="290">
        <v>15969</v>
      </c>
      <c r="G22" s="290">
        <v>16042.74</v>
      </c>
      <c r="H22" s="291">
        <f t="shared" si="1"/>
        <v>17.062609005693542</v>
      </c>
      <c r="I22" s="292">
        <f t="shared" si="0"/>
        <v>1.0891952545317907</v>
      </c>
      <c r="J22" s="306"/>
      <c r="K22" s="290"/>
      <c r="L22" s="309"/>
      <c r="M22" s="387"/>
      <c r="N22" s="387"/>
    </row>
    <row r="23" spans="1:14" s="388" customFormat="1" x14ac:dyDescent="0.2">
      <c r="A23" s="58">
        <v>14</v>
      </c>
      <c r="B23" s="58" t="s">
        <v>28</v>
      </c>
      <c r="C23" s="290">
        <v>189474</v>
      </c>
      <c r="D23" s="290"/>
      <c r="E23" s="290"/>
      <c r="F23" s="290">
        <v>9081</v>
      </c>
      <c r="G23" s="290">
        <v>13798.35</v>
      </c>
      <c r="H23" s="291">
        <f t="shared" si="1"/>
        <v>13.731641826740153</v>
      </c>
      <c r="I23" s="292">
        <f t="shared" si="0"/>
        <v>1.3534079167971351</v>
      </c>
      <c r="J23" s="306"/>
      <c r="K23" s="290"/>
      <c r="L23" s="309"/>
      <c r="M23" s="387"/>
      <c r="N23" s="387"/>
    </row>
    <row r="24" spans="1:14" s="388" customFormat="1" x14ac:dyDescent="0.2">
      <c r="A24" s="58">
        <v>15</v>
      </c>
      <c r="B24" s="58" t="s">
        <v>29</v>
      </c>
      <c r="C24" s="290">
        <v>179555</v>
      </c>
      <c r="D24" s="290">
        <v>88238</v>
      </c>
      <c r="E24" s="290"/>
      <c r="F24" s="290">
        <v>20561</v>
      </c>
      <c r="G24" s="290">
        <v>7403.2</v>
      </c>
      <c r="H24" s="291">
        <f t="shared" si="1"/>
        <v>24.253701102226064</v>
      </c>
      <c r="I24" s="292">
        <f t="shared" si="0"/>
        <v>0.76625471224377661</v>
      </c>
      <c r="J24" s="306">
        <v>11446</v>
      </c>
      <c r="K24" s="290">
        <v>82</v>
      </c>
      <c r="L24" s="309">
        <f>K24/$K$29</f>
        <v>0.90958688009900879</v>
      </c>
      <c r="M24" s="387"/>
      <c r="N24" s="387"/>
    </row>
    <row r="25" spans="1:14" s="388" customFormat="1" x14ac:dyDescent="0.2">
      <c r="A25" s="58">
        <v>16</v>
      </c>
      <c r="B25" s="58" t="s">
        <v>30</v>
      </c>
      <c r="C25" s="290">
        <v>67498</v>
      </c>
      <c r="D25" s="290">
        <v>5807</v>
      </c>
      <c r="E25" s="290"/>
      <c r="F25" s="290">
        <v>3590</v>
      </c>
      <c r="G25" s="290">
        <v>5021.38</v>
      </c>
      <c r="H25" s="291">
        <f t="shared" si="1"/>
        <v>13.442121488515109</v>
      </c>
      <c r="I25" s="292">
        <f t="shared" si="0"/>
        <v>1.3825580117551628</v>
      </c>
      <c r="J25" s="290"/>
      <c r="K25" s="306"/>
      <c r="L25" s="309"/>
      <c r="M25" s="387"/>
      <c r="N25" s="387"/>
    </row>
    <row r="26" spans="1:14" s="388" customFormat="1" x14ac:dyDescent="0.2">
      <c r="A26" s="58">
        <v>17</v>
      </c>
      <c r="B26" s="58" t="s">
        <v>31</v>
      </c>
      <c r="C26" s="290">
        <v>417939</v>
      </c>
      <c r="D26" s="290"/>
      <c r="E26" s="290"/>
      <c r="F26" s="290">
        <v>20527</v>
      </c>
      <c r="G26" s="290">
        <v>36833.65</v>
      </c>
      <c r="H26" s="291">
        <f t="shared" si="1"/>
        <v>11.346662630502271</v>
      </c>
      <c r="I26" s="292">
        <f t="shared" si="0"/>
        <v>1.6378836107256445</v>
      </c>
      <c r="J26" s="290"/>
      <c r="K26" s="306"/>
      <c r="L26" s="309"/>
      <c r="M26" s="387"/>
      <c r="N26" s="387"/>
    </row>
    <row r="27" spans="1:14" s="388" customFormat="1" x14ac:dyDescent="0.2">
      <c r="A27" s="58">
        <v>18</v>
      </c>
      <c r="B27" s="58" t="s">
        <v>32</v>
      </c>
      <c r="C27" s="290">
        <v>69193</v>
      </c>
      <c r="D27" s="290"/>
      <c r="E27" s="290"/>
      <c r="F27" s="290">
        <v>4521</v>
      </c>
      <c r="G27" s="290">
        <v>20199.650000000001</v>
      </c>
      <c r="H27" s="291">
        <f t="shared" si="1"/>
        <v>3.4254553915538137</v>
      </c>
      <c r="I27" s="292">
        <f t="shared" si="0"/>
        <v>5.4254137434563754</v>
      </c>
      <c r="J27" s="290"/>
      <c r="K27" s="306"/>
      <c r="L27" s="309"/>
      <c r="M27" s="387"/>
      <c r="N27" s="387"/>
    </row>
    <row r="28" spans="1:14" s="388" customFormat="1" x14ac:dyDescent="0.2">
      <c r="A28" s="58">
        <v>19</v>
      </c>
      <c r="B28" s="58" t="s">
        <v>33</v>
      </c>
      <c r="C28" s="290">
        <v>176215</v>
      </c>
      <c r="D28" s="290"/>
      <c r="E28" s="290">
        <v>1574</v>
      </c>
      <c r="F28" s="290">
        <v>9164</v>
      </c>
      <c r="G28" s="290">
        <v>92753.76</v>
      </c>
      <c r="H28" s="291">
        <f t="shared" si="1"/>
        <v>1.8998151665226295</v>
      </c>
      <c r="I28" s="292">
        <f t="shared" si="0"/>
        <v>9.7822741319353668</v>
      </c>
      <c r="J28" s="290"/>
      <c r="K28" s="306"/>
      <c r="L28" s="309"/>
      <c r="M28" s="387"/>
      <c r="N28" s="387"/>
    </row>
    <row r="29" spans="1:14" s="388" customFormat="1" ht="15" x14ac:dyDescent="0.25">
      <c r="A29" s="58"/>
      <c r="B29" s="114" t="s">
        <v>34</v>
      </c>
      <c r="C29" s="293">
        <f>SUM(C7:C28)</f>
        <v>5622045</v>
      </c>
      <c r="D29" s="293">
        <f>SUM(D7:D28)</f>
        <v>248440</v>
      </c>
      <c r="E29" s="293">
        <f>SUM(E7:E28)</f>
        <v>1574</v>
      </c>
      <c r="F29" s="293">
        <f>SUM(F7:F28)</f>
        <v>642955</v>
      </c>
      <c r="G29" s="293">
        <f>SUM(G7:G28)</f>
        <v>302512.37</v>
      </c>
      <c r="H29" s="294">
        <f t="shared" ref="H29" si="2">C29/G29</f>
        <v>18.584512758932799</v>
      </c>
      <c r="I29" s="295">
        <f t="shared" si="0"/>
        <v>1</v>
      </c>
      <c r="J29" s="308">
        <f>SUM(J7:J28)</f>
        <v>57434</v>
      </c>
      <c r="K29" s="308">
        <f>SUMPRODUCT(J7:J28,K7:K28)/$J$29</f>
        <v>90.150816589476619</v>
      </c>
      <c r="L29" s="310">
        <f>K29/$K$29</f>
        <v>1</v>
      </c>
      <c r="M29" s="396"/>
      <c r="N29" s="396"/>
    </row>
    <row r="30" spans="1:14" s="388" customFormat="1" x14ac:dyDescent="0.2">
      <c r="A30" s="58"/>
      <c r="B30" s="58"/>
      <c r="C30" s="59"/>
      <c r="D30" s="58"/>
      <c r="E30" s="58"/>
      <c r="F30" s="58"/>
      <c r="G30" s="58"/>
      <c r="H30" s="60"/>
      <c r="I30" s="59"/>
      <c r="J30" s="137"/>
      <c r="K30" s="8"/>
      <c r="L30" s="8"/>
      <c r="M30" s="396"/>
    </row>
    <row r="31" spans="1:14" s="388" customFormat="1" ht="17.25" thickBot="1" x14ac:dyDescent="0.3">
      <c r="A31" s="176" t="s">
        <v>227</v>
      </c>
      <c r="B31" s="91"/>
      <c r="C31" s="91"/>
      <c r="D31" s="91"/>
      <c r="E31" s="91"/>
      <c r="F31" s="91"/>
      <c r="G31" s="91"/>
      <c r="H31" s="91"/>
      <c r="I31" s="91"/>
      <c r="J31" s="91"/>
      <c r="K31" s="91"/>
      <c r="L31" s="91"/>
      <c r="M31" s="387"/>
    </row>
    <row r="32" spans="1:14" s="388" customFormat="1" ht="15.75" thickTop="1" x14ac:dyDescent="0.25">
      <c r="A32" s="360" t="s">
        <v>463</v>
      </c>
      <c r="B32" s="62"/>
      <c r="C32" s="63"/>
      <c r="D32" s="62"/>
      <c r="E32" s="62"/>
      <c r="F32" s="66"/>
      <c r="G32" s="62"/>
      <c r="H32" s="64"/>
      <c r="I32" s="63"/>
      <c r="J32" s="65"/>
      <c r="K32" s="61"/>
      <c r="L32" s="61"/>
      <c r="M32" s="387"/>
    </row>
    <row r="33" spans="1:22" s="388" customFormat="1" ht="15" x14ac:dyDescent="0.25">
      <c r="A33" s="360" t="s">
        <v>495</v>
      </c>
      <c r="B33" s="62"/>
      <c r="C33" s="63"/>
      <c r="D33" s="62"/>
      <c r="E33" s="62"/>
      <c r="F33" s="62"/>
      <c r="G33" s="62"/>
      <c r="H33" s="64"/>
      <c r="I33" s="63"/>
      <c r="J33" s="65"/>
      <c r="K33" s="61"/>
      <c r="L33" s="61"/>
      <c r="M33" s="387"/>
    </row>
    <row r="34" spans="1:22" s="388" customFormat="1" ht="23.45" customHeight="1" x14ac:dyDescent="0.25">
      <c r="A34" s="83" t="s">
        <v>6</v>
      </c>
      <c r="B34" s="83" t="s">
        <v>7</v>
      </c>
      <c r="C34" s="173" t="s">
        <v>311</v>
      </c>
      <c r="D34" s="173" t="s">
        <v>167</v>
      </c>
      <c r="E34" s="174" t="s">
        <v>12</v>
      </c>
      <c r="F34" s="173" t="s">
        <v>36</v>
      </c>
      <c r="G34" s="173" t="s">
        <v>240</v>
      </c>
      <c r="H34" s="173" t="s">
        <v>241</v>
      </c>
      <c r="I34" s="173" t="s">
        <v>324</v>
      </c>
      <c r="J34" s="173" t="s">
        <v>325</v>
      </c>
      <c r="K34" s="173" t="s">
        <v>37</v>
      </c>
      <c r="L34" s="173" t="s">
        <v>38</v>
      </c>
      <c r="N34" s="111"/>
      <c r="O34" s="111"/>
      <c r="P34" s="111"/>
      <c r="Q34" s="111"/>
      <c r="R34" s="111"/>
      <c r="S34" s="111"/>
      <c r="T34" s="111"/>
      <c r="U34" s="111"/>
      <c r="V34" s="111"/>
    </row>
    <row r="35" spans="1:22" s="388" customFormat="1" x14ac:dyDescent="0.2">
      <c r="A35" s="284">
        <v>31</v>
      </c>
      <c r="B35" s="58" t="s">
        <v>13</v>
      </c>
      <c r="C35" s="59">
        <f t="shared" ref="C35:C56" si="3">C7</f>
        <v>694392</v>
      </c>
      <c r="D35" s="290">
        <v>715.47</v>
      </c>
      <c r="E35" s="296">
        <f t="shared" ref="E35:E56" si="4">C35/D35</f>
        <v>970.53964526814536</v>
      </c>
      <c r="F35" s="297">
        <f t="shared" ref="F35:F56" si="5">$E$57/E35</f>
        <v>1.5341594590833885E-2</v>
      </c>
      <c r="G35" s="298">
        <v>120</v>
      </c>
      <c r="H35" s="298">
        <v>59</v>
      </c>
      <c r="I35" s="298">
        <v>21</v>
      </c>
      <c r="J35" s="298">
        <f>SUM(G35:I35)</f>
        <v>200</v>
      </c>
      <c r="K35" s="299">
        <f t="shared" ref="K35:K56" si="6">J35/C35</f>
        <v>2.880217514026659E-4</v>
      </c>
      <c r="L35" s="300">
        <f t="shared" ref="L35:L56" si="7">K35/$K$57</f>
        <v>0.39639443019941273</v>
      </c>
      <c r="N35" s="111"/>
      <c r="O35" s="111"/>
      <c r="P35" s="111"/>
      <c r="Q35" s="111"/>
      <c r="R35" s="111"/>
      <c r="S35" s="111"/>
      <c r="T35" s="111"/>
      <c r="U35" s="111"/>
      <c r="V35" s="111"/>
    </row>
    <row r="36" spans="1:22" s="388" customFormat="1" x14ac:dyDescent="0.2">
      <c r="A36" s="284">
        <v>32</v>
      </c>
      <c r="B36" s="58" t="s">
        <v>39</v>
      </c>
      <c r="C36" s="59">
        <f t="shared" si="3"/>
        <v>291723</v>
      </c>
      <c r="D36" s="290">
        <v>271.13</v>
      </c>
      <c r="E36" s="296">
        <f t="shared" si="4"/>
        <v>1075.9524951130454</v>
      </c>
      <c r="F36" s="297">
        <f t="shared" si="5"/>
        <v>1.3838553132841828E-2</v>
      </c>
      <c r="G36" s="298">
        <v>44</v>
      </c>
      <c r="H36" s="298">
        <v>106</v>
      </c>
      <c r="I36" s="298">
        <v>6</v>
      </c>
      <c r="J36" s="298">
        <f t="shared" ref="J36:J56" si="8">SUM(G36:I36)</f>
        <v>156</v>
      </c>
      <c r="K36" s="299">
        <f t="shared" si="6"/>
        <v>5.3475385896895337E-4</v>
      </c>
      <c r="L36" s="300">
        <f t="shared" si="7"/>
        <v>0.73596334370798278</v>
      </c>
      <c r="N36" s="111"/>
      <c r="O36" s="111"/>
      <c r="P36" s="111"/>
      <c r="Q36" s="111"/>
      <c r="R36" s="111"/>
      <c r="S36" s="111"/>
      <c r="T36" s="111"/>
      <c r="U36" s="111"/>
      <c r="V36" s="111"/>
    </row>
    <row r="37" spans="1:22" s="388" customFormat="1" x14ac:dyDescent="0.2">
      <c r="A37" s="284">
        <v>33</v>
      </c>
      <c r="B37" s="58" t="s">
        <v>14</v>
      </c>
      <c r="C37" s="59">
        <f t="shared" si="3"/>
        <v>506379</v>
      </c>
      <c r="D37" s="290">
        <v>7857.51</v>
      </c>
      <c r="E37" s="296">
        <f t="shared" si="4"/>
        <v>64.445225014031166</v>
      </c>
      <c r="F37" s="297">
        <f t="shared" si="5"/>
        <v>0.23104311869178534</v>
      </c>
      <c r="G37" s="298">
        <v>57</v>
      </c>
      <c r="H37" s="298">
        <v>213</v>
      </c>
      <c r="I37" s="298">
        <v>26</v>
      </c>
      <c r="J37" s="298">
        <f t="shared" si="8"/>
        <v>296</v>
      </c>
      <c r="K37" s="299">
        <f t="shared" si="6"/>
        <v>5.8454240795925586E-4</v>
      </c>
      <c r="L37" s="300">
        <f t="shared" si="7"/>
        <v>0.80448561124976614</v>
      </c>
      <c r="N37" s="111"/>
      <c r="O37" s="111"/>
      <c r="P37" s="111"/>
      <c r="Q37" s="111"/>
      <c r="R37" s="111"/>
      <c r="S37" s="111"/>
      <c r="T37" s="111"/>
      <c r="U37" s="111"/>
      <c r="V37" s="111"/>
    </row>
    <row r="38" spans="1:22" s="388" customFormat="1" x14ac:dyDescent="0.2">
      <c r="A38" s="284">
        <v>34</v>
      </c>
      <c r="B38" s="58" t="s">
        <v>15</v>
      </c>
      <c r="C38" s="59">
        <f t="shared" si="3"/>
        <v>99584</v>
      </c>
      <c r="D38" s="290">
        <v>5499.58</v>
      </c>
      <c r="E38" s="296">
        <f t="shared" si="4"/>
        <v>18.107564577658657</v>
      </c>
      <c r="F38" s="297">
        <f t="shared" si="5"/>
        <v>0.82228759743906288</v>
      </c>
      <c r="G38" s="298">
        <v>5</v>
      </c>
      <c r="H38" s="298">
        <v>55</v>
      </c>
      <c r="I38" s="298">
        <v>24</v>
      </c>
      <c r="J38" s="298">
        <f t="shared" si="8"/>
        <v>84</v>
      </c>
      <c r="K38" s="299">
        <f t="shared" si="6"/>
        <v>8.435089974293059E-4</v>
      </c>
      <c r="L38" s="300">
        <f t="shared" si="7"/>
        <v>1.1608924214081866</v>
      </c>
      <c r="N38" s="111"/>
      <c r="O38" s="111"/>
      <c r="P38" s="111"/>
      <c r="Q38" s="111"/>
      <c r="R38" s="111"/>
      <c r="S38" s="111"/>
      <c r="T38" s="111"/>
      <c r="U38" s="111"/>
      <c r="V38" s="111"/>
    </row>
    <row r="39" spans="1:22" s="388" customFormat="1" x14ac:dyDescent="0.2">
      <c r="A39" s="284">
        <v>35</v>
      </c>
      <c r="B39" s="58" t="s">
        <v>16</v>
      </c>
      <c r="C39" s="59">
        <f t="shared" si="3"/>
        <v>207551</v>
      </c>
      <c r="D39" s="290">
        <v>1715.62</v>
      </c>
      <c r="E39" s="296">
        <f t="shared" si="4"/>
        <v>120.97725603571887</v>
      </c>
      <c r="F39" s="297">
        <f t="shared" si="5"/>
        <v>0.12307789298543367</v>
      </c>
      <c r="G39" s="298">
        <v>18</v>
      </c>
      <c r="H39" s="298">
        <v>127</v>
      </c>
      <c r="I39" s="298">
        <v>4</v>
      </c>
      <c r="J39" s="298">
        <f t="shared" si="8"/>
        <v>149</v>
      </c>
      <c r="K39" s="299">
        <f t="shared" si="6"/>
        <v>7.1789584246763447E-4</v>
      </c>
      <c r="L39" s="300">
        <f t="shared" si="7"/>
        <v>0.98801535658897244</v>
      </c>
      <c r="N39" s="111"/>
      <c r="O39" s="111"/>
      <c r="P39" s="111"/>
      <c r="Q39" s="111"/>
      <c r="R39" s="111"/>
      <c r="S39" s="111"/>
      <c r="T39" s="111"/>
      <c r="U39" s="111"/>
      <c r="V39" s="111"/>
    </row>
    <row r="40" spans="1:22" s="388" customFormat="1" x14ac:dyDescent="0.2">
      <c r="A40" s="58">
        <v>2</v>
      </c>
      <c r="B40" s="58" t="s">
        <v>17</v>
      </c>
      <c r="C40" s="59">
        <f t="shared" si="3"/>
        <v>497800</v>
      </c>
      <c r="D40" s="290">
        <v>20537.689999999999</v>
      </c>
      <c r="E40" s="296">
        <f t="shared" si="4"/>
        <v>24.238363710816554</v>
      </c>
      <c r="F40" s="297">
        <f t="shared" si="5"/>
        <v>0.61429995645254754</v>
      </c>
      <c r="G40" s="298">
        <v>46</v>
      </c>
      <c r="H40" s="298">
        <v>275</v>
      </c>
      <c r="I40" s="298">
        <v>58</v>
      </c>
      <c r="J40" s="298">
        <f t="shared" si="8"/>
        <v>379</v>
      </c>
      <c r="K40" s="299">
        <f t="shared" si="6"/>
        <v>7.6134993973483328E-4</v>
      </c>
      <c r="L40" s="300">
        <f t="shared" si="7"/>
        <v>1.0478197360921715</v>
      </c>
      <c r="N40" s="111"/>
      <c r="O40" s="111"/>
      <c r="P40" s="111"/>
      <c r="Q40" s="111"/>
      <c r="R40" s="111"/>
      <c r="S40" s="111"/>
      <c r="T40" s="111"/>
      <c r="U40" s="111"/>
      <c r="V40" s="111"/>
    </row>
    <row r="41" spans="1:22" s="388" customFormat="1" x14ac:dyDescent="0.2">
      <c r="A41" s="58">
        <v>4</v>
      </c>
      <c r="B41" s="58" t="s">
        <v>18</v>
      </c>
      <c r="C41" s="59">
        <f t="shared" si="3"/>
        <v>210112</v>
      </c>
      <c r="D41" s="290">
        <v>11493.01</v>
      </c>
      <c r="E41" s="296">
        <f t="shared" si="4"/>
        <v>18.281720802470371</v>
      </c>
      <c r="F41" s="297">
        <f t="shared" si="5"/>
        <v>0.81445428102280237</v>
      </c>
      <c r="G41" s="298">
        <v>16</v>
      </c>
      <c r="H41" s="298">
        <v>179</v>
      </c>
      <c r="I41" s="298">
        <v>35</v>
      </c>
      <c r="J41" s="298">
        <f t="shared" si="8"/>
        <v>230</v>
      </c>
      <c r="K41" s="299">
        <f t="shared" si="6"/>
        <v>1.0946542796222967E-3</v>
      </c>
      <c r="L41" s="300">
        <f t="shared" si="7"/>
        <v>1.5065350353682094</v>
      </c>
      <c r="N41" s="111"/>
      <c r="O41" s="111"/>
      <c r="P41" s="111"/>
      <c r="Q41" s="111"/>
      <c r="R41" s="111"/>
      <c r="S41" s="111"/>
      <c r="T41" s="111"/>
      <c r="U41" s="111"/>
      <c r="V41" s="111"/>
    </row>
    <row r="42" spans="1:22" s="388" customFormat="1" x14ac:dyDescent="0.2">
      <c r="A42" s="58">
        <v>5</v>
      </c>
      <c r="B42" s="58" t="s">
        <v>19</v>
      </c>
      <c r="C42" s="59">
        <f t="shared" si="3"/>
        <v>168957</v>
      </c>
      <c r="D42" s="290">
        <v>5707.63</v>
      </c>
      <c r="E42" s="296">
        <f t="shared" si="4"/>
        <v>29.601953875776811</v>
      </c>
      <c r="F42" s="297">
        <f t="shared" si="5"/>
        <v>0.50299469536771868</v>
      </c>
      <c r="G42" s="298">
        <v>12</v>
      </c>
      <c r="H42" s="298">
        <v>115</v>
      </c>
      <c r="I42" s="298">
        <v>6</v>
      </c>
      <c r="J42" s="298">
        <f t="shared" si="8"/>
        <v>133</v>
      </c>
      <c r="K42" s="299">
        <f t="shared" si="6"/>
        <v>7.8718253756873051E-4</v>
      </c>
      <c r="L42" s="300">
        <f t="shared" si="7"/>
        <v>1.0833722520013693</v>
      </c>
      <c r="N42" s="111"/>
      <c r="O42" s="111"/>
      <c r="P42" s="111"/>
      <c r="Q42" s="111"/>
      <c r="R42" s="111"/>
      <c r="S42" s="111"/>
      <c r="T42" s="111"/>
      <c r="U42" s="111"/>
      <c r="V42" s="111"/>
    </row>
    <row r="43" spans="1:22" s="388" customFormat="1" x14ac:dyDescent="0.2">
      <c r="A43" s="58">
        <v>6</v>
      </c>
      <c r="B43" s="58" t="s">
        <v>20</v>
      </c>
      <c r="C43" s="59">
        <f t="shared" si="3"/>
        <v>548910</v>
      </c>
      <c r="D43" s="290">
        <v>15549.55</v>
      </c>
      <c r="E43" s="296">
        <f t="shared" si="4"/>
        <v>35.300700020257821</v>
      </c>
      <c r="F43" s="297">
        <f t="shared" si="5"/>
        <v>0.42179406537238606</v>
      </c>
      <c r="G43" s="298">
        <v>47</v>
      </c>
      <c r="H43" s="298">
        <v>281</v>
      </c>
      <c r="I43" s="298">
        <v>14</v>
      </c>
      <c r="J43" s="298">
        <f t="shared" si="8"/>
        <v>342</v>
      </c>
      <c r="K43" s="299">
        <f t="shared" si="6"/>
        <v>6.2305295950155766E-4</v>
      </c>
      <c r="L43" s="300">
        <f t="shared" si="7"/>
        <v>0.85748635880071844</v>
      </c>
      <c r="N43" s="111"/>
      <c r="O43" s="111"/>
      <c r="P43" s="111"/>
      <c r="Q43" s="111"/>
      <c r="R43" s="111"/>
      <c r="S43" s="111"/>
      <c r="T43" s="111"/>
      <c r="U43" s="111"/>
      <c r="V43" s="111"/>
    </row>
    <row r="44" spans="1:22" s="388" customFormat="1" x14ac:dyDescent="0.2">
      <c r="A44" s="58">
        <v>7</v>
      </c>
      <c r="B44" s="58" t="s">
        <v>21</v>
      </c>
      <c r="C44" s="59">
        <f t="shared" si="3"/>
        <v>204522</v>
      </c>
      <c r="D44" s="290">
        <v>6941.7099999999991</v>
      </c>
      <c r="E44" s="296">
        <f t="shared" si="4"/>
        <v>29.46276926002383</v>
      </c>
      <c r="F44" s="297">
        <f t="shared" si="5"/>
        <v>0.50537088488278692</v>
      </c>
      <c r="G44" s="298">
        <v>16</v>
      </c>
      <c r="H44" s="298">
        <v>142</v>
      </c>
      <c r="I44" s="298">
        <v>4</v>
      </c>
      <c r="J44" s="298">
        <f t="shared" si="8"/>
        <v>162</v>
      </c>
      <c r="K44" s="299">
        <f t="shared" si="6"/>
        <v>7.9209082641476221E-4</v>
      </c>
      <c r="L44" s="300">
        <f t="shared" si="7"/>
        <v>1.0901273611238633</v>
      </c>
      <c r="N44" s="111"/>
      <c r="O44" s="111"/>
      <c r="P44" s="111"/>
      <c r="Q44" s="111"/>
      <c r="R44" s="111"/>
      <c r="S44" s="111"/>
      <c r="T44" s="111"/>
      <c r="U44" s="111"/>
      <c r="V44" s="111"/>
    </row>
    <row r="45" spans="1:22" s="388" customFormat="1" x14ac:dyDescent="0.2">
      <c r="A45" s="58">
        <v>8</v>
      </c>
      <c r="B45" s="58" t="s">
        <v>22</v>
      </c>
      <c r="C45" s="59">
        <f t="shared" si="3"/>
        <v>156198</v>
      </c>
      <c r="D45" s="290">
        <v>6768.52</v>
      </c>
      <c r="E45" s="296">
        <f t="shared" si="4"/>
        <v>23.07712764385715</v>
      </c>
      <c r="F45" s="297">
        <f t="shared" si="5"/>
        <v>0.64521139726845744</v>
      </c>
      <c r="G45" s="298">
        <v>12</v>
      </c>
      <c r="H45" s="298">
        <v>132</v>
      </c>
      <c r="I45" s="298">
        <v>34</v>
      </c>
      <c r="J45" s="298">
        <f t="shared" si="8"/>
        <v>178</v>
      </c>
      <c r="K45" s="299">
        <f t="shared" si="6"/>
        <v>1.1395792519750573E-3</v>
      </c>
      <c r="L45" s="300">
        <f t="shared" si="7"/>
        <v>1.5683637296622059</v>
      </c>
      <c r="N45" s="111"/>
      <c r="O45" s="111"/>
      <c r="P45" s="111"/>
      <c r="Q45" s="111"/>
      <c r="R45" s="111"/>
      <c r="S45" s="111"/>
      <c r="T45" s="111"/>
      <c r="U45" s="111"/>
      <c r="V45" s="111"/>
    </row>
    <row r="46" spans="1:22" s="388" customFormat="1" x14ac:dyDescent="0.2">
      <c r="A46" s="58">
        <v>9</v>
      </c>
      <c r="B46" s="58" t="s">
        <v>23</v>
      </c>
      <c r="C46" s="59">
        <f t="shared" si="3"/>
        <v>124238</v>
      </c>
      <c r="D46" s="290">
        <v>6872.119999999999</v>
      </c>
      <c r="E46" s="296">
        <f t="shared" si="4"/>
        <v>18.078555089259211</v>
      </c>
      <c r="F46" s="297">
        <f t="shared" si="5"/>
        <v>0.82360706917787951</v>
      </c>
      <c r="G46" s="298">
        <v>5</v>
      </c>
      <c r="H46" s="298">
        <v>96</v>
      </c>
      <c r="I46" s="298">
        <v>26</v>
      </c>
      <c r="J46" s="298">
        <f t="shared" si="8"/>
        <v>127</v>
      </c>
      <c r="K46" s="299">
        <f t="shared" si="6"/>
        <v>1.0222315233664417E-3</v>
      </c>
      <c r="L46" s="300">
        <f t="shared" si="7"/>
        <v>1.4068620868505965</v>
      </c>
      <c r="N46" s="111"/>
      <c r="O46" s="111"/>
      <c r="P46" s="111"/>
      <c r="Q46" s="111"/>
      <c r="R46" s="111"/>
      <c r="S46" s="111"/>
      <c r="T46" s="111"/>
      <c r="U46" s="111"/>
      <c r="V46" s="111"/>
    </row>
    <row r="47" spans="1:22" s="388" customFormat="1" x14ac:dyDescent="0.2">
      <c r="A47" s="58">
        <v>10</v>
      </c>
      <c r="B47" s="58" t="s">
        <v>24</v>
      </c>
      <c r="C47" s="59">
        <f t="shared" si="3"/>
        <v>128144</v>
      </c>
      <c r="D47" s="290">
        <v>17099.02</v>
      </c>
      <c r="E47" s="296">
        <f t="shared" si="4"/>
        <v>7.4942306635117095</v>
      </c>
      <c r="F47" s="297">
        <f t="shared" si="5"/>
        <v>1.9868117810319053</v>
      </c>
      <c r="G47" s="298">
        <v>9</v>
      </c>
      <c r="H47" s="298">
        <v>98</v>
      </c>
      <c r="I47" s="298">
        <v>28</v>
      </c>
      <c r="J47" s="298">
        <f t="shared" si="8"/>
        <v>135</v>
      </c>
      <c r="K47" s="299">
        <f t="shared" si="6"/>
        <v>1.0535023099013609E-3</v>
      </c>
      <c r="L47" s="300">
        <f t="shared" si="7"/>
        <v>1.4498989948272696</v>
      </c>
      <c r="N47" s="111"/>
      <c r="O47" s="111"/>
      <c r="P47" s="111"/>
      <c r="Q47" s="111"/>
      <c r="R47" s="111"/>
      <c r="S47" s="111"/>
      <c r="T47" s="111"/>
      <c r="U47" s="111"/>
      <c r="V47" s="111"/>
    </row>
    <row r="48" spans="1:22" s="388" customFormat="1" x14ac:dyDescent="0.2">
      <c r="A48" s="58">
        <v>11</v>
      </c>
      <c r="B48" s="58" t="s">
        <v>25</v>
      </c>
      <c r="C48" s="59">
        <f t="shared" si="3"/>
        <v>248512</v>
      </c>
      <c r="D48" s="290">
        <v>21077.919999999998</v>
      </c>
      <c r="E48" s="296">
        <f t="shared" si="4"/>
        <v>11.790157662615668</v>
      </c>
      <c r="F48" s="297">
        <f t="shared" si="5"/>
        <v>1.2628860612481687</v>
      </c>
      <c r="G48" s="298">
        <v>20</v>
      </c>
      <c r="H48" s="298">
        <v>135</v>
      </c>
      <c r="I48" s="298">
        <v>30</v>
      </c>
      <c r="J48" s="298">
        <f t="shared" si="8"/>
        <v>185</v>
      </c>
      <c r="K48" s="299">
        <f t="shared" si="6"/>
        <v>7.444308524336853E-4</v>
      </c>
      <c r="L48" s="300">
        <f t="shared" si="7"/>
        <v>1.0245345781568025</v>
      </c>
      <c r="N48" s="111"/>
      <c r="O48" s="111"/>
      <c r="P48" s="111"/>
      <c r="Q48" s="111"/>
      <c r="R48" s="111"/>
      <c r="S48" s="111"/>
      <c r="T48" s="111"/>
      <c r="U48" s="111"/>
      <c r="V48" s="111"/>
    </row>
    <row r="49" spans="1:24" s="388" customFormat="1" x14ac:dyDescent="0.2">
      <c r="A49" s="58">
        <v>12</v>
      </c>
      <c r="B49" s="58" t="s">
        <v>26</v>
      </c>
      <c r="C49" s="59">
        <f t="shared" si="3"/>
        <v>161418</v>
      </c>
      <c r="D49" s="290">
        <v>22903.200000000004</v>
      </c>
      <c r="E49" s="296">
        <f t="shared" si="4"/>
        <v>7.0478361102378697</v>
      </c>
      <c r="F49" s="297">
        <f t="shared" si="5"/>
        <v>2.1126521018850819</v>
      </c>
      <c r="G49" s="298">
        <v>7</v>
      </c>
      <c r="H49" s="298">
        <v>113</v>
      </c>
      <c r="I49" s="298">
        <v>29</v>
      </c>
      <c r="J49" s="298">
        <f t="shared" si="8"/>
        <v>149</v>
      </c>
      <c r="K49" s="299">
        <f t="shared" si="6"/>
        <v>9.2306929834343133E-4</v>
      </c>
      <c r="L49" s="300">
        <f t="shared" si="7"/>
        <v>1.2703885271493749</v>
      </c>
      <c r="N49" s="111"/>
      <c r="O49" s="111"/>
      <c r="P49" s="111"/>
      <c r="Q49" s="111"/>
      <c r="R49" s="111"/>
      <c r="S49" s="111"/>
      <c r="T49" s="111"/>
      <c r="U49" s="111"/>
      <c r="V49" s="111"/>
    </row>
    <row r="50" spans="1:24" s="388" customFormat="1" x14ac:dyDescent="0.2">
      <c r="A50" s="58">
        <v>13</v>
      </c>
      <c r="B50" s="58" t="s">
        <v>27</v>
      </c>
      <c r="C50" s="59">
        <f t="shared" si="3"/>
        <v>273731</v>
      </c>
      <c r="D50" s="290">
        <v>19012.060000000001</v>
      </c>
      <c r="E50" s="296">
        <f t="shared" si="4"/>
        <v>14.397755950696556</v>
      </c>
      <c r="F50" s="297">
        <f t="shared" si="5"/>
        <v>1.0341629503252736</v>
      </c>
      <c r="G50" s="298">
        <v>19</v>
      </c>
      <c r="H50" s="298">
        <v>163</v>
      </c>
      <c r="I50" s="298">
        <v>23</v>
      </c>
      <c r="J50" s="298">
        <f t="shared" si="8"/>
        <v>205</v>
      </c>
      <c r="K50" s="299">
        <f t="shared" si="6"/>
        <v>7.4891042665974994E-4</v>
      </c>
      <c r="L50" s="300">
        <f t="shared" si="7"/>
        <v>1.0306996620931002</v>
      </c>
      <c r="N50" s="111"/>
      <c r="O50" s="111"/>
      <c r="P50" s="111"/>
      <c r="Q50" s="111"/>
      <c r="R50" s="111"/>
      <c r="S50" s="111"/>
      <c r="T50" s="111"/>
      <c r="U50" s="111"/>
      <c r="V50" s="111"/>
    </row>
    <row r="51" spans="1:24" s="388" customFormat="1" x14ac:dyDescent="0.2">
      <c r="A51" s="58">
        <v>14</v>
      </c>
      <c r="B51" s="58" t="s">
        <v>28</v>
      </c>
      <c r="C51" s="59">
        <f t="shared" si="3"/>
        <v>189474</v>
      </c>
      <c r="D51" s="290">
        <v>14355.6</v>
      </c>
      <c r="E51" s="296">
        <f t="shared" si="4"/>
        <v>13.19861238819694</v>
      </c>
      <c r="F51" s="297">
        <f t="shared" si="5"/>
        <v>1.1281205428345551</v>
      </c>
      <c r="G51" s="298">
        <v>6</v>
      </c>
      <c r="H51" s="298">
        <v>167</v>
      </c>
      <c r="I51" s="298">
        <v>14</v>
      </c>
      <c r="J51" s="298">
        <f t="shared" si="8"/>
        <v>187</v>
      </c>
      <c r="K51" s="299">
        <f t="shared" si="6"/>
        <v>9.8694279953977855E-4</v>
      </c>
      <c r="L51" s="300">
        <f t="shared" si="7"/>
        <v>1.358295429972733</v>
      </c>
      <c r="N51" s="111"/>
      <c r="O51" s="111"/>
      <c r="P51" s="111"/>
      <c r="Q51" s="111"/>
      <c r="R51" s="111"/>
      <c r="S51" s="111"/>
      <c r="T51" s="111"/>
      <c r="U51" s="111"/>
      <c r="V51" s="111"/>
    </row>
    <row r="52" spans="1:24" s="388" customFormat="1" x14ac:dyDescent="0.2">
      <c r="A52" s="58">
        <v>15</v>
      </c>
      <c r="B52" s="58" t="s">
        <v>29</v>
      </c>
      <c r="C52" s="59">
        <f t="shared" si="3"/>
        <v>179555</v>
      </c>
      <c r="D52" s="290">
        <v>17834.09</v>
      </c>
      <c r="E52" s="296">
        <f t="shared" si="4"/>
        <v>10.068077485310436</v>
      </c>
      <c r="F52" s="297">
        <f t="shared" si="5"/>
        <v>1.478894634428463</v>
      </c>
      <c r="G52" s="298">
        <v>13</v>
      </c>
      <c r="H52" s="298">
        <v>118</v>
      </c>
      <c r="I52" s="298">
        <v>28</v>
      </c>
      <c r="J52" s="298">
        <f t="shared" si="8"/>
        <v>159</v>
      </c>
      <c r="K52" s="299">
        <f t="shared" si="6"/>
        <v>8.8552254183954775E-4</v>
      </c>
      <c r="L52" s="300">
        <f t="shared" si="7"/>
        <v>1.2187142175609107</v>
      </c>
      <c r="N52" s="111"/>
      <c r="O52" s="111"/>
      <c r="P52" s="111"/>
      <c r="Q52" s="111"/>
      <c r="R52" s="111"/>
      <c r="S52" s="111"/>
      <c r="T52" s="111"/>
      <c r="U52" s="111"/>
      <c r="V52" s="111"/>
    </row>
    <row r="53" spans="1:24" s="388" customFormat="1" x14ac:dyDescent="0.2">
      <c r="A53" s="58">
        <v>16</v>
      </c>
      <c r="B53" s="58" t="s">
        <v>30</v>
      </c>
      <c r="C53" s="59">
        <f t="shared" si="3"/>
        <v>67498</v>
      </c>
      <c r="D53" s="290">
        <v>6463.1200000000008</v>
      </c>
      <c r="E53" s="296">
        <f t="shared" si="4"/>
        <v>10.443562861280618</v>
      </c>
      <c r="F53" s="297">
        <f t="shared" si="5"/>
        <v>1.4257228083759348</v>
      </c>
      <c r="G53" s="298">
        <v>4</v>
      </c>
      <c r="H53" s="298">
        <v>48</v>
      </c>
      <c r="I53" s="298">
        <v>8</v>
      </c>
      <c r="J53" s="298">
        <f t="shared" si="8"/>
        <v>60</v>
      </c>
      <c r="K53" s="299">
        <f t="shared" si="6"/>
        <v>8.8891522711784048E-4</v>
      </c>
      <c r="L53" s="300">
        <f t="shared" si="7"/>
        <v>1.223383453620984</v>
      </c>
      <c r="N53" s="111"/>
      <c r="O53" s="111"/>
      <c r="P53" s="111"/>
      <c r="Q53" s="111"/>
      <c r="R53" s="111"/>
      <c r="S53" s="111"/>
      <c r="T53" s="111"/>
      <c r="U53" s="111"/>
      <c r="V53" s="111"/>
    </row>
    <row r="54" spans="1:24" s="388" customFormat="1" x14ac:dyDescent="0.2">
      <c r="A54" s="58">
        <v>17</v>
      </c>
      <c r="B54" s="58" t="s">
        <v>31</v>
      </c>
      <c r="C54" s="59">
        <f t="shared" si="3"/>
        <v>417939</v>
      </c>
      <c r="D54" s="290">
        <v>45852.02</v>
      </c>
      <c r="E54" s="296">
        <f t="shared" si="4"/>
        <v>9.1149528417722934</v>
      </c>
      <c r="F54" s="297">
        <f t="shared" si="5"/>
        <v>1.6335384319048771</v>
      </c>
      <c r="G54" s="298">
        <v>21</v>
      </c>
      <c r="H54" s="298">
        <v>251</v>
      </c>
      <c r="I54" s="298">
        <v>52</v>
      </c>
      <c r="J54" s="298">
        <f t="shared" si="8"/>
        <v>324</v>
      </c>
      <c r="K54" s="299">
        <f t="shared" si="6"/>
        <v>7.7523274927680829E-4</v>
      </c>
      <c r="L54" s="300">
        <f t="shared" si="7"/>
        <v>1.0669261693777072</v>
      </c>
      <c r="N54" s="111"/>
      <c r="O54" s="111"/>
      <c r="P54" s="111"/>
      <c r="Q54" s="111"/>
      <c r="R54" s="111"/>
      <c r="S54" s="111"/>
      <c r="T54" s="111"/>
      <c r="U54" s="111"/>
      <c r="V54" s="111"/>
      <c r="W54" s="111"/>
      <c r="X54" s="111"/>
    </row>
    <row r="55" spans="1:24" s="388" customFormat="1" x14ac:dyDescent="0.2">
      <c r="A55" s="58">
        <v>18</v>
      </c>
      <c r="B55" s="58" t="s">
        <v>32</v>
      </c>
      <c r="C55" s="59">
        <f t="shared" si="3"/>
        <v>69193</v>
      </c>
      <c r="D55" s="290">
        <v>22687.88</v>
      </c>
      <c r="E55" s="296">
        <f t="shared" si="4"/>
        <v>3.0497781194188263</v>
      </c>
      <c r="F55" s="297">
        <f t="shared" si="5"/>
        <v>4.8821996843734397</v>
      </c>
      <c r="G55" s="298">
        <v>2</v>
      </c>
      <c r="H55" s="298">
        <v>56</v>
      </c>
      <c r="I55" s="298">
        <v>14</v>
      </c>
      <c r="J55" s="298">
        <f t="shared" si="8"/>
        <v>72</v>
      </c>
      <c r="K55" s="299">
        <f t="shared" si="6"/>
        <v>1.0405676874828379E-3</v>
      </c>
      <c r="L55" s="300">
        <f t="shared" si="7"/>
        <v>1.4320975188676748</v>
      </c>
      <c r="N55" s="111"/>
      <c r="O55" s="111"/>
      <c r="P55" s="111"/>
      <c r="Q55" s="111"/>
      <c r="R55" s="111"/>
      <c r="S55" s="111"/>
      <c r="T55" s="111"/>
      <c r="U55" s="111"/>
      <c r="V55" s="111"/>
      <c r="W55" s="111"/>
      <c r="X55" s="111"/>
    </row>
    <row r="56" spans="1:24" s="388" customFormat="1" x14ac:dyDescent="0.2">
      <c r="A56" s="58">
        <v>19</v>
      </c>
      <c r="B56" s="58" t="s">
        <v>33</v>
      </c>
      <c r="C56" s="59">
        <f t="shared" si="3"/>
        <v>176215</v>
      </c>
      <c r="D56" s="290">
        <v>100366.90000000001</v>
      </c>
      <c r="E56" s="296">
        <f t="shared" si="4"/>
        <v>1.7557083062244623</v>
      </c>
      <c r="F56" s="297">
        <f t="shared" si="5"/>
        <v>8.4806944976268852</v>
      </c>
      <c r="G56" s="298">
        <v>6</v>
      </c>
      <c r="H56" s="298">
        <v>114</v>
      </c>
      <c r="I56" s="298">
        <v>53</v>
      </c>
      <c r="J56" s="298">
        <f t="shared" si="8"/>
        <v>173</v>
      </c>
      <c r="K56" s="299">
        <f t="shared" si="6"/>
        <v>9.817552421757512E-4</v>
      </c>
      <c r="L56" s="300">
        <f t="shared" si="7"/>
        <v>1.3511559731941178</v>
      </c>
      <c r="N56" s="111"/>
      <c r="O56" s="111"/>
      <c r="P56" s="111"/>
      <c r="Q56" s="111"/>
      <c r="R56" s="111"/>
      <c r="S56" s="111"/>
      <c r="T56" s="111"/>
      <c r="U56" s="111"/>
      <c r="V56" s="111"/>
      <c r="W56" s="111"/>
      <c r="X56" s="111"/>
    </row>
    <row r="57" spans="1:24" s="388" customFormat="1" ht="15" x14ac:dyDescent="0.25">
      <c r="A57" s="298"/>
      <c r="B57" s="114" t="s">
        <v>34</v>
      </c>
      <c r="C57" s="148">
        <f t="shared" ref="C57" si="9">C29</f>
        <v>5622045</v>
      </c>
      <c r="D57" s="293">
        <f>SUM(D35:D56)</f>
        <v>377581.35</v>
      </c>
      <c r="E57" s="301">
        <f t="shared" ref="E57" si="10">C57/D57</f>
        <v>14.889625772035616</v>
      </c>
      <c r="F57" s="302">
        <f t="shared" ref="F57" si="11">$E$57/E57</f>
        <v>1</v>
      </c>
      <c r="G57" s="303">
        <v>505</v>
      </c>
      <c r="H57" s="303">
        <v>3043</v>
      </c>
      <c r="I57" s="303">
        <v>537</v>
      </c>
      <c r="J57" s="303">
        <f t="shared" ref="J57" si="12">SUM(J35:J56)</f>
        <v>4085</v>
      </c>
      <c r="K57" s="304">
        <f t="shared" ref="K57" si="13">J57/C57</f>
        <v>7.2660393148756366E-4</v>
      </c>
      <c r="L57" s="305">
        <f t="shared" ref="L57" si="14">K57/$K$57</f>
        <v>1</v>
      </c>
      <c r="N57" s="111"/>
      <c r="O57" s="111"/>
      <c r="P57" s="111"/>
      <c r="Q57" s="111"/>
      <c r="R57" s="111"/>
      <c r="S57" s="111"/>
      <c r="T57" s="111"/>
      <c r="U57" s="111"/>
      <c r="V57" s="111"/>
      <c r="W57" s="111"/>
      <c r="X57" s="111"/>
    </row>
    <row r="58" spans="1:24" x14ac:dyDescent="0.2">
      <c r="C58" s="397"/>
      <c r="D58" s="397"/>
      <c r="G58" s="397"/>
    </row>
  </sheetData>
  <phoneticPr fontId="41" type="noConversion"/>
  <pageMargins left="0.7" right="0.7" top="0.75" bottom="0.75" header="0.3" footer="0.3"/>
  <pageSetup paperSize="9"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H193"/>
  <sheetViews>
    <sheetView zoomScale="101" zoomScaleNormal="85" workbookViewId="0"/>
  </sheetViews>
  <sheetFormatPr defaultRowHeight="14.25" x14ac:dyDescent="0.2"/>
  <cols>
    <col min="1" max="1" width="32.625" customWidth="1"/>
    <col min="2" max="2" width="17" customWidth="1"/>
    <col min="4" max="4" width="34.125" customWidth="1"/>
    <col min="5" max="5" width="16.5" bestFit="1" customWidth="1"/>
    <col min="7" max="7" width="34.125" customWidth="1"/>
    <col min="8" max="8" width="16.5" bestFit="1" customWidth="1"/>
  </cols>
  <sheetData>
    <row r="1" spans="1:8" ht="18" x14ac:dyDescent="0.25">
      <c r="A1" s="96" t="s">
        <v>204</v>
      </c>
      <c r="B1" s="3"/>
      <c r="C1" s="3"/>
      <c r="D1" s="3"/>
      <c r="E1" s="68"/>
      <c r="F1" s="73"/>
      <c r="G1" s="3"/>
      <c r="H1" s="3"/>
    </row>
    <row r="2" spans="1:8" ht="57.75" customHeight="1" x14ac:dyDescent="0.2">
      <c r="A2" s="412" t="s">
        <v>496</v>
      </c>
      <c r="B2" s="412"/>
      <c r="C2" s="412"/>
      <c r="D2" s="412"/>
      <c r="E2" s="412"/>
      <c r="F2" s="3"/>
      <c r="G2" s="149"/>
      <c r="H2" s="3"/>
    </row>
    <row r="3" spans="1:8" x14ac:dyDescent="0.2">
      <c r="A3" s="3"/>
      <c r="B3" s="3"/>
      <c r="C3" s="3"/>
      <c r="D3" s="3"/>
      <c r="E3" s="3"/>
      <c r="F3" s="3"/>
      <c r="G3" s="3"/>
      <c r="H3" s="3"/>
    </row>
    <row r="4" spans="1:8" ht="15" x14ac:dyDescent="0.2">
      <c r="A4" s="150" t="s">
        <v>40</v>
      </c>
      <c r="B4" s="154" t="s">
        <v>212</v>
      </c>
      <c r="C4" s="69"/>
      <c r="D4" s="150" t="s">
        <v>41</v>
      </c>
      <c r="E4" s="154" t="s">
        <v>212</v>
      </c>
      <c r="F4" s="69"/>
      <c r="G4" s="151" t="s">
        <v>42</v>
      </c>
      <c r="H4" s="151" t="s">
        <v>212</v>
      </c>
    </row>
    <row r="5" spans="1:8" x14ac:dyDescent="0.2">
      <c r="A5" s="357" t="s">
        <v>357</v>
      </c>
      <c r="B5" s="382">
        <v>1444.4</v>
      </c>
      <c r="C5" s="69"/>
      <c r="D5" s="351" t="s">
        <v>370</v>
      </c>
      <c r="E5" s="355">
        <v>180</v>
      </c>
      <c r="F5" s="69"/>
      <c r="G5" s="353" t="s">
        <v>157</v>
      </c>
      <c r="H5" s="380">
        <v>5</v>
      </c>
    </row>
    <row r="6" spans="1:8" x14ac:dyDescent="0.2">
      <c r="A6" s="357" t="s">
        <v>358</v>
      </c>
      <c r="B6" s="382">
        <v>223.1</v>
      </c>
      <c r="C6" s="69"/>
      <c r="D6" s="351" t="s">
        <v>371</v>
      </c>
      <c r="E6" s="355">
        <v>407</v>
      </c>
      <c r="F6" s="69"/>
      <c r="G6" s="353" t="s">
        <v>442</v>
      </c>
      <c r="H6" s="380">
        <v>18.100000000000001</v>
      </c>
    </row>
    <row r="7" spans="1:8" x14ac:dyDescent="0.2">
      <c r="A7" s="357" t="s">
        <v>359</v>
      </c>
      <c r="B7" s="382">
        <v>315.7</v>
      </c>
      <c r="C7" s="69"/>
      <c r="D7" s="351" t="s">
        <v>372</v>
      </c>
      <c r="E7" s="355">
        <v>1233.3</v>
      </c>
      <c r="F7" s="69"/>
      <c r="G7" s="353" t="s">
        <v>443</v>
      </c>
      <c r="H7" s="380">
        <v>49</v>
      </c>
    </row>
    <row r="8" spans="1:8" x14ac:dyDescent="0.2">
      <c r="A8" s="357" t="s">
        <v>360</v>
      </c>
      <c r="B8" s="382">
        <v>71.7</v>
      </c>
      <c r="C8" s="69"/>
      <c r="D8" s="351" t="s">
        <v>373</v>
      </c>
      <c r="E8" s="355">
        <v>3466.7</v>
      </c>
      <c r="F8" s="69"/>
      <c r="G8" s="353" t="s">
        <v>444</v>
      </c>
      <c r="H8" s="380">
        <v>1240.0999999999999</v>
      </c>
    </row>
    <row r="9" spans="1:8" x14ac:dyDescent="0.2">
      <c r="A9" s="357" t="s">
        <v>361</v>
      </c>
      <c r="B9" s="382">
        <v>89.3</v>
      </c>
      <c r="C9" s="69"/>
      <c r="D9" s="351" t="s">
        <v>374</v>
      </c>
      <c r="E9" s="355">
        <v>7187.6</v>
      </c>
      <c r="F9" s="69"/>
      <c r="G9" s="353" t="s">
        <v>445</v>
      </c>
      <c r="H9" s="380">
        <v>-21.4</v>
      </c>
    </row>
    <row r="10" spans="1:8" x14ac:dyDescent="0.2">
      <c r="A10" s="357" t="s">
        <v>362</v>
      </c>
      <c r="B10" s="382">
        <v>-0.1</v>
      </c>
      <c r="C10" s="69"/>
      <c r="D10" s="351" t="s">
        <v>375</v>
      </c>
      <c r="E10" s="355">
        <v>7343</v>
      </c>
      <c r="F10" s="69"/>
      <c r="G10" s="353" t="s">
        <v>446</v>
      </c>
      <c r="H10" s="380">
        <v>11.2</v>
      </c>
    </row>
    <row r="11" spans="1:8" x14ac:dyDescent="0.2">
      <c r="A11" s="357" t="s">
        <v>363</v>
      </c>
      <c r="B11" s="382">
        <v>-34.200000000000003</v>
      </c>
      <c r="C11" s="69"/>
      <c r="D11" s="351" t="s">
        <v>441</v>
      </c>
      <c r="E11" s="355">
        <v>-4.9000000000000004</v>
      </c>
      <c r="F11" s="69"/>
      <c r="G11" s="353" t="s">
        <v>447</v>
      </c>
      <c r="H11" s="380">
        <v>122.2</v>
      </c>
    </row>
    <row r="12" spans="1:8" x14ac:dyDescent="0.2">
      <c r="A12" s="357" t="s">
        <v>364</v>
      </c>
      <c r="B12" s="382">
        <v>-35.299999999999997</v>
      </c>
      <c r="C12" s="69"/>
      <c r="D12" s="351" t="s">
        <v>390</v>
      </c>
      <c r="E12" s="355">
        <v>159.19999999999999</v>
      </c>
      <c r="F12" s="69"/>
      <c r="G12" s="353" t="s">
        <v>448</v>
      </c>
      <c r="H12" s="380">
        <v>193.6</v>
      </c>
    </row>
    <row r="13" spans="1:8" x14ac:dyDescent="0.2">
      <c r="A13" s="357" t="s">
        <v>365</v>
      </c>
      <c r="B13" s="382">
        <v>-29.5</v>
      </c>
      <c r="C13" s="69"/>
      <c r="D13" s="351" t="s">
        <v>391</v>
      </c>
      <c r="E13" s="355">
        <v>644</v>
      </c>
      <c r="F13" s="69"/>
      <c r="G13" s="353" t="s">
        <v>449</v>
      </c>
      <c r="H13" s="380">
        <v>198</v>
      </c>
    </row>
    <row r="14" spans="1:8" x14ac:dyDescent="0.2">
      <c r="A14" s="357" t="s">
        <v>366</v>
      </c>
      <c r="B14" s="382">
        <v>177.5</v>
      </c>
      <c r="C14" s="69"/>
      <c r="D14" s="351" t="s">
        <v>392</v>
      </c>
      <c r="E14" s="355">
        <v>2478.4</v>
      </c>
      <c r="F14" s="69"/>
      <c r="G14" s="353" t="s">
        <v>450</v>
      </c>
      <c r="H14" s="380">
        <v>250.7</v>
      </c>
    </row>
    <row r="15" spans="1:8" x14ac:dyDescent="0.2">
      <c r="A15" s="357" t="s">
        <v>367</v>
      </c>
      <c r="B15" s="382">
        <v>254.4</v>
      </c>
      <c r="C15" s="69"/>
      <c r="D15" s="351" t="s">
        <v>393</v>
      </c>
      <c r="E15" s="355">
        <v>5920.8</v>
      </c>
      <c r="F15" s="69"/>
      <c r="G15" s="353" t="s">
        <v>451</v>
      </c>
      <c r="H15" s="380">
        <v>281.7</v>
      </c>
    </row>
    <row r="16" spans="1:8" x14ac:dyDescent="0.2">
      <c r="A16" s="357" t="s">
        <v>368</v>
      </c>
      <c r="B16" s="382">
        <v>393.3</v>
      </c>
      <c r="C16" s="69"/>
      <c r="D16" s="351" t="s">
        <v>394</v>
      </c>
      <c r="E16" s="355">
        <v>10466.299999999999</v>
      </c>
      <c r="F16" s="69"/>
      <c r="G16" s="353" t="s">
        <v>452</v>
      </c>
      <c r="H16" s="380">
        <v>306.89999999999998</v>
      </c>
    </row>
    <row r="17" spans="1:8" x14ac:dyDescent="0.2">
      <c r="A17" s="357" t="s">
        <v>369</v>
      </c>
      <c r="B17" s="382">
        <v>526.20000000000005</v>
      </c>
      <c r="C17" s="69"/>
      <c r="D17" s="351" t="s">
        <v>395</v>
      </c>
      <c r="E17" s="355">
        <v>13243.2</v>
      </c>
      <c r="F17" s="69"/>
      <c r="G17" s="353" t="s">
        <v>453</v>
      </c>
      <c r="H17" s="380">
        <v>250.8</v>
      </c>
    </row>
    <row r="18" spans="1:8" x14ac:dyDescent="0.2">
      <c r="A18" s="357" t="s">
        <v>370</v>
      </c>
      <c r="B18" s="382">
        <v>780.4</v>
      </c>
      <c r="C18" s="69"/>
      <c r="D18" s="351" t="s">
        <v>43</v>
      </c>
      <c r="E18" s="355">
        <v>1431.7</v>
      </c>
      <c r="F18" s="69"/>
      <c r="G18" s="353" t="s">
        <v>454</v>
      </c>
      <c r="H18" s="380">
        <v>90.5</v>
      </c>
    </row>
    <row r="19" spans="1:8" x14ac:dyDescent="0.2">
      <c r="A19" s="357" t="s">
        <v>371</v>
      </c>
      <c r="B19" s="382">
        <v>998.9</v>
      </c>
      <c r="C19" s="69"/>
      <c r="D19" s="351" t="s">
        <v>44</v>
      </c>
      <c r="E19" s="355">
        <v>1180.3</v>
      </c>
      <c r="F19" s="69"/>
      <c r="G19" s="353" t="s">
        <v>455</v>
      </c>
      <c r="H19" s="380">
        <v>111.2</v>
      </c>
    </row>
    <row r="20" spans="1:8" x14ac:dyDescent="0.2">
      <c r="A20" s="357" t="s">
        <v>372</v>
      </c>
      <c r="B20" s="382">
        <v>1515.4</v>
      </c>
      <c r="C20" s="69"/>
      <c r="D20" s="351" t="s">
        <v>406</v>
      </c>
      <c r="E20" s="355">
        <v>-145.80000000000001</v>
      </c>
      <c r="F20" s="69"/>
      <c r="G20" s="353" t="s">
        <v>456</v>
      </c>
      <c r="H20" s="380">
        <v>-17.3</v>
      </c>
    </row>
    <row r="21" spans="1:8" s="14" customFormat="1" x14ac:dyDescent="0.2">
      <c r="A21" s="357" t="s">
        <v>373</v>
      </c>
      <c r="B21" s="382">
        <v>1290.5</v>
      </c>
      <c r="C21" s="152"/>
      <c r="D21" s="351" t="s">
        <v>45</v>
      </c>
      <c r="E21" s="355">
        <v>662.2</v>
      </c>
      <c r="F21" s="152"/>
      <c r="G21" s="353" t="s">
        <v>457</v>
      </c>
      <c r="H21" s="380">
        <v>-131</v>
      </c>
    </row>
    <row r="22" spans="1:8" x14ac:dyDescent="0.2">
      <c r="A22" s="357" t="s">
        <v>374</v>
      </c>
      <c r="B22" s="382">
        <v>1098.4000000000001</v>
      </c>
      <c r="C22" s="69"/>
      <c r="D22" s="351" t="s">
        <v>46</v>
      </c>
      <c r="E22" s="355">
        <v>669.5</v>
      </c>
      <c r="F22" s="69"/>
      <c r="G22" s="353" t="s">
        <v>458</v>
      </c>
      <c r="H22" s="380">
        <v>-356.2</v>
      </c>
    </row>
    <row r="23" spans="1:8" x14ac:dyDescent="0.2">
      <c r="A23" s="357" t="s">
        <v>375</v>
      </c>
      <c r="B23" s="382">
        <v>294.8</v>
      </c>
      <c r="C23" s="69"/>
      <c r="D23" s="351" t="s">
        <v>408</v>
      </c>
      <c r="E23" s="355">
        <v>3053.4</v>
      </c>
      <c r="F23" s="69"/>
      <c r="G23" s="353" t="s">
        <v>459</v>
      </c>
      <c r="H23" s="380">
        <v>-660.1</v>
      </c>
    </row>
    <row r="24" spans="1:8" x14ac:dyDescent="0.2">
      <c r="A24" s="357" t="s">
        <v>376</v>
      </c>
      <c r="B24" s="382">
        <v>1362.5</v>
      </c>
      <c r="C24" s="69"/>
      <c r="D24" s="351" t="s">
        <v>47</v>
      </c>
      <c r="E24" s="355">
        <v>5346.2</v>
      </c>
      <c r="F24" s="69"/>
      <c r="G24" s="353" t="s">
        <v>460</v>
      </c>
      <c r="H24" s="380">
        <v>-968.1</v>
      </c>
    </row>
    <row r="25" spans="1:8" x14ac:dyDescent="0.2">
      <c r="A25" s="357" t="s">
        <v>377</v>
      </c>
      <c r="B25" s="382">
        <v>7</v>
      </c>
      <c r="C25" s="69"/>
      <c r="D25" s="351" t="s">
        <v>48</v>
      </c>
      <c r="E25" s="355">
        <v>2189.4</v>
      </c>
      <c r="F25" s="69"/>
      <c r="G25" s="353" t="s">
        <v>49</v>
      </c>
      <c r="H25" s="380">
        <v>1110.2</v>
      </c>
    </row>
    <row r="26" spans="1:8" x14ac:dyDescent="0.2">
      <c r="A26" s="357" t="s">
        <v>378</v>
      </c>
      <c r="B26" s="382">
        <v>254.4</v>
      </c>
      <c r="C26" s="69"/>
      <c r="D26" s="351" t="s">
        <v>50</v>
      </c>
      <c r="E26" s="355">
        <v>661.8</v>
      </c>
      <c r="F26" s="69"/>
      <c r="G26" s="353" t="s">
        <v>44</v>
      </c>
      <c r="H26" s="380">
        <v>699.5</v>
      </c>
    </row>
    <row r="27" spans="1:8" x14ac:dyDescent="0.2">
      <c r="A27" s="357" t="s">
        <v>379</v>
      </c>
      <c r="B27" s="382">
        <v>942.3</v>
      </c>
      <c r="C27" s="69"/>
      <c r="D27" s="351" t="s">
        <v>51</v>
      </c>
      <c r="E27" s="355">
        <v>3153.3</v>
      </c>
      <c r="F27" s="69"/>
      <c r="G27" s="353" t="s">
        <v>408</v>
      </c>
      <c r="H27" s="380">
        <v>2310.1999999999998</v>
      </c>
    </row>
    <row r="28" spans="1:8" x14ac:dyDescent="0.2">
      <c r="A28" s="357" t="s">
        <v>380</v>
      </c>
      <c r="B28" s="382">
        <v>290.60000000000002</v>
      </c>
      <c r="C28" s="69"/>
      <c r="D28" s="351" t="s">
        <v>158</v>
      </c>
      <c r="E28" s="355">
        <v>16807.5</v>
      </c>
      <c r="F28" s="69"/>
      <c r="G28" s="353" t="s">
        <v>52</v>
      </c>
      <c r="H28" s="380">
        <v>3504.2</v>
      </c>
    </row>
    <row r="29" spans="1:8" x14ac:dyDescent="0.2">
      <c r="A29" s="357" t="s">
        <v>381</v>
      </c>
      <c r="B29" s="382">
        <v>226.9</v>
      </c>
      <c r="C29" s="69"/>
      <c r="D29" s="351" t="s">
        <v>53</v>
      </c>
      <c r="E29" s="355">
        <v>7164.3</v>
      </c>
      <c r="F29" s="69"/>
      <c r="G29" s="353" t="s">
        <v>47</v>
      </c>
      <c r="H29" s="380">
        <v>1445</v>
      </c>
    </row>
    <row r="30" spans="1:8" x14ac:dyDescent="0.2">
      <c r="A30" s="357" t="s">
        <v>382</v>
      </c>
      <c r="B30" s="382">
        <v>182.7</v>
      </c>
      <c r="C30" s="69"/>
      <c r="D30" s="351" t="s">
        <v>54</v>
      </c>
      <c r="E30" s="355">
        <v>4199.5</v>
      </c>
      <c r="F30" s="69"/>
      <c r="G30" s="353" t="s">
        <v>48</v>
      </c>
      <c r="H30" s="380">
        <v>-83.2</v>
      </c>
    </row>
    <row r="31" spans="1:8" x14ac:dyDescent="0.2">
      <c r="A31" s="357" t="s">
        <v>383</v>
      </c>
      <c r="B31" s="382">
        <v>120.6</v>
      </c>
      <c r="C31" s="69"/>
      <c r="D31" s="351" t="s">
        <v>55</v>
      </c>
      <c r="E31" s="355">
        <v>2903.9</v>
      </c>
      <c r="F31" s="69"/>
      <c r="G31" s="353" t="s">
        <v>56</v>
      </c>
      <c r="H31" s="380">
        <v>27848.5</v>
      </c>
    </row>
    <row r="32" spans="1:8" x14ac:dyDescent="0.2">
      <c r="A32" s="357" t="s">
        <v>384</v>
      </c>
      <c r="B32" s="382">
        <v>65.400000000000006</v>
      </c>
      <c r="C32" s="69"/>
      <c r="D32" s="351" t="s">
        <v>57</v>
      </c>
      <c r="E32" s="355">
        <v>5486</v>
      </c>
      <c r="F32" s="69"/>
      <c r="G32" s="353" t="s">
        <v>411</v>
      </c>
      <c r="H32" s="380">
        <v>4827.5</v>
      </c>
    </row>
    <row r="33" spans="1:8" x14ac:dyDescent="0.2">
      <c r="A33" s="357" t="s">
        <v>385</v>
      </c>
      <c r="B33" s="382">
        <v>59</v>
      </c>
      <c r="C33" s="69"/>
      <c r="D33" s="351" t="s">
        <v>58</v>
      </c>
      <c r="E33" s="355">
        <v>7274.6</v>
      </c>
      <c r="F33" s="69"/>
      <c r="G33" s="353" t="s">
        <v>59</v>
      </c>
      <c r="H33" s="380">
        <v>6679.8</v>
      </c>
    </row>
    <row r="34" spans="1:8" x14ac:dyDescent="0.2">
      <c r="A34" s="357" t="s">
        <v>386</v>
      </c>
      <c r="B34" s="382">
        <v>203</v>
      </c>
      <c r="C34" s="69"/>
      <c r="D34" s="351" t="s">
        <v>60</v>
      </c>
      <c r="E34" s="355">
        <v>964.1</v>
      </c>
      <c r="F34" s="69"/>
      <c r="G34" s="353" t="s">
        <v>158</v>
      </c>
      <c r="H34" s="380">
        <v>170.6</v>
      </c>
    </row>
    <row r="35" spans="1:8" x14ac:dyDescent="0.2">
      <c r="A35" s="357" t="s">
        <v>387</v>
      </c>
      <c r="B35" s="382">
        <v>216.1</v>
      </c>
      <c r="C35" s="69"/>
      <c r="D35" s="351" t="s">
        <v>61</v>
      </c>
      <c r="E35" s="355">
        <v>8190.8</v>
      </c>
      <c r="F35" s="69"/>
      <c r="G35" s="353" t="s">
        <v>53</v>
      </c>
      <c r="H35" s="380">
        <v>13593.3</v>
      </c>
    </row>
    <row r="36" spans="1:8" x14ac:dyDescent="0.2">
      <c r="A36" s="357" t="s">
        <v>388</v>
      </c>
      <c r="B36" s="382">
        <v>223</v>
      </c>
      <c r="C36" s="69"/>
      <c r="D36" s="351" t="s">
        <v>62</v>
      </c>
      <c r="E36" s="355">
        <v>4562.1000000000004</v>
      </c>
      <c r="F36" s="69"/>
      <c r="G36" s="353" t="s">
        <v>54</v>
      </c>
      <c r="H36" s="380">
        <v>819.4</v>
      </c>
    </row>
    <row r="37" spans="1:8" x14ac:dyDescent="0.2">
      <c r="A37" s="357" t="s">
        <v>389</v>
      </c>
      <c r="B37" s="382">
        <v>339.8</v>
      </c>
      <c r="C37" s="69"/>
      <c r="D37" s="351" t="s">
        <v>63</v>
      </c>
      <c r="E37" s="355">
        <v>292.5</v>
      </c>
      <c r="F37" s="69"/>
      <c r="G37" s="353" t="s">
        <v>55</v>
      </c>
      <c r="H37" s="380">
        <v>2123.8000000000002</v>
      </c>
    </row>
    <row r="38" spans="1:8" x14ac:dyDescent="0.2">
      <c r="A38" s="357" t="s">
        <v>390</v>
      </c>
      <c r="B38" s="382">
        <v>515.6</v>
      </c>
      <c r="C38" s="69"/>
      <c r="D38" s="351" t="s">
        <v>64</v>
      </c>
      <c r="E38" s="355">
        <v>1983.2</v>
      </c>
      <c r="F38" s="69"/>
      <c r="G38" s="353" t="s">
        <v>57</v>
      </c>
      <c r="H38" s="380">
        <v>10607.7</v>
      </c>
    </row>
    <row r="39" spans="1:8" x14ac:dyDescent="0.2">
      <c r="A39" s="357" t="s">
        <v>391</v>
      </c>
      <c r="B39" s="382">
        <v>700.9</v>
      </c>
      <c r="C39" s="69"/>
      <c r="D39" s="351" t="s">
        <v>65</v>
      </c>
      <c r="E39" s="355">
        <v>5083.2</v>
      </c>
      <c r="F39" s="69"/>
      <c r="G39" s="353" t="s">
        <v>58</v>
      </c>
      <c r="H39" s="380">
        <v>3129.8</v>
      </c>
    </row>
    <row r="40" spans="1:8" x14ac:dyDescent="0.2">
      <c r="A40" s="357" t="s">
        <v>392</v>
      </c>
      <c r="B40" s="382">
        <v>964.7</v>
      </c>
      <c r="C40" s="69"/>
      <c r="D40" s="351" t="s">
        <v>66</v>
      </c>
      <c r="E40" s="355">
        <v>712.2</v>
      </c>
      <c r="F40" s="69"/>
      <c r="G40" s="353" t="s">
        <v>60</v>
      </c>
      <c r="H40" s="380">
        <v>599.5</v>
      </c>
    </row>
    <row r="41" spans="1:8" x14ac:dyDescent="0.2">
      <c r="A41" s="357" t="s">
        <v>393</v>
      </c>
      <c r="B41" s="382">
        <v>424</v>
      </c>
      <c r="C41" s="69"/>
      <c r="D41" s="351" t="s">
        <v>67</v>
      </c>
      <c r="E41" s="355">
        <v>1297.5999999999999</v>
      </c>
      <c r="F41" s="69"/>
      <c r="G41" s="353" t="s">
        <v>61</v>
      </c>
      <c r="H41" s="380">
        <v>2026.1</v>
      </c>
    </row>
    <row r="42" spans="1:8" x14ac:dyDescent="0.2">
      <c r="A42" s="357" t="s">
        <v>394</v>
      </c>
      <c r="B42" s="382">
        <v>-226.5</v>
      </c>
      <c r="C42" s="69"/>
      <c r="D42" s="351" t="s">
        <v>163</v>
      </c>
      <c r="E42" s="355">
        <v>1803.8</v>
      </c>
      <c r="F42" s="69"/>
      <c r="G42" s="353" t="s">
        <v>62</v>
      </c>
      <c r="H42" s="380">
        <v>2352.8000000000002</v>
      </c>
    </row>
    <row r="43" spans="1:8" x14ac:dyDescent="0.2">
      <c r="A43" s="357" t="s">
        <v>395</v>
      </c>
      <c r="B43" s="382">
        <v>-499.6</v>
      </c>
      <c r="C43" s="69"/>
      <c r="D43" s="351" t="s">
        <v>159</v>
      </c>
      <c r="E43" s="355">
        <v>2259.3000000000002</v>
      </c>
      <c r="F43" s="69"/>
      <c r="G43" s="353" t="s">
        <v>65</v>
      </c>
      <c r="H43" s="380">
        <v>630.4</v>
      </c>
    </row>
    <row r="44" spans="1:8" x14ac:dyDescent="0.2">
      <c r="A44" s="357" t="s">
        <v>43</v>
      </c>
      <c r="B44" s="382">
        <v>2308.6999999999998</v>
      </c>
      <c r="C44" s="69"/>
      <c r="D44" s="351" t="s">
        <v>160</v>
      </c>
      <c r="E44" s="355">
        <v>-3.2</v>
      </c>
      <c r="F44" s="69"/>
      <c r="G44" s="353" t="s">
        <v>163</v>
      </c>
      <c r="H44" s="380">
        <v>649.79999999999995</v>
      </c>
    </row>
    <row r="45" spans="1:8" x14ac:dyDescent="0.2">
      <c r="A45" s="357" t="s">
        <v>49</v>
      </c>
      <c r="B45" s="382">
        <v>4016.4</v>
      </c>
      <c r="C45" s="69"/>
      <c r="D45" s="351" t="s">
        <v>68</v>
      </c>
      <c r="E45" s="355">
        <v>433.2</v>
      </c>
      <c r="F45" s="69"/>
      <c r="G45" s="353" t="s">
        <v>69</v>
      </c>
      <c r="H45" s="380">
        <v>151</v>
      </c>
    </row>
    <row r="46" spans="1:8" x14ac:dyDescent="0.2">
      <c r="A46" s="357" t="s">
        <v>70</v>
      </c>
      <c r="B46" s="382">
        <v>1338.5</v>
      </c>
      <c r="C46" s="69"/>
      <c r="D46" s="351" t="s">
        <v>71</v>
      </c>
      <c r="E46" s="355">
        <v>4589.1000000000004</v>
      </c>
      <c r="F46" s="69"/>
      <c r="G46" s="353" t="s">
        <v>159</v>
      </c>
      <c r="H46" s="380">
        <v>3850.2</v>
      </c>
    </row>
    <row r="47" spans="1:8" x14ac:dyDescent="0.2">
      <c r="A47" s="357" t="s">
        <v>72</v>
      </c>
      <c r="B47" s="382">
        <v>4544.8999999999996</v>
      </c>
      <c r="C47" s="69"/>
      <c r="D47" s="351" t="s">
        <v>161</v>
      </c>
      <c r="E47" s="355">
        <v>479.4</v>
      </c>
      <c r="F47" s="69"/>
      <c r="G47" s="353" t="s">
        <v>160</v>
      </c>
      <c r="H47" s="380">
        <v>669.9</v>
      </c>
    </row>
    <row r="48" spans="1:8" x14ac:dyDescent="0.2">
      <c r="A48" s="357" t="s">
        <v>44</v>
      </c>
      <c r="B48" s="382">
        <v>2056.8000000000002</v>
      </c>
      <c r="C48" s="69"/>
      <c r="D48" s="351" t="s">
        <v>73</v>
      </c>
      <c r="E48" s="355">
        <v>294.10000000000002</v>
      </c>
      <c r="F48" s="69"/>
      <c r="G48" s="353" t="s">
        <v>210</v>
      </c>
      <c r="H48" s="380">
        <v>701.2</v>
      </c>
    </row>
    <row r="49" spans="1:8" x14ac:dyDescent="0.2">
      <c r="A49" s="357" t="s">
        <v>74</v>
      </c>
      <c r="B49" s="382">
        <v>437.3</v>
      </c>
      <c r="C49" s="69"/>
      <c r="D49" s="351" t="s">
        <v>75</v>
      </c>
      <c r="E49" s="355">
        <v>2047.3</v>
      </c>
      <c r="F49" s="69"/>
      <c r="G49" s="353" t="s">
        <v>71</v>
      </c>
      <c r="H49" s="380">
        <v>1139.0999999999999</v>
      </c>
    </row>
    <row r="50" spans="1:8" x14ac:dyDescent="0.2">
      <c r="A50" s="357" t="s">
        <v>396</v>
      </c>
      <c r="B50" s="382">
        <v>2300</v>
      </c>
      <c r="C50" s="69"/>
      <c r="D50" s="351" t="s">
        <v>76</v>
      </c>
      <c r="E50" s="355">
        <v>4503.3999999999996</v>
      </c>
      <c r="F50" s="69"/>
      <c r="G50" s="353" t="s">
        <v>161</v>
      </c>
      <c r="H50" s="380">
        <v>79.3</v>
      </c>
    </row>
    <row r="51" spans="1:8" x14ac:dyDescent="0.2">
      <c r="A51" s="357" t="s">
        <v>397</v>
      </c>
      <c r="B51" s="382">
        <v>3597.2</v>
      </c>
      <c r="C51" s="69"/>
      <c r="D51" s="351" t="s">
        <v>77</v>
      </c>
      <c r="E51" s="355">
        <v>297.10000000000002</v>
      </c>
      <c r="F51" s="69"/>
      <c r="G51" s="353" t="s">
        <v>78</v>
      </c>
      <c r="H51" s="380">
        <v>172.2</v>
      </c>
    </row>
    <row r="52" spans="1:8" x14ac:dyDescent="0.2">
      <c r="A52" s="357" t="s">
        <v>205</v>
      </c>
      <c r="B52" s="382">
        <v>4058.9</v>
      </c>
      <c r="C52" s="69"/>
      <c r="D52" s="351" t="s">
        <v>79</v>
      </c>
      <c r="E52" s="355">
        <v>1202.7</v>
      </c>
      <c r="F52" s="69"/>
      <c r="G52" s="353" t="s">
        <v>76</v>
      </c>
      <c r="H52" s="380">
        <v>698.3</v>
      </c>
    </row>
    <row r="53" spans="1:8" x14ac:dyDescent="0.2">
      <c r="A53" s="357" t="s">
        <v>206</v>
      </c>
      <c r="B53" s="382">
        <v>4225.5</v>
      </c>
      <c r="C53" s="69"/>
      <c r="D53" s="351" t="s">
        <v>80</v>
      </c>
      <c r="E53" s="355">
        <v>5181.7</v>
      </c>
      <c r="F53" s="69"/>
      <c r="G53" s="353" t="s">
        <v>162</v>
      </c>
      <c r="H53" s="380">
        <v>219.4</v>
      </c>
    </row>
    <row r="54" spans="1:8" x14ac:dyDescent="0.2">
      <c r="A54" s="357" t="s">
        <v>398</v>
      </c>
      <c r="B54" s="382">
        <v>673.8</v>
      </c>
      <c r="C54" s="69"/>
      <c r="D54" s="351" t="s">
        <v>415</v>
      </c>
      <c r="E54" s="355">
        <v>1800.9</v>
      </c>
      <c r="F54" s="69"/>
      <c r="G54" s="353" t="s">
        <v>79</v>
      </c>
      <c r="H54" s="380">
        <v>403.4</v>
      </c>
    </row>
    <row r="55" spans="1:8" x14ac:dyDescent="0.2">
      <c r="A55" s="357" t="s">
        <v>399</v>
      </c>
      <c r="B55" s="382">
        <v>3400.1</v>
      </c>
      <c r="C55" s="69"/>
      <c r="D55" s="351" t="s">
        <v>416</v>
      </c>
      <c r="E55" s="355">
        <v>4077.4</v>
      </c>
      <c r="F55" s="69"/>
      <c r="G55" s="353" t="s">
        <v>415</v>
      </c>
      <c r="H55" s="380">
        <v>1447.6</v>
      </c>
    </row>
    <row r="56" spans="1:8" x14ac:dyDescent="0.2">
      <c r="A56" s="357" t="s">
        <v>207</v>
      </c>
      <c r="B56" s="382">
        <v>1441.5</v>
      </c>
      <c r="C56" s="69"/>
      <c r="D56" s="351" t="s">
        <v>417</v>
      </c>
      <c r="E56" s="355">
        <v>4625.3999999999996</v>
      </c>
      <c r="F56" s="69"/>
      <c r="G56" s="353" t="s">
        <v>416</v>
      </c>
      <c r="H56" s="380">
        <v>2996.8</v>
      </c>
    </row>
    <row r="57" spans="1:8" x14ac:dyDescent="0.2">
      <c r="A57" s="357" t="s">
        <v>400</v>
      </c>
      <c r="B57" s="382">
        <v>2806.5</v>
      </c>
      <c r="C57" s="69"/>
      <c r="D57" s="351" t="s">
        <v>418</v>
      </c>
      <c r="E57" s="355">
        <v>6963.9</v>
      </c>
      <c r="F57" s="69"/>
      <c r="G57" s="353" t="s">
        <v>417</v>
      </c>
      <c r="H57" s="380">
        <v>3821.8</v>
      </c>
    </row>
    <row r="58" spans="1:8" x14ac:dyDescent="0.2">
      <c r="A58" s="357" t="s">
        <v>401</v>
      </c>
      <c r="B58" s="382">
        <v>1051.5</v>
      </c>
      <c r="C58" s="69"/>
      <c r="D58" s="351" t="s">
        <v>419</v>
      </c>
      <c r="E58" s="355">
        <v>6432.5</v>
      </c>
      <c r="F58" s="69"/>
      <c r="G58" s="353" t="s">
        <v>418</v>
      </c>
      <c r="H58" s="380">
        <v>5378.9</v>
      </c>
    </row>
    <row r="59" spans="1:8" x14ac:dyDescent="0.2">
      <c r="A59" s="357" t="s">
        <v>208</v>
      </c>
      <c r="B59" s="382">
        <v>1774.4</v>
      </c>
      <c r="C59" s="69"/>
      <c r="D59" s="351" t="s">
        <v>420</v>
      </c>
      <c r="E59" s="355">
        <v>159.80000000000001</v>
      </c>
      <c r="F59" s="69"/>
      <c r="G59" s="353" t="s">
        <v>419</v>
      </c>
      <c r="H59" s="380">
        <v>13896</v>
      </c>
    </row>
    <row r="60" spans="1:8" x14ac:dyDescent="0.2">
      <c r="A60" s="357" t="s">
        <v>402</v>
      </c>
      <c r="B60" s="382">
        <v>4709.7</v>
      </c>
      <c r="C60" s="69"/>
      <c r="D60" s="351" t="s">
        <v>430</v>
      </c>
      <c r="E60" s="355">
        <v>-288.2</v>
      </c>
      <c r="F60" s="69"/>
      <c r="G60" s="353" t="s">
        <v>420</v>
      </c>
      <c r="H60" s="380">
        <v>1344.8</v>
      </c>
    </row>
    <row r="61" spans="1:8" x14ac:dyDescent="0.2">
      <c r="A61" s="357" t="s">
        <v>403</v>
      </c>
      <c r="B61" s="382">
        <v>1019.6</v>
      </c>
      <c r="C61" s="69"/>
      <c r="D61" s="351" t="s">
        <v>431</v>
      </c>
      <c r="E61" s="355">
        <v>-316.5</v>
      </c>
      <c r="F61" s="69"/>
      <c r="G61" s="353" t="s">
        <v>423</v>
      </c>
      <c r="H61" s="380">
        <v>3273.8</v>
      </c>
    </row>
    <row r="62" spans="1:8" x14ac:dyDescent="0.2">
      <c r="A62" s="357" t="s">
        <v>404</v>
      </c>
      <c r="B62" s="382">
        <v>8429.4</v>
      </c>
      <c r="C62" s="69"/>
      <c r="D62" s="351" t="s">
        <v>432</v>
      </c>
      <c r="E62" s="355">
        <v>-1249.4000000000001</v>
      </c>
      <c r="F62" s="69"/>
      <c r="G62" s="353" t="s">
        <v>424</v>
      </c>
      <c r="H62" s="380">
        <v>2493.9</v>
      </c>
    </row>
    <row r="63" spans="1:8" x14ac:dyDescent="0.2">
      <c r="A63" s="357" t="s">
        <v>405</v>
      </c>
      <c r="B63" s="382">
        <v>6005.8</v>
      </c>
      <c r="C63" s="69"/>
      <c r="D63" s="351" t="s">
        <v>433</v>
      </c>
      <c r="E63" s="355">
        <v>-1256.7</v>
      </c>
      <c r="F63" s="69"/>
      <c r="G63" s="353" t="s">
        <v>425</v>
      </c>
      <c r="H63" s="380">
        <v>1242.7</v>
      </c>
    </row>
    <row r="64" spans="1:8" x14ac:dyDescent="0.2">
      <c r="A64" s="357" t="s">
        <v>209</v>
      </c>
      <c r="B64" s="382">
        <v>421.4</v>
      </c>
      <c r="C64" s="69"/>
      <c r="D64" s="351" t="s">
        <v>81</v>
      </c>
      <c r="E64" s="355">
        <v>-792.5</v>
      </c>
      <c r="F64" s="69"/>
      <c r="G64" s="353" t="s">
        <v>426</v>
      </c>
      <c r="H64" s="380">
        <v>821.8</v>
      </c>
    </row>
    <row r="65" spans="1:8" x14ac:dyDescent="0.2">
      <c r="A65" s="357" t="s">
        <v>82</v>
      </c>
      <c r="B65" s="382">
        <v>1098.5999999999999</v>
      </c>
      <c r="C65" s="69"/>
      <c r="D65" s="351" t="s">
        <v>83</v>
      </c>
      <c r="E65" s="355">
        <v>-74.099999999999994</v>
      </c>
      <c r="F65" s="69"/>
      <c r="G65" s="353" t="s">
        <v>427</v>
      </c>
      <c r="H65" s="380">
        <v>782</v>
      </c>
    </row>
    <row r="66" spans="1:8" x14ac:dyDescent="0.2">
      <c r="A66" s="357" t="s">
        <v>84</v>
      </c>
      <c r="B66" s="382">
        <v>4239.6000000000004</v>
      </c>
      <c r="C66" s="69"/>
      <c r="D66" s="351" t="s">
        <v>438</v>
      </c>
      <c r="E66" s="355">
        <v>-1146.7</v>
      </c>
      <c r="F66" s="69"/>
      <c r="G66" s="354" t="s">
        <v>85</v>
      </c>
      <c r="H66" s="381">
        <v>-136.30000000000001</v>
      </c>
    </row>
    <row r="67" spans="1:8" x14ac:dyDescent="0.2">
      <c r="A67" s="357" t="s">
        <v>406</v>
      </c>
      <c r="B67" s="382">
        <v>2823.9</v>
      </c>
      <c r="C67" s="69"/>
      <c r="D67" s="352" t="s">
        <v>211</v>
      </c>
      <c r="E67" s="356">
        <v>13155.8</v>
      </c>
      <c r="F67" s="69"/>
      <c r="G67" s="353" t="s">
        <v>428</v>
      </c>
      <c r="H67" s="380">
        <v>-223.8</v>
      </c>
    </row>
    <row r="68" spans="1:8" x14ac:dyDescent="0.2">
      <c r="A68" s="357" t="s">
        <v>407</v>
      </c>
      <c r="B68" s="382">
        <v>5250.4</v>
      </c>
      <c r="C68" s="69"/>
      <c r="D68" s="69"/>
      <c r="E68" s="69"/>
      <c r="F68" s="69"/>
      <c r="G68" s="353" t="s">
        <v>86</v>
      </c>
      <c r="H68" s="380">
        <v>-433.8</v>
      </c>
    </row>
    <row r="69" spans="1:8" x14ac:dyDescent="0.2">
      <c r="A69" s="357" t="s">
        <v>87</v>
      </c>
      <c r="B69" s="382">
        <v>3868.7</v>
      </c>
      <c r="C69" s="69"/>
      <c r="D69" s="69"/>
      <c r="E69" s="69"/>
      <c r="F69" s="69"/>
      <c r="G69" s="353" t="s">
        <v>429</v>
      </c>
      <c r="H69" s="380">
        <v>-98.9</v>
      </c>
    </row>
    <row r="70" spans="1:8" x14ac:dyDescent="0.2">
      <c r="A70" s="357" t="s">
        <v>88</v>
      </c>
      <c r="B70" s="382">
        <v>164.3</v>
      </c>
      <c r="C70" s="69"/>
      <c r="D70" s="69"/>
      <c r="E70" s="69"/>
      <c r="F70" s="69"/>
      <c r="G70" s="353" t="s">
        <v>430</v>
      </c>
      <c r="H70" s="380">
        <v>-324.7</v>
      </c>
    </row>
    <row r="71" spans="1:8" x14ac:dyDescent="0.2">
      <c r="A71" s="357" t="s">
        <v>45</v>
      </c>
      <c r="B71" s="382">
        <v>699.7</v>
      </c>
      <c r="C71" s="69"/>
      <c r="D71" s="69"/>
      <c r="E71" s="69"/>
      <c r="F71" s="69"/>
      <c r="G71" s="353" t="s">
        <v>431</v>
      </c>
      <c r="H71" s="380">
        <v>-167.8</v>
      </c>
    </row>
    <row r="72" spans="1:8" x14ac:dyDescent="0.2">
      <c r="A72" s="357" t="s">
        <v>89</v>
      </c>
      <c r="B72" s="382">
        <v>1469.9</v>
      </c>
      <c r="C72" s="69"/>
      <c r="D72" s="69"/>
      <c r="E72" s="69"/>
      <c r="F72" s="69"/>
      <c r="G72" s="353" t="s">
        <v>432</v>
      </c>
      <c r="H72" s="380">
        <v>-431.5</v>
      </c>
    </row>
    <row r="73" spans="1:8" x14ac:dyDescent="0.2">
      <c r="A73" s="357" t="s">
        <v>90</v>
      </c>
      <c r="B73" s="382">
        <v>359.4</v>
      </c>
      <c r="C73" s="69"/>
      <c r="D73" s="69"/>
      <c r="E73" s="69"/>
      <c r="F73" s="69"/>
      <c r="G73" s="353" t="s">
        <v>433</v>
      </c>
      <c r="H73" s="380">
        <v>-202.2</v>
      </c>
    </row>
    <row r="74" spans="1:8" x14ac:dyDescent="0.2">
      <c r="A74" s="357" t="s">
        <v>91</v>
      </c>
      <c r="B74" s="382">
        <v>1259.5999999999999</v>
      </c>
      <c r="C74" s="69"/>
      <c r="D74" s="69"/>
      <c r="E74" s="69"/>
      <c r="F74" s="69"/>
      <c r="G74" s="353" t="s">
        <v>81</v>
      </c>
      <c r="H74" s="380">
        <v>-277.89999999999998</v>
      </c>
    </row>
    <row r="75" spans="1:8" x14ac:dyDescent="0.2">
      <c r="A75" s="357" t="s">
        <v>46</v>
      </c>
      <c r="B75" s="382">
        <v>829.4</v>
      </c>
      <c r="C75" s="69"/>
      <c r="D75" s="69"/>
      <c r="E75" s="69"/>
      <c r="F75" s="69"/>
      <c r="G75" s="353" t="s">
        <v>83</v>
      </c>
      <c r="H75" s="380">
        <v>-315.10000000000002</v>
      </c>
    </row>
    <row r="76" spans="1:8" x14ac:dyDescent="0.2">
      <c r="A76" s="357" t="s">
        <v>408</v>
      </c>
      <c r="B76" s="382">
        <v>4217.7</v>
      </c>
      <c r="C76" s="69"/>
      <c r="D76" s="69"/>
      <c r="E76" s="69"/>
      <c r="F76" s="69"/>
      <c r="G76" s="353" t="s">
        <v>461</v>
      </c>
      <c r="H76" s="380">
        <v>273.2</v>
      </c>
    </row>
    <row r="77" spans="1:8" x14ac:dyDescent="0.2">
      <c r="A77" s="357" t="s">
        <v>52</v>
      </c>
      <c r="B77" s="382">
        <v>11930.2</v>
      </c>
      <c r="C77" s="69"/>
      <c r="D77" s="69"/>
      <c r="E77" s="69"/>
      <c r="F77" s="69"/>
      <c r="G77" s="353" t="s">
        <v>438</v>
      </c>
      <c r="H77" s="380">
        <v>-515.1</v>
      </c>
    </row>
    <row r="78" spans="1:8" x14ac:dyDescent="0.2">
      <c r="A78" s="357" t="s">
        <v>409</v>
      </c>
      <c r="B78" s="382">
        <v>535.4</v>
      </c>
      <c r="C78" s="69"/>
      <c r="D78" s="69"/>
      <c r="E78" s="69"/>
      <c r="F78" s="69"/>
      <c r="G78" s="353" t="s">
        <v>211</v>
      </c>
      <c r="H78" s="380">
        <v>4655</v>
      </c>
    </row>
    <row r="79" spans="1:8" x14ac:dyDescent="0.2">
      <c r="A79" s="357" t="s">
        <v>47</v>
      </c>
      <c r="B79" s="382">
        <v>5749.7</v>
      </c>
      <c r="C79" s="69"/>
      <c r="D79" s="69"/>
      <c r="E79" s="69"/>
      <c r="F79" s="69"/>
      <c r="G79" s="69"/>
      <c r="H79" s="69"/>
    </row>
    <row r="80" spans="1:8" x14ac:dyDescent="0.2">
      <c r="A80" s="357" t="s">
        <v>48</v>
      </c>
      <c r="B80" s="382">
        <v>1179.3</v>
      </c>
      <c r="C80" s="69"/>
      <c r="D80" s="69"/>
      <c r="E80" s="69"/>
      <c r="F80" s="69"/>
      <c r="G80" s="69"/>
      <c r="H80" s="69"/>
    </row>
    <row r="81" spans="1:8" x14ac:dyDescent="0.2">
      <c r="A81" s="357" t="s">
        <v>50</v>
      </c>
      <c r="B81" s="382">
        <v>2063.6999999999998</v>
      </c>
      <c r="C81" s="69"/>
      <c r="D81" s="69"/>
      <c r="E81" s="69"/>
      <c r="F81" s="69"/>
      <c r="G81" s="69"/>
      <c r="H81" s="69"/>
    </row>
    <row r="82" spans="1:8" x14ac:dyDescent="0.2">
      <c r="A82" s="357" t="s">
        <v>92</v>
      </c>
      <c r="B82" s="382">
        <v>9284.7999999999993</v>
      </c>
      <c r="C82" s="69"/>
      <c r="D82" s="69"/>
      <c r="E82" s="69"/>
      <c r="F82" s="69"/>
      <c r="G82" s="69"/>
      <c r="H82" s="69"/>
    </row>
    <row r="83" spans="1:8" x14ac:dyDescent="0.2">
      <c r="A83" s="357" t="s">
        <v>410</v>
      </c>
      <c r="B83" s="382">
        <v>4975.2</v>
      </c>
      <c r="C83" s="69"/>
      <c r="D83" s="69"/>
      <c r="E83" s="69"/>
      <c r="F83" s="69"/>
      <c r="G83" s="69"/>
      <c r="H83" s="69"/>
    </row>
    <row r="84" spans="1:8" x14ac:dyDescent="0.2">
      <c r="A84" s="357" t="s">
        <v>93</v>
      </c>
      <c r="B84" s="382">
        <v>498.9</v>
      </c>
      <c r="C84" s="69"/>
      <c r="D84" s="69"/>
      <c r="E84" s="69"/>
      <c r="F84" s="69"/>
      <c r="G84" s="69"/>
      <c r="H84" s="69"/>
    </row>
    <row r="85" spans="1:8" x14ac:dyDescent="0.2">
      <c r="A85" s="357" t="s">
        <v>94</v>
      </c>
      <c r="B85" s="382">
        <v>1704.4</v>
      </c>
      <c r="C85" s="69"/>
      <c r="D85" s="69"/>
      <c r="E85" s="69"/>
      <c r="F85" s="69"/>
      <c r="G85" s="69"/>
      <c r="H85" s="69"/>
    </row>
    <row r="86" spans="1:8" x14ac:dyDescent="0.2">
      <c r="A86" s="357" t="s">
        <v>95</v>
      </c>
      <c r="B86" s="382">
        <v>1575.1</v>
      </c>
      <c r="C86" s="69"/>
      <c r="D86" s="69"/>
      <c r="E86" s="69"/>
      <c r="F86" s="69"/>
      <c r="G86" s="69"/>
      <c r="H86" s="69"/>
    </row>
    <row r="87" spans="1:8" x14ac:dyDescent="0.2">
      <c r="A87" s="357" t="s">
        <v>411</v>
      </c>
      <c r="B87" s="382">
        <v>1308.7</v>
      </c>
      <c r="C87" s="69"/>
      <c r="D87" s="69"/>
      <c r="E87" s="69"/>
      <c r="F87" s="69"/>
      <c r="G87" s="69"/>
      <c r="H87" s="69"/>
    </row>
    <row r="88" spans="1:8" x14ac:dyDescent="0.2">
      <c r="A88" s="357" t="s">
        <v>59</v>
      </c>
      <c r="B88" s="382">
        <v>2027.6</v>
      </c>
      <c r="C88" s="69"/>
      <c r="D88" s="69"/>
      <c r="E88" s="69"/>
      <c r="F88" s="69"/>
      <c r="G88" s="69"/>
      <c r="H88" s="69"/>
    </row>
    <row r="89" spans="1:8" x14ac:dyDescent="0.2">
      <c r="A89" s="357" t="s">
        <v>51</v>
      </c>
      <c r="B89" s="382">
        <v>1518.6</v>
      </c>
      <c r="C89" s="69"/>
      <c r="D89" s="69"/>
      <c r="E89" s="69"/>
      <c r="F89" s="69"/>
      <c r="G89" s="69"/>
      <c r="H89" s="69"/>
    </row>
    <row r="90" spans="1:8" x14ac:dyDescent="0.2">
      <c r="A90" s="357" t="s">
        <v>412</v>
      </c>
      <c r="B90" s="382">
        <v>1174.7</v>
      </c>
      <c r="C90" s="69"/>
      <c r="D90" s="69"/>
      <c r="E90" s="69"/>
      <c r="F90" s="69"/>
      <c r="G90" s="69"/>
      <c r="H90" s="69"/>
    </row>
    <row r="91" spans="1:8" x14ac:dyDescent="0.2">
      <c r="A91" s="357" t="s">
        <v>96</v>
      </c>
      <c r="B91" s="382">
        <v>3725</v>
      </c>
      <c r="C91" s="69"/>
      <c r="D91" s="69"/>
      <c r="E91" s="69"/>
      <c r="F91" s="69"/>
      <c r="G91" s="69"/>
      <c r="H91" s="69"/>
    </row>
    <row r="92" spans="1:8" x14ac:dyDescent="0.2">
      <c r="A92" s="357" t="s">
        <v>53</v>
      </c>
      <c r="B92" s="382">
        <v>5314.1</v>
      </c>
      <c r="C92" s="69"/>
      <c r="D92" s="69"/>
      <c r="E92" s="69"/>
      <c r="F92" s="69"/>
      <c r="G92" s="69"/>
      <c r="H92" s="69"/>
    </row>
    <row r="93" spans="1:8" x14ac:dyDescent="0.2">
      <c r="A93" s="357" t="s">
        <v>54</v>
      </c>
      <c r="B93" s="382">
        <v>2315</v>
      </c>
      <c r="C93" s="69"/>
      <c r="D93" s="69"/>
      <c r="E93" s="69"/>
      <c r="F93" s="69"/>
      <c r="G93" s="69"/>
      <c r="H93" s="69"/>
    </row>
    <row r="94" spans="1:8" x14ac:dyDescent="0.2">
      <c r="A94" s="357" t="s">
        <v>55</v>
      </c>
      <c r="B94" s="382">
        <v>1145</v>
      </c>
      <c r="C94" s="69"/>
      <c r="D94" s="69"/>
      <c r="E94" s="69"/>
      <c r="F94" s="69"/>
      <c r="G94" s="69"/>
      <c r="H94" s="69"/>
    </row>
    <row r="95" spans="1:8" x14ac:dyDescent="0.2">
      <c r="A95" s="357" t="s">
        <v>97</v>
      </c>
      <c r="B95" s="382">
        <v>550.6</v>
      </c>
      <c r="C95" s="69"/>
      <c r="D95" s="69"/>
      <c r="E95" s="69"/>
      <c r="F95" s="69"/>
      <c r="G95" s="69"/>
      <c r="H95" s="69"/>
    </row>
    <row r="96" spans="1:8" x14ac:dyDescent="0.2">
      <c r="A96" s="357" t="s">
        <v>58</v>
      </c>
      <c r="B96" s="382">
        <v>1969.9</v>
      </c>
      <c r="C96" s="69"/>
      <c r="D96" s="69"/>
      <c r="E96" s="69"/>
      <c r="F96" s="69"/>
      <c r="G96" s="69"/>
      <c r="H96" s="69"/>
    </row>
    <row r="97" spans="1:8" x14ac:dyDescent="0.2">
      <c r="A97" s="357" t="s">
        <v>60</v>
      </c>
      <c r="B97" s="382">
        <v>2176.5</v>
      </c>
      <c r="C97" s="69"/>
      <c r="D97" s="69"/>
      <c r="E97" s="69"/>
      <c r="F97" s="69"/>
      <c r="G97" s="69"/>
      <c r="H97" s="69"/>
    </row>
    <row r="98" spans="1:8" x14ac:dyDescent="0.2">
      <c r="A98" s="357" t="s">
        <v>98</v>
      </c>
      <c r="B98" s="382">
        <v>786.8</v>
      </c>
      <c r="C98" s="69"/>
      <c r="D98" s="69"/>
      <c r="E98" s="69"/>
      <c r="F98" s="69"/>
      <c r="G98" s="69"/>
      <c r="H98" s="69"/>
    </row>
    <row r="99" spans="1:8" x14ac:dyDescent="0.2">
      <c r="A99" s="357" t="s">
        <v>61</v>
      </c>
      <c r="B99" s="382">
        <v>2798.4</v>
      </c>
      <c r="C99" s="69"/>
      <c r="D99" s="69"/>
      <c r="E99" s="69"/>
      <c r="F99" s="69"/>
      <c r="G99" s="69"/>
      <c r="H99" s="69"/>
    </row>
    <row r="100" spans="1:8" x14ac:dyDescent="0.2">
      <c r="A100" s="357" t="s">
        <v>62</v>
      </c>
      <c r="B100" s="382">
        <v>1915.6</v>
      </c>
      <c r="C100" s="69"/>
      <c r="D100" s="69"/>
      <c r="E100" s="69"/>
      <c r="F100" s="69"/>
      <c r="G100" s="69"/>
      <c r="H100" s="69"/>
    </row>
    <row r="101" spans="1:8" x14ac:dyDescent="0.2">
      <c r="A101" s="357" t="s">
        <v>99</v>
      </c>
      <c r="B101" s="382">
        <v>121.5</v>
      </c>
      <c r="C101" s="69"/>
      <c r="D101" s="69"/>
      <c r="E101" s="69"/>
      <c r="F101" s="69"/>
      <c r="G101" s="69"/>
      <c r="H101" s="69"/>
    </row>
    <row r="102" spans="1:8" x14ac:dyDescent="0.2">
      <c r="A102" s="357" t="s">
        <v>100</v>
      </c>
      <c r="B102" s="382">
        <v>1602.8</v>
      </c>
      <c r="C102" s="69"/>
      <c r="D102" s="69"/>
      <c r="E102" s="69"/>
      <c r="F102" s="69"/>
      <c r="G102" s="69"/>
      <c r="H102" s="69"/>
    </row>
    <row r="103" spans="1:8" x14ac:dyDescent="0.2">
      <c r="A103" s="357" t="s">
        <v>101</v>
      </c>
      <c r="B103" s="382">
        <v>363</v>
      </c>
      <c r="C103" s="69"/>
      <c r="D103" s="69"/>
      <c r="E103" s="69"/>
      <c r="F103" s="69"/>
      <c r="G103" s="69"/>
      <c r="H103" s="69"/>
    </row>
    <row r="104" spans="1:8" x14ac:dyDescent="0.2">
      <c r="A104" s="357" t="s">
        <v>413</v>
      </c>
      <c r="B104" s="382">
        <v>656</v>
      </c>
      <c r="C104" s="69"/>
      <c r="D104" s="69"/>
      <c r="E104" s="69"/>
      <c r="F104" s="69"/>
      <c r="G104" s="69"/>
      <c r="H104" s="69"/>
    </row>
    <row r="105" spans="1:8" x14ac:dyDescent="0.2">
      <c r="A105" s="357" t="s">
        <v>102</v>
      </c>
      <c r="B105" s="382">
        <v>756.7</v>
      </c>
      <c r="C105" s="69"/>
      <c r="D105" s="69"/>
      <c r="E105" s="69"/>
      <c r="F105" s="69"/>
      <c r="G105" s="69"/>
      <c r="H105" s="69"/>
    </row>
    <row r="106" spans="1:8" x14ac:dyDescent="0.2">
      <c r="A106" s="357" t="s">
        <v>103</v>
      </c>
      <c r="B106" s="382">
        <v>920.8</v>
      </c>
      <c r="C106" s="69"/>
      <c r="D106" s="69"/>
      <c r="E106" s="69"/>
      <c r="F106" s="69"/>
      <c r="G106" s="69"/>
      <c r="H106" s="69"/>
    </row>
    <row r="107" spans="1:8" x14ac:dyDescent="0.2">
      <c r="A107" s="357" t="s">
        <v>104</v>
      </c>
      <c r="B107" s="382">
        <v>848.1</v>
      </c>
      <c r="C107" s="69"/>
      <c r="D107" s="69"/>
      <c r="E107" s="69"/>
      <c r="F107" s="69"/>
      <c r="G107" s="69"/>
      <c r="H107" s="69"/>
    </row>
    <row r="108" spans="1:8" x14ac:dyDescent="0.2">
      <c r="A108" s="357" t="s">
        <v>105</v>
      </c>
      <c r="B108" s="382">
        <v>717.5</v>
      </c>
      <c r="C108" s="69"/>
      <c r="D108" s="69"/>
      <c r="E108" s="69"/>
      <c r="F108" s="69"/>
      <c r="G108" s="69"/>
      <c r="H108" s="69"/>
    </row>
    <row r="109" spans="1:8" x14ac:dyDescent="0.2">
      <c r="A109" s="357" t="s">
        <v>106</v>
      </c>
      <c r="B109" s="382">
        <v>809.2</v>
      </c>
      <c r="C109" s="69"/>
      <c r="D109" s="69"/>
      <c r="E109" s="69"/>
      <c r="F109" s="69"/>
      <c r="G109" s="69"/>
      <c r="H109" s="69"/>
    </row>
    <row r="110" spans="1:8" x14ac:dyDescent="0.2">
      <c r="A110" s="357" t="s">
        <v>414</v>
      </c>
      <c r="B110" s="382">
        <v>243.5</v>
      </c>
      <c r="C110" s="69"/>
      <c r="D110" s="69"/>
      <c r="E110" s="69"/>
      <c r="F110" s="69"/>
      <c r="G110" s="69"/>
      <c r="H110" s="69"/>
    </row>
    <row r="111" spans="1:8" x14ac:dyDescent="0.2">
      <c r="A111" s="357" t="s">
        <v>107</v>
      </c>
      <c r="B111" s="382">
        <v>321.89999999999998</v>
      </c>
      <c r="C111" s="69"/>
      <c r="D111" s="69"/>
      <c r="E111" s="69"/>
      <c r="F111" s="69"/>
      <c r="G111" s="69"/>
      <c r="H111" s="69"/>
    </row>
    <row r="112" spans="1:8" x14ac:dyDescent="0.2">
      <c r="A112" s="357" t="s">
        <v>108</v>
      </c>
      <c r="B112" s="382">
        <v>304.5</v>
      </c>
      <c r="C112" s="69"/>
      <c r="D112" s="69"/>
      <c r="E112" s="69"/>
      <c r="F112" s="69"/>
      <c r="G112" s="69"/>
      <c r="H112" s="69"/>
    </row>
    <row r="113" spans="1:8" x14ac:dyDescent="0.2">
      <c r="A113" s="357" t="s">
        <v>109</v>
      </c>
      <c r="B113" s="382">
        <v>587</v>
      </c>
      <c r="C113" s="69"/>
      <c r="D113" s="69"/>
      <c r="E113" s="69"/>
      <c r="F113" s="69"/>
      <c r="G113" s="69"/>
      <c r="H113" s="69"/>
    </row>
    <row r="114" spans="1:8" x14ac:dyDescent="0.2">
      <c r="A114" s="357" t="s">
        <v>63</v>
      </c>
      <c r="B114" s="382">
        <v>1049.0999999999999</v>
      </c>
      <c r="C114" s="69"/>
      <c r="D114" s="69"/>
      <c r="E114" s="69"/>
      <c r="F114" s="69"/>
      <c r="G114" s="69"/>
      <c r="H114" s="69"/>
    </row>
    <row r="115" spans="1:8" x14ac:dyDescent="0.2">
      <c r="A115" s="357" t="s">
        <v>64</v>
      </c>
      <c r="B115" s="382">
        <v>1869.7</v>
      </c>
      <c r="C115" s="69"/>
      <c r="D115" s="69"/>
      <c r="E115" s="69"/>
      <c r="F115" s="69"/>
      <c r="G115" s="69"/>
      <c r="H115" s="69"/>
    </row>
    <row r="116" spans="1:8" x14ac:dyDescent="0.2">
      <c r="A116" s="357" t="s">
        <v>65</v>
      </c>
      <c r="B116" s="382">
        <v>913.7</v>
      </c>
      <c r="C116" s="69"/>
      <c r="D116" s="69"/>
      <c r="E116" s="69"/>
      <c r="F116" s="69"/>
      <c r="G116" s="69"/>
      <c r="H116" s="69"/>
    </row>
    <row r="117" spans="1:8" x14ac:dyDescent="0.2">
      <c r="A117" s="357" t="s">
        <v>66</v>
      </c>
      <c r="B117" s="382">
        <v>4024.9</v>
      </c>
      <c r="C117" s="69"/>
      <c r="D117" s="69"/>
      <c r="E117" s="69"/>
      <c r="F117" s="69"/>
      <c r="G117" s="69"/>
      <c r="H117" s="69"/>
    </row>
    <row r="118" spans="1:8" x14ac:dyDescent="0.2">
      <c r="A118" s="357" t="s">
        <v>110</v>
      </c>
      <c r="B118" s="382">
        <v>1856</v>
      </c>
      <c r="C118" s="69"/>
      <c r="D118" s="69"/>
      <c r="E118" s="69"/>
      <c r="F118" s="69"/>
      <c r="G118" s="69"/>
      <c r="H118" s="69"/>
    </row>
    <row r="119" spans="1:8" x14ac:dyDescent="0.2">
      <c r="A119" s="357" t="s">
        <v>111</v>
      </c>
      <c r="B119" s="382">
        <v>1260.0999999999999</v>
      </c>
      <c r="C119" s="69"/>
      <c r="D119" s="69"/>
      <c r="E119" s="69"/>
      <c r="F119" s="69"/>
      <c r="G119" s="69"/>
      <c r="H119" s="69"/>
    </row>
    <row r="120" spans="1:8" x14ac:dyDescent="0.2">
      <c r="A120" s="357" t="s">
        <v>112</v>
      </c>
      <c r="B120" s="382">
        <v>694.3</v>
      </c>
      <c r="C120" s="69"/>
      <c r="D120" s="69"/>
      <c r="E120" s="69"/>
      <c r="F120" s="69"/>
      <c r="G120" s="69"/>
      <c r="H120" s="69"/>
    </row>
    <row r="121" spans="1:8" x14ac:dyDescent="0.2">
      <c r="A121" s="357" t="s">
        <v>67</v>
      </c>
      <c r="B121" s="382">
        <v>1342.7</v>
      </c>
      <c r="C121" s="69"/>
      <c r="D121" s="69"/>
      <c r="E121" s="69"/>
      <c r="F121" s="69"/>
      <c r="G121" s="69"/>
      <c r="H121" s="69"/>
    </row>
    <row r="122" spans="1:8" x14ac:dyDescent="0.2">
      <c r="A122" s="357" t="s">
        <v>113</v>
      </c>
      <c r="B122" s="382">
        <v>1014.7</v>
      </c>
      <c r="C122" s="69"/>
      <c r="D122" s="69"/>
      <c r="E122" s="69"/>
      <c r="F122" s="69"/>
      <c r="G122" s="69"/>
      <c r="H122" s="69"/>
    </row>
    <row r="123" spans="1:8" x14ac:dyDescent="0.2">
      <c r="A123" s="357" t="s">
        <v>163</v>
      </c>
      <c r="B123" s="382">
        <v>2557.1</v>
      </c>
      <c r="C123" s="69"/>
      <c r="D123" s="69"/>
      <c r="E123" s="69"/>
      <c r="F123" s="69"/>
      <c r="G123" s="69"/>
      <c r="H123" s="69"/>
    </row>
    <row r="124" spans="1:8" x14ac:dyDescent="0.2">
      <c r="A124" s="357" t="s">
        <v>69</v>
      </c>
      <c r="B124" s="382">
        <v>1101</v>
      </c>
      <c r="C124" s="69"/>
      <c r="D124" s="69"/>
      <c r="E124" s="69"/>
      <c r="F124" s="69"/>
      <c r="G124" s="69"/>
      <c r="H124" s="69"/>
    </row>
    <row r="125" spans="1:8" x14ac:dyDescent="0.2">
      <c r="A125" s="357" t="s">
        <v>114</v>
      </c>
      <c r="B125" s="382">
        <v>411.3</v>
      </c>
      <c r="C125" s="69"/>
      <c r="D125" s="69"/>
      <c r="E125" s="69"/>
      <c r="F125" s="69"/>
      <c r="G125" s="69"/>
      <c r="H125" s="69"/>
    </row>
    <row r="126" spans="1:8" x14ac:dyDescent="0.2">
      <c r="A126" s="357" t="s">
        <v>115</v>
      </c>
      <c r="B126" s="382">
        <v>2469.6</v>
      </c>
      <c r="C126" s="69"/>
      <c r="D126" s="69"/>
      <c r="E126" s="69"/>
      <c r="F126" s="69"/>
      <c r="G126" s="69"/>
      <c r="H126" s="69"/>
    </row>
    <row r="127" spans="1:8" x14ac:dyDescent="0.2">
      <c r="A127" s="357" t="s">
        <v>159</v>
      </c>
      <c r="B127" s="382">
        <v>4343.8</v>
      </c>
      <c r="C127" s="69"/>
      <c r="D127" s="69"/>
      <c r="E127" s="69"/>
      <c r="F127" s="69"/>
      <c r="G127" s="69"/>
      <c r="H127" s="69"/>
    </row>
    <row r="128" spans="1:8" x14ac:dyDescent="0.2">
      <c r="A128" s="357" t="s">
        <v>160</v>
      </c>
      <c r="B128" s="382">
        <v>1515.1</v>
      </c>
      <c r="C128" s="69"/>
      <c r="D128" s="69"/>
      <c r="E128" s="69"/>
      <c r="F128" s="69"/>
      <c r="G128" s="69"/>
      <c r="H128" s="69"/>
    </row>
    <row r="129" spans="1:8" x14ac:dyDescent="0.2">
      <c r="A129" s="357" t="s">
        <v>116</v>
      </c>
      <c r="B129" s="382">
        <v>2119.5</v>
      </c>
      <c r="C129" s="69"/>
      <c r="D129" s="69"/>
      <c r="E129" s="69"/>
      <c r="F129" s="69"/>
      <c r="G129" s="69"/>
      <c r="H129" s="69"/>
    </row>
    <row r="130" spans="1:8" x14ac:dyDescent="0.2">
      <c r="A130" s="357" t="s">
        <v>210</v>
      </c>
      <c r="B130" s="382">
        <v>1920</v>
      </c>
      <c r="C130" s="69"/>
      <c r="D130" s="69"/>
      <c r="E130" s="69"/>
      <c r="F130" s="69"/>
      <c r="G130" s="69"/>
      <c r="H130" s="69"/>
    </row>
    <row r="131" spans="1:8" x14ac:dyDescent="0.2">
      <c r="A131" s="357" t="s">
        <v>117</v>
      </c>
      <c r="B131" s="382">
        <v>1540.3</v>
      </c>
      <c r="C131" s="69"/>
      <c r="D131" s="69"/>
      <c r="E131" s="69"/>
      <c r="F131" s="69"/>
      <c r="G131" s="69"/>
      <c r="H131" s="69"/>
    </row>
    <row r="132" spans="1:8" x14ac:dyDescent="0.2">
      <c r="A132" s="357" t="s">
        <v>68</v>
      </c>
      <c r="B132" s="382">
        <v>753.6</v>
      </c>
      <c r="C132" s="69"/>
      <c r="D132" s="69"/>
      <c r="E132" s="69"/>
      <c r="F132" s="69"/>
      <c r="G132" s="69"/>
      <c r="H132" s="69"/>
    </row>
    <row r="133" spans="1:8" x14ac:dyDescent="0.2">
      <c r="A133" s="357" t="s">
        <v>118</v>
      </c>
      <c r="B133" s="382">
        <v>603.5</v>
      </c>
      <c r="C133" s="69"/>
      <c r="D133" s="69"/>
      <c r="E133" s="69"/>
      <c r="F133" s="69"/>
      <c r="G133" s="69"/>
      <c r="H133" s="69"/>
    </row>
    <row r="134" spans="1:8" x14ac:dyDescent="0.2">
      <c r="A134" s="357" t="s">
        <v>119</v>
      </c>
      <c r="B134" s="382">
        <v>1403.7</v>
      </c>
      <c r="C134" s="69"/>
      <c r="D134" s="69"/>
      <c r="E134" s="69"/>
      <c r="F134" s="69"/>
      <c r="G134" s="69"/>
      <c r="H134" s="69"/>
    </row>
    <row r="135" spans="1:8" x14ac:dyDescent="0.2">
      <c r="A135" s="357" t="s">
        <v>120</v>
      </c>
      <c r="B135" s="382">
        <v>2708.7</v>
      </c>
      <c r="C135" s="69"/>
      <c r="D135" s="69"/>
      <c r="E135" s="69"/>
      <c r="F135" s="69"/>
      <c r="G135" s="69"/>
      <c r="H135" s="69"/>
    </row>
    <row r="136" spans="1:8" x14ac:dyDescent="0.2">
      <c r="A136" s="357" t="s">
        <v>121</v>
      </c>
      <c r="B136" s="382">
        <v>1603</v>
      </c>
      <c r="C136" s="69"/>
      <c r="D136" s="69"/>
      <c r="E136" s="69"/>
      <c r="F136" s="69"/>
      <c r="G136" s="69"/>
      <c r="H136" s="69"/>
    </row>
    <row r="137" spans="1:8" x14ac:dyDescent="0.2">
      <c r="A137" s="357" t="s">
        <v>122</v>
      </c>
      <c r="B137" s="382">
        <v>785.6</v>
      </c>
      <c r="C137" s="69"/>
      <c r="D137" s="69"/>
      <c r="E137" s="69"/>
      <c r="F137" s="69"/>
      <c r="G137" s="69"/>
      <c r="H137" s="69"/>
    </row>
    <row r="138" spans="1:8" x14ac:dyDescent="0.2">
      <c r="A138" s="357" t="s">
        <v>123</v>
      </c>
      <c r="B138" s="382">
        <v>588.20000000000005</v>
      </c>
      <c r="C138" s="69"/>
      <c r="D138" s="69"/>
      <c r="E138" s="69"/>
      <c r="F138" s="69"/>
      <c r="G138" s="69"/>
      <c r="H138" s="69"/>
    </row>
    <row r="139" spans="1:8" x14ac:dyDescent="0.2">
      <c r="A139" s="357" t="s">
        <v>124</v>
      </c>
      <c r="B139" s="382">
        <v>874.3</v>
      </c>
      <c r="C139" s="69"/>
      <c r="D139" s="69"/>
      <c r="E139" s="69"/>
      <c r="F139" s="69"/>
      <c r="G139" s="69"/>
      <c r="H139" s="69"/>
    </row>
    <row r="140" spans="1:8" x14ac:dyDescent="0.2">
      <c r="A140" s="357" t="s">
        <v>71</v>
      </c>
      <c r="B140" s="382">
        <v>5568.7</v>
      </c>
      <c r="C140" s="69"/>
      <c r="D140" s="69"/>
      <c r="E140" s="69"/>
      <c r="F140" s="69"/>
      <c r="G140" s="69"/>
      <c r="H140" s="69"/>
    </row>
    <row r="141" spans="1:8" x14ac:dyDescent="0.2">
      <c r="A141" s="357" t="s">
        <v>125</v>
      </c>
      <c r="B141" s="382">
        <v>233.6</v>
      </c>
      <c r="C141" s="69"/>
      <c r="D141" s="69"/>
      <c r="E141" s="69"/>
      <c r="F141" s="69"/>
      <c r="G141" s="69"/>
      <c r="H141" s="69"/>
    </row>
    <row r="142" spans="1:8" x14ac:dyDescent="0.2">
      <c r="A142" s="357" t="s">
        <v>126</v>
      </c>
      <c r="B142" s="382">
        <v>560.20000000000005</v>
      </c>
      <c r="C142" s="69"/>
      <c r="D142" s="69"/>
      <c r="E142" s="69"/>
      <c r="F142" s="69"/>
      <c r="G142" s="69"/>
      <c r="H142" s="69"/>
    </row>
    <row r="143" spans="1:8" x14ac:dyDescent="0.2">
      <c r="A143" s="357" t="s">
        <v>161</v>
      </c>
      <c r="B143" s="382">
        <v>1236.7</v>
      </c>
      <c r="C143" s="69"/>
      <c r="D143" s="69"/>
      <c r="E143" s="69"/>
      <c r="F143" s="69"/>
      <c r="G143" s="69"/>
      <c r="H143" s="69"/>
    </row>
    <row r="144" spans="1:8" x14ac:dyDescent="0.2">
      <c r="A144" s="357" t="s">
        <v>73</v>
      </c>
      <c r="B144" s="382">
        <v>1059</v>
      </c>
      <c r="C144" s="69"/>
      <c r="D144" s="69"/>
      <c r="E144" s="69"/>
      <c r="F144" s="69"/>
      <c r="G144" s="69"/>
      <c r="H144" s="69"/>
    </row>
    <row r="145" spans="1:8" x14ac:dyDescent="0.2">
      <c r="A145" s="357" t="s">
        <v>164</v>
      </c>
      <c r="B145" s="382">
        <v>272.10000000000002</v>
      </c>
      <c r="C145" s="69"/>
      <c r="D145" s="69"/>
      <c r="E145" s="69"/>
      <c r="F145" s="69"/>
      <c r="G145" s="69"/>
      <c r="H145" s="69"/>
    </row>
    <row r="146" spans="1:8" x14ac:dyDescent="0.2">
      <c r="A146" s="357" t="s">
        <v>127</v>
      </c>
      <c r="B146" s="382">
        <v>713.6</v>
      </c>
      <c r="C146" s="69"/>
      <c r="D146" s="69"/>
      <c r="E146" s="69"/>
      <c r="F146" s="69"/>
      <c r="G146" s="69"/>
      <c r="H146" s="69"/>
    </row>
    <row r="147" spans="1:8" x14ac:dyDescent="0.2">
      <c r="A147" s="357" t="s">
        <v>128</v>
      </c>
      <c r="B147" s="382">
        <v>878.1</v>
      </c>
      <c r="C147" s="69"/>
      <c r="D147" s="69"/>
      <c r="E147" s="69"/>
      <c r="F147" s="69"/>
      <c r="G147" s="69"/>
      <c r="H147" s="69"/>
    </row>
    <row r="148" spans="1:8" x14ac:dyDescent="0.2">
      <c r="A148" s="357" t="s">
        <v>75</v>
      </c>
      <c r="B148" s="382">
        <v>1138.8</v>
      </c>
      <c r="C148" s="69"/>
      <c r="D148" s="69"/>
      <c r="E148" s="69"/>
      <c r="F148" s="69"/>
      <c r="G148" s="69"/>
      <c r="H148" s="69"/>
    </row>
    <row r="149" spans="1:8" x14ac:dyDescent="0.2">
      <c r="A149" s="357" t="s">
        <v>165</v>
      </c>
      <c r="B149" s="382">
        <v>398.7</v>
      </c>
      <c r="C149" s="69"/>
      <c r="D149" s="69"/>
      <c r="E149" s="69"/>
      <c r="F149" s="69"/>
      <c r="G149" s="69"/>
      <c r="H149" s="69"/>
    </row>
    <row r="150" spans="1:8" x14ac:dyDescent="0.2">
      <c r="A150" s="357" t="s">
        <v>129</v>
      </c>
      <c r="B150" s="382">
        <v>816.8</v>
      </c>
      <c r="C150" s="69"/>
      <c r="D150" s="69"/>
      <c r="E150" s="69"/>
      <c r="F150" s="69"/>
      <c r="G150" s="69"/>
      <c r="H150" s="69"/>
    </row>
    <row r="151" spans="1:8" x14ac:dyDescent="0.2">
      <c r="A151" s="357" t="s">
        <v>78</v>
      </c>
      <c r="B151" s="382">
        <v>1021.6</v>
      </c>
      <c r="C151" s="69"/>
      <c r="D151" s="69"/>
      <c r="E151" s="69"/>
      <c r="F151" s="69"/>
      <c r="G151" s="69"/>
      <c r="H151" s="69"/>
    </row>
    <row r="152" spans="1:8" x14ac:dyDescent="0.2">
      <c r="A152" s="357" t="s">
        <v>130</v>
      </c>
      <c r="B152" s="382">
        <v>6664.3</v>
      </c>
      <c r="C152" s="69"/>
      <c r="D152" s="69"/>
      <c r="E152" s="69"/>
      <c r="F152" s="69"/>
      <c r="G152" s="69"/>
      <c r="H152" s="69"/>
    </row>
    <row r="153" spans="1:8" x14ac:dyDescent="0.2">
      <c r="A153" s="357" t="s">
        <v>76</v>
      </c>
      <c r="B153" s="382">
        <v>2407.5</v>
      </c>
      <c r="C153" s="69"/>
      <c r="D153" s="69"/>
      <c r="E153" s="69"/>
      <c r="F153" s="69"/>
      <c r="G153" s="69"/>
      <c r="H153" s="69"/>
    </row>
    <row r="154" spans="1:8" x14ac:dyDescent="0.2">
      <c r="A154" s="357" t="s">
        <v>77</v>
      </c>
      <c r="B154" s="382">
        <v>902.1</v>
      </c>
      <c r="C154" s="69"/>
      <c r="D154" s="69"/>
      <c r="E154" s="69"/>
      <c r="F154" s="69"/>
      <c r="G154" s="69"/>
      <c r="H154" s="69"/>
    </row>
    <row r="155" spans="1:8" x14ac:dyDescent="0.2">
      <c r="A155" s="357" t="s">
        <v>131</v>
      </c>
      <c r="B155" s="382">
        <v>1132.9000000000001</v>
      </c>
      <c r="C155" s="69"/>
      <c r="D155" s="69"/>
      <c r="E155" s="69"/>
      <c r="F155" s="69"/>
      <c r="G155" s="69"/>
      <c r="H155" s="69"/>
    </row>
    <row r="156" spans="1:8" x14ac:dyDescent="0.2">
      <c r="A156" s="357" t="s">
        <v>132</v>
      </c>
      <c r="B156" s="382">
        <v>520.20000000000005</v>
      </c>
      <c r="C156" s="69"/>
      <c r="D156" s="69"/>
      <c r="E156" s="69"/>
      <c r="F156" s="69"/>
      <c r="G156" s="69"/>
      <c r="H156" s="69"/>
    </row>
    <row r="157" spans="1:8" x14ac:dyDescent="0.2">
      <c r="A157" s="357" t="s">
        <v>133</v>
      </c>
      <c r="B157" s="382">
        <v>983</v>
      </c>
      <c r="C157" s="69"/>
      <c r="D157" s="69"/>
      <c r="E157" s="69"/>
      <c r="F157" s="69"/>
      <c r="G157" s="69"/>
      <c r="H157" s="69"/>
    </row>
    <row r="158" spans="1:8" x14ac:dyDescent="0.2">
      <c r="A158" s="357" t="s">
        <v>162</v>
      </c>
      <c r="B158" s="382">
        <v>1893.4</v>
      </c>
      <c r="C158" s="69"/>
      <c r="D158" s="69"/>
      <c r="E158" s="69"/>
      <c r="F158" s="69"/>
      <c r="G158" s="69"/>
      <c r="H158" s="69"/>
    </row>
    <row r="159" spans="1:8" x14ac:dyDescent="0.2">
      <c r="A159" s="357" t="s">
        <v>134</v>
      </c>
      <c r="B159" s="382">
        <v>654.70000000000005</v>
      </c>
      <c r="C159" s="69"/>
      <c r="D159" s="69"/>
      <c r="E159" s="69"/>
      <c r="F159" s="69"/>
      <c r="G159" s="69"/>
      <c r="H159" s="69"/>
    </row>
    <row r="160" spans="1:8" x14ac:dyDescent="0.2">
      <c r="A160" s="357" t="s">
        <v>79</v>
      </c>
      <c r="B160" s="382">
        <v>755.9</v>
      </c>
      <c r="C160" s="69"/>
      <c r="D160" s="69"/>
      <c r="E160" s="69"/>
      <c r="F160" s="69"/>
      <c r="G160" s="69"/>
      <c r="H160" s="69"/>
    </row>
    <row r="161" spans="1:8" x14ac:dyDescent="0.2">
      <c r="A161" s="357" t="s">
        <v>80</v>
      </c>
      <c r="B161" s="382">
        <v>1546</v>
      </c>
      <c r="C161" s="69"/>
      <c r="D161" s="69"/>
      <c r="E161" s="69"/>
      <c r="F161" s="69"/>
      <c r="G161" s="69"/>
      <c r="H161" s="69"/>
    </row>
    <row r="162" spans="1:8" x14ac:dyDescent="0.2">
      <c r="A162" s="357" t="s">
        <v>415</v>
      </c>
      <c r="B162" s="382">
        <v>107</v>
      </c>
      <c r="C162" s="69"/>
      <c r="D162" s="69"/>
      <c r="E162" s="69"/>
      <c r="F162" s="69"/>
      <c r="G162" s="69"/>
      <c r="H162" s="69"/>
    </row>
    <row r="163" spans="1:8" x14ac:dyDescent="0.2">
      <c r="A163" s="357" t="s">
        <v>416</v>
      </c>
      <c r="B163" s="382">
        <v>-564.20000000000005</v>
      </c>
      <c r="C163" s="69"/>
      <c r="D163" s="69"/>
      <c r="E163" s="69"/>
      <c r="F163" s="69"/>
      <c r="G163" s="69"/>
      <c r="H163" s="69"/>
    </row>
    <row r="164" spans="1:8" x14ac:dyDescent="0.2">
      <c r="A164" s="357" t="s">
        <v>417</v>
      </c>
      <c r="B164" s="382">
        <v>109.1</v>
      </c>
      <c r="C164" s="69"/>
      <c r="D164" s="69"/>
      <c r="E164" s="69"/>
      <c r="F164" s="69"/>
      <c r="G164" s="69"/>
      <c r="H164" s="69"/>
    </row>
    <row r="165" spans="1:8" x14ac:dyDescent="0.2">
      <c r="A165" s="357" t="s">
        <v>418</v>
      </c>
      <c r="B165" s="382">
        <v>371.2</v>
      </c>
      <c r="C165" s="69"/>
      <c r="D165" s="69"/>
      <c r="E165" s="69"/>
      <c r="F165" s="69"/>
      <c r="G165" s="69"/>
      <c r="H165" s="69"/>
    </row>
    <row r="166" spans="1:8" x14ac:dyDescent="0.2">
      <c r="A166" s="357" t="s">
        <v>419</v>
      </c>
      <c r="B166" s="382">
        <v>1642.6</v>
      </c>
      <c r="C166" s="69"/>
      <c r="D166" s="69"/>
      <c r="E166" s="69"/>
      <c r="F166" s="69"/>
      <c r="G166" s="69"/>
      <c r="H166" s="69"/>
    </row>
    <row r="167" spans="1:8" x14ac:dyDescent="0.2">
      <c r="A167" s="357" t="s">
        <v>420</v>
      </c>
      <c r="B167" s="382">
        <v>120</v>
      </c>
      <c r="C167" s="69"/>
      <c r="D167" s="69"/>
      <c r="E167" s="69"/>
      <c r="F167" s="69"/>
      <c r="G167" s="69"/>
      <c r="H167" s="69"/>
    </row>
    <row r="168" spans="1:8" x14ac:dyDescent="0.2">
      <c r="A168" s="357" t="s">
        <v>166</v>
      </c>
      <c r="B168" s="382">
        <v>7408.7</v>
      </c>
      <c r="C168" s="69"/>
      <c r="D168" s="69"/>
      <c r="E168" s="69"/>
      <c r="F168" s="69"/>
      <c r="G168" s="69"/>
      <c r="H168" s="69"/>
    </row>
    <row r="169" spans="1:8" x14ac:dyDescent="0.2">
      <c r="A169" s="357" t="s">
        <v>421</v>
      </c>
      <c r="B169" s="382">
        <v>-207.5</v>
      </c>
      <c r="C169" s="69"/>
      <c r="D169" s="69"/>
      <c r="E169" s="69"/>
      <c r="F169" s="69"/>
      <c r="G169" s="69"/>
      <c r="H169" s="69"/>
    </row>
    <row r="170" spans="1:8" x14ac:dyDescent="0.2">
      <c r="A170" s="357" t="s">
        <v>422</v>
      </c>
      <c r="B170" s="382">
        <v>19.600000000000001</v>
      </c>
      <c r="C170" s="69"/>
      <c r="D170" s="69"/>
      <c r="E170" s="69"/>
      <c r="F170" s="69"/>
      <c r="G170" s="69"/>
      <c r="H170" s="69"/>
    </row>
    <row r="171" spans="1:8" x14ac:dyDescent="0.2">
      <c r="A171" s="357" t="s">
        <v>423</v>
      </c>
      <c r="B171" s="382">
        <v>2497</v>
      </c>
      <c r="C171" s="69"/>
      <c r="D171" s="69"/>
      <c r="E171" s="69"/>
      <c r="F171" s="69"/>
      <c r="G171" s="69"/>
      <c r="H171" s="69"/>
    </row>
    <row r="172" spans="1:8" x14ac:dyDescent="0.2">
      <c r="A172" s="357" t="s">
        <v>424</v>
      </c>
      <c r="B172" s="382">
        <v>130</v>
      </c>
      <c r="C172" s="69"/>
      <c r="D172" s="69"/>
      <c r="E172" s="69"/>
      <c r="F172" s="69"/>
      <c r="G172" s="69"/>
      <c r="H172" s="69"/>
    </row>
    <row r="173" spans="1:8" x14ac:dyDescent="0.2">
      <c r="A173" s="357" t="s">
        <v>425</v>
      </c>
      <c r="B173" s="382">
        <v>-284.5</v>
      </c>
      <c r="C173" s="69"/>
      <c r="D173" s="69"/>
      <c r="E173" s="69"/>
      <c r="F173" s="69"/>
      <c r="G173" s="69"/>
      <c r="H173" s="69"/>
    </row>
    <row r="174" spans="1:8" x14ac:dyDescent="0.2">
      <c r="A174" s="357" t="s">
        <v>426</v>
      </c>
      <c r="B174" s="382">
        <v>405.5</v>
      </c>
      <c r="C174" s="69"/>
      <c r="D174" s="69"/>
      <c r="E174" s="69"/>
      <c r="F174" s="69"/>
      <c r="G174" s="69"/>
      <c r="H174" s="69"/>
    </row>
    <row r="175" spans="1:8" x14ac:dyDescent="0.2">
      <c r="A175" s="357" t="s">
        <v>427</v>
      </c>
      <c r="B175" s="382">
        <v>500.1</v>
      </c>
      <c r="C175" s="69"/>
      <c r="D175" s="69"/>
      <c r="E175" s="69"/>
      <c r="F175" s="69"/>
      <c r="G175" s="69"/>
      <c r="H175" s="69"/>
    </row>
    <row r="176" spans="1:8" x14ac:dyDescent="0.2">
      <c r="A176" s="357" t="s">
        <v>85</v>
      </c>
      <c r="B176" s="382">
        <v>-532</v>
      </c>
      <c r="C176" s="69"/>
      <c r="D176" s="69"/>
      <c r="E176" s="69"/>
      <c r="F176" s="69"/>
      <c r="G176" s="69"/>
      <c r="H176" s="69"/>
    </row>
    <row r="177" spans="1:8" x14ac:dyDescent="0.2">
      <c r="A177" s="357" t="s">
        <v>428</v>
      </c>
      <c r="B177" s="382">
        <v>-42.3</v>
      </c>
      <c r="C177" s="69"/>
      <c r="D177" s="69"/>
      <c r="E177" s="69"/>
      <c r="F177" s="69"/>
      <c r="G177" s="69"/>
      <c r="H177" s="69"/>
    </row>
    <row r="178" spans="1:8" x14ac:dyDescent="0.2">
      <c r="A178" s="357" t="s">
        <v>86</v>
      </c>
      <c r="B178" s="382">
        <v>-334.6</v>
      </c>
      <c r="C178" s="69"/>
      <c r="D178" s="69"/>
      <c r="E178" s="69"/>
      <c r="F178" s="69"/>
      <c r="G178" s="69"/>
      <c r="H178" s="69"/>
    </row>
    <row r="179" spans="1:8" x14ac:dyDescent="0.2">
      <c r="A179" s="357" t="s">
        <v>429</v>
      </c>
      <c r="B179" s="382">
        <v>-511.8</v>
      </c>
      <c r="C179" s="69"/>
      <c r="D179" s="69"/>
      <c r="E179" s="69"/>
      <c r="F179" s="69"/>
      <c r="G179" s="69"/>
      <c r="H179" s="69"/>
    </row>
    <row r="180" spans="1:8" x14ac:dyDescent="0.2">
      <c r="A180" s="357" t="s">
        <v>430</v>
      </c>
      <c r="B180" s="382">
        <v>-97.6</v>
      </c>
      <c r="C180" s="69"/>
      <c r="D180" s="69"/>
      <c r="E180" s="69"/>
      <c r="F180" s="69"/>
      <c r="G180" s="69"/>
      <c r="H180" s="69"/>
    </row>
    <row r="181" spans="1:8" x14ac:dyDescent="0.2">
      <c r="A181" s="357" t="s">
        <v>431</v>
      </c>
      <c r="B181" s="382">
        <v>-225.5</v>
      </c>
      <c r="C181" s="69"/>
      <c r="D181" s="69"/>
      <c r="E181" s="69"/>
      <c r="F181" s="69"/>
      <c r="G181" s="69"/>
      <c r="H181" s="69"/>
    </row>
    <row r="182" spans="1:8" x14ac:dyDescent="0.2">
      <c r="A182" s="357" t="s">
        <v>432</v>
      </c>
      <c r="B182" s="382">
        <v>-36.1</v>
      </c>
      <c r="C182" s="69"/>
      <c r="D182" s="69"/>
      <c r="E182" s="69"/>
      <c r="F182" s="69"/>
      <c r="G182" s="69"/>
      <c r="H182" s="69"/>
    </row>
    <row r="183" spans="1:8" x14ac:dyDescent="0.2">
      <c r="A183" s="357" t="s">
        <v>433</v>
      </c>
      <c r="B183" s="382">
        <v>46.9</v>
      </c>
      <c r="C183" s="69"/>
      <c r="D183" s="69"/>
      <c r="E183" s="69"/>
      <c r="F183" s="69"/>
      <c r="G183" s="69"/>
      <c r="H183" s="69"/>
    </row>
    <row r="184" spans="1:8" x14ac:dyDescent="0.2">
      <c r="A184" s="357" t="s">
        <v>81</v>
      </c>
      <c r="B184" s="382">
        <v>95.1</v>
      </c>
      <c r="C184" s="69"/>
      <c r="D184" s="69"/>
      <c r="E184" s="69"/>
      <c r="F184" s="69"/>
      <c r="G184" s="69"/>
      <c r="H184" s="69"/>
    </row>
    <row r="185" spans="1:8" x14ac:dyDescent="0.2">
      <c r="A185" s="357" t="s">
        <v>83</v>
      </c>
      <c r="B185" s="382">
        <v>-117.9</v>
      </c>
      <c r="C185" s="69"/>
      <c r="D185" s="69"/>
      <c r="E185" s="69"/>
      <c r="F185" s="69"/>
      <c r="G185" s="69"/>
      <c r="H185" s="69"/>
    </row>
    <row r="186" spans="1:8" x14ac:dyDescent="0.2">
      <c r="A186" s="357" t="s">
        <v>434</v>
      </c>
      <c r="B186" s="382">
        <v>1.4</v>
      </c>
      <c r="C186" s="69"/>
      <c r="D186" s="69"/>
      <c r="E186" s="69"/>
      <c r="F186" s="69"/>
      <c r="G186" s="69"/>
      <c r="H186" s="69"/>
    </row>
    <row r="187" spans="1:8" x14ac:dyDescent="0.2">
      <c r="A187" s="357" t="s">
        <v>435</v>
      </c>
      <c r="B187" s="382">
        <v>760.8</v>
      </c>
      <c r="C187" s="69"/>
      <c r="D187" s="69"/>
      <c r="E187" s="69"/>
      <c r="F187" s="69"/>
      <c r="G187" s="69"/>
      <c r="H187" s="69"/>
    </row>
    <row r="188" spans="1:8" x14ac:dyDescent="0.2">
      <c r="A188" s="357" t="s">
        <v>436</v>
      </c>
      <c r="B188" s="382">
        <v>1932.5</v>
      </c>
      <c r="C188" s="69"/>
      <c r="D188" s="69"/>
      <c r="E188" s="69"/>
      <c r="F188" s="69"/>
      <c r="G188" s="69"/>
      <c r="H188" s="69"/>
    </row>
    <row r="189" spans="1:8" x14ac:dyDescent="0.2">
      <c r="A189" s="357" t="s">
        <v>437</v>
      </c>
      <c r="B189" s="382">
        <v>3560.9</v>
      </c>
      <c r="C189" s="69"/>
      <c r="D189" s="69"/>
      <c r="E189" s="69"/>
      <c r="F189" s="69"/>
      <c r="G189" s="69"/>
      <c r="H189" s="69"/>
    </row>
    <row r="190" spans="1:8" x14ac:dyDescent="0.2">
      <c r="A190" s="357" t="s">
        <v>438</v>
      </c>
      <c r="B190" s="382">
        <v>-231.9</v>
      </c>
      <c r="C190" s="69"/>
      <c r="D190" s="69"/>
      <c r="E190" s="69"/>
      <c r="F190" s="69"/>
      <c r="G190" s="69"/>
      <c r="H190" s="69"/>
    </row>
    <row r="191" spans="1:8" x14ac:dyDescent="0.2">
      <c r="A191" s="357" t="s">
        <v>439</v>
      </c>
      <c r="B191" s="382">
        <v>-6.1</v>
      </c>
      <c r="C191" s="69"/>
      <c r="D191" s="69"/>
      <c r="E191" s="69"/>
      <c r="F191" s="69"/>
      <c r="G191" s="69"/>
      <c r="H191" s="69"/>
    </row>
    <row r="192" spans="1:8" x14ac:dyDescent="0.2">
      <c r="A192" s="357" t="s">
        <v>440</v>
      </c>
      <c r="B192" s="382">
        <v>0</v>
      </c>
      <c r="C192" s="69"/>
      <c r="D192" s="70"/>
      <c r="E192" s="70"/>
      <c r="F192" s="69"/>
      <c r="G192" s="70"/>
      <c r="H192" s="70"/>
    </row>
    <row r="193" spans="1:6" x14ac:dyDescent="0.2">
      <c r="A193" s="358" t="s">
        <v>211</v>
      </c>
      <c r="B193" s="383">
        <v>1373.3</v>
      </c>
      <c r="C193" s="70"/>
      <c r="F193" s="70"/>
    </row>
  </sheetData>
  <mergeCells count="1">
    <mergeCell ref="A2:E2"/>
  </mergeCells>
  <conditionalFormatting sqref="D5:E67">
    <cfRule type="cellIs" dxfId="0" priority="1" operator="equal">
      <formula>0</formula>
    </cfRule>
  </conditionalFormatting>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564D-E221-4CA7-875A-15846E7DA3D2}">
  <sheetPr>
    <tabColor theme="3"/>
  </sheetPr>
  <dimension ref="A1:AA56"/>
  <sheetViews>
    <sheetView zoomScaleNormal="100" workbookViewId="0"/>
  </sheetViews>
  <sheetFormatPr defaultColWidth="15.875" defaultRowHeight="14.25" x14ac:dyDescent="0.2"/>
  <cols>
    <col min="1" max="1" width="15.875" style="111"/>
    <col min="2" max="2" width="28.375" style="111" customWidth="1"/>
    <col min="3" max="11" width="18.375" style="111" customWidth="1"/>
    <col min="12" max="12" width="16.625" style="111" customWidth="1"/>
    <col min="13" max="13" width="15.875" style="111"/>
    <col min="14" max="14" width="14.625" style="111" customWidth="1"/>
    <col min="15" max="16384" width="15.875" style="111"/>
  </cols>
  <sheetData>
    <row r="1" spans="1:12" ht="20.25" x14ac:dyDescent="0.3">
      <c r="A1" s="95" t="s">
        <v>261</v>
      </c>
      <c r="B1" s="2"/>
      <c r="C1" s="2"/>
      <c r="D1" s="2"/>
      <c r="E1" s="2"/>
      <c r="F1" s="2"/>
      <c r="G1" s="2"/>
      <c r="H1" s="2"/>
      <c r="I1" s="2"/>
      <c r="J1" s="2"/>
      <c r="K1" s="2"/>
      <c r="L1" s="2"/>
    </row>
    <row r="2" spans="1:12" x14ac:dyDescent="0.2">
      <c r="A2" s="1" t="str">
        <f>INFO!A2</f>
        <v>VM/HVO 30.4.2026</v>
      </c>
      <c r="B2" s="2"/>
      <c r="C2" s="2"/>
      <c r="D2" s="2"/>
      <c r="E2" s="2"/>
      <c r="F2" s="2"/>
      <c r="G2" s="2"/>
      <c r="H2" s="2"/>
      <c r="I2" s="2"/>
      <c r="J2" s="2"/>
      <c r="K2" s="2"/>
      <c r="L2" s="2"/>
    </row>
    <row r="3" spans="1:12" ht="57" customHeight="1" x14ac:dyDescent="0.25">
      <c r="A3" s="403" t="s">
        <v>475</v>
      </c>
      <c r="B3" s="403"/>
      <c r="C3" s="403"/>
      <c r="D3" s="403"/>
      <c r="E3" s="403"/>
      <c r="F3" s="403"/>
      <c r="G3" s="134"/>
      <c r="H3" s="134"/>
      <c r="I3" s="2"/>
      <c r="J3" s="2"/>
      <c r="K3"/>
      <c r="L3"/>
    </row>
    <row r="4" spans="1:12" x14ac:dyDescent="0.2">
      <c r="A4" s="67"/>
      <c r="B4" s="2"/>
      <c r="C4" s="2"/>
      <c r="D4" s="2"/>
      <c r="E4" s="2"/>
      <c r="F4" s="2"/>
      <c r="G4" s="2"/>
      <c r="H4" s="187"/>
      <c r="I4" s="2"/>
      <c r="J4" s="2"/>
      <c r="K4"/>
      <c r="L4"/>
    </row>
    <row r="5" spans="1:12" ht="18.95" customHeight="1" thickBot="1" x14ac:dyDescent="0.35">
      <c r="A5" s="373" t="s">
        <v>476</v>
      </c>
      <c r="B5" s="373"/>
      <c r="C5" s="373"/>
      <c r="D5" s="373"/>
      <c r="E5" s="373"/>
      <c r="F5" s="373"/>
      <c r="G5" s="373"/>
      <c r="H5" s="373"/>
      <c r="I5" s="373"/>
      <c r="J5" s="373"/>
      <c r="K5" s="373"/>
      <c r="L5" s="373"/>
    </row>
    <row r="6" spans="1:12" ht="75.75" thickTop="1" x14ac:dyDescent="0.25">
      <c r="A6" s="325" t="s">
        <v>6</v>
      </c>
      <c r="B6" s="326" t="s">
        <v>7</v>
      </c>
      <c r="C6" s="326" t="s">
        <v>311</v>
      </c>
      <c r="D6" s="327" t="s">
        <v>260</v>
      </c>
      <c r="E6" s="327" t="s">
        <v>262</v>
      </c>
      <c r="F6" s="100" t="s">
        <v>263</v>
      </c>
      <c r="G6" s="100" t="s">
        <v>485</v>
      </c>
      <c r="H6" s="100" t="s">
        <v>264</v>
      </c>
      <c r="I6" s="100" t="s">
        <v>265</v>
      </c>
      <c r="J6" s="100" t="s">
        <v>266</v>
      </c>
      <c r="K6" s="100" t="s">
        <v>267</v>
      </c>
      <c r="L6" s="100" t="s">
        <v>486</v>
      </c>
    </row>
    <row r="7" spans="1:12" ht="16.5" x14ac:dyDescent="0.3">
      <c r="A7" s="328">
        <v>31</v>
      </c>
      <c r="B7" s="329" t="s">
        <v>13</v>
      </c>
      <c r="C7" s="330">
        <f>Määräytymistekijät!C7</f>
        <v>694392</v>
      </c>
      <c r="D7" s="331">
        <v>3087972688.1315613</v>
      </c>
      <c r="E7" s="331">
        <f>'SOTE laskennallinen rahoitus'!N54+'PELA laskennallinen rahoitus'!F48</f>
        <v>3097121792.5827518</v>
      </c>
      <c r="F7" s="332">
        <v>99817558.637165055</v>
      </c>
      <c r="G7" s="332">
        <f>'Vähimmäistasoa koskeva tasaus'!H36</f>
        <v>-11356961.717254922</v>
      </c>
      <c r="H7" s="333">
        <f t="shared" ref="H7:H29" si="0">E7+F7+G7</f>
        <v>3185582389.5026617</v>
      </c>
      <c r="I7" s="331">
        <f>'Jälkikäteistarkistus 2027'!$F$29*('SOTE laskennallinen rahoitus'!N54/'SOTE laskennallinen rahoitus'!$N$76)+'Jälkikäteistarkistus 2027'!$F$32*('PELA laskennallinen rahoitus'!F48/'PELA laskennallinen rahoitus'!$F$70)</f>
        <v>99564242.095326379</v>
      </c>
      <c r="J7" s="335">
        <f t="shared" ref="J7:J29" si="1">H7/C7</f>
        <v>4587.5850953102308</v>
      </c>
      <c r="K7" s="331">
        <f t="shared" ref="K7:K29" si="2">H7-D7</f>
        <v>97609701.371100426</v>
      </c>
      <c r="L7" s="384">
        <f t="shared" ref="L7:L29" si="3">K7/D7</f>
        <v>3.1609638824286718E-2</v>
      </c>
    </row>
    <row r="8" spans="1:12" ht="16.5" x14ac:dyDescent="0.3">
      <c r="A8" s="328">
        <v>32</v>
      </c>
      <c r="B8" s="329" t="s">
        <v>39</v>
      </c>
      <c r="C8" s="330">
        <f>Määräytymistekijät!C8</f>
        <v>291723</v>
      </c>
      <c r="D8" s="331">
        <v>1263353018.8375609</v>
      </c>
      <c r="E8" s="331">
        <f>'SOTE laskennallinen rahoitus'!N55+'PELA laskennallinen rahoitus'!F49</f>
        <v>1318770625.7677593</v>
      </c>
      <c r="F8" s="332">
        <v>0</v>
      </c>
      <c r="G8" s="332">
        <f>'Vähimmäistasoa koskeva tasaus'!H37</f>
        <v>-4771205.5194223979</v>
      </c>
      <c r="H8" s="333">
        <f t="shared" si="0"/>
        <v>1313999420.248337</v>
      </c>
      <c r="I8" s="331">
        <f>'Jälkikäteistarkistus 2027'!$F$29*('SOTE laskennallinen rahoitus'!N55/'SOTE laskennallinen rahoitus'!$N$76)+'Jälkikäteistarkistus 2027'!$F$32*('PELA laskennallinen rahoitus'!F49/'PELA laskennallinen rahoitus'!$F$70)</f>
        <v>42575911.811724484</v>
      </c>
      <c r="J8" s="335">
        <f t="shared" si="1"/>
        <v>4504.2709016715753</v>
      </c>
      <c r="K8" s="331">
        <f t="shared" si="2"/>
        <v>50646401.410776138</v>
      </c>
      <c r="L8" s="384">
        <f t="shared" si="3"/>
        <v>4.0088875124845956E-2</v>
      </c>
    </row>
    <row r="9" spans="1:12" ht="15" x14ac:dyDescent="0.25">
      <c r="A9" s="328">
        <v>33</v>
      </c>
      <c r="B9" s="329" t="s">
        <v>14</v>
      </c>
      <c r="C9" s="330">
        <f>Määräytymistekijät!C9</f>
        <v>506379</v>
      </c>
      <c r="D9" s="331">
        <v>2034511719.162456</v>
      </c>
      <c r="E9" s="331">
        <f>'SOTE laskennallinen rahoitus'!N56+'PELA laskennallinen rahoitus'!F50</f>
        <v>2051439727.2707314</v>
      </c>
      <c r="F9" s="332">
        <v>0</v>
      </c>
      <c r="G9" s="332">
        <f>'Vähimmäistasoa koskeva tasaus'!H38</f>
        <v>0</v>
      </c>
      <c r="H9" s="333">
        <f t="shared" si="0"/>
        <v>2051439727.2707314</v>
      </c>
      <c r="I9" s="331">
        <f>'Jälkikäteistarkistus 2027'!$F$29*('SOTE laskennallinen rahoitus'!N56/'SOTE laskennallinen rahoitus'!$N$76)+'Jälkikäteistarkistus 2027'!$F$32*('PELA laskennallinen rahoitus'!F50/'PELA laskennallinen rahoitus'!$F$70)</f>
        <v>66648628.197280966</v>
      </c>
      <c r="J9" s="335">
        <f t="shared" si="1"/>
        <v>4051.1943174395687</v>
      </c>
      <c r="K9" s="331">
        <f t="shared" si="2"/>
        <v>16928008.108275414</v>
      </c>
      <c r="L9" s="384">
        <f t="shared" si="3"/>
        <v>8.3204279183233896E-3</v>
      </c>
    </row>
    <row r="10" spans="1:12" ht="15" x14ac:dyDescent="0.25">
      <c r="A10" s="328">
        <v>34</v>
      </c>
      <c r="B10" s="329" t="s">
        <v>15</v>
      </c>
      <c r="C10" s="330">
        <f>Määräytymistekijät!C10</f>
        <v>99584</v>
      </c>
      <c r="D10" s="331">
        <v>437740462.35895199</v>
      </c>
      <c r="E10" s="331">
        <f>'SOTE laskennallinen rahoitus'!N57+'PELA laskennallinen rahoitus'!F51</f>
        <v>463121495.71943122</v>
      </c>
      <c r="F10" s="332">
        <v>-17370243.995929066</v>
      </c>
      <c r="G10" s="332">
        <f>'Vähimmäistasoa koskeva tasaus'!H39</f>
        <v>-1628722.2140392086</v>
      </c>
      <c r="H10" s="333">
        <f t="shared" si="0"/>
        <v>444122529.50946295</v>
      </c>
      <c r="I10" s="331">
        <f>'Jälkikäteistarkistus 2027'!$F$29*('SOTE laskennallinen rahoitus'!N57/'SOTE laskennallinen rahoitus'!$N$76)+'Jälkikäteistarkistus 2027'!$F$32*('PELA laskennallinen rahoitus'!F51/'PELA laskennallinen rahoitus'!$F$70)</f>
        <v>15048157.875018397</v>
      </c>
      <c r="J10" s="335">
        <f t="shared" si="1"/>
        <v>4459.7779714558856</v>
      </c>
      <c r="K10" s="331">
        <f t="shared" si="2"/>
        <v>6382067.1505109668</v>
      </c>
      <c r="L10" s="384">
        <f t="shared" si="3"/>
        <v>1.4579568715486031E-2</v>
      </c>
    </row>
    <row r="11" spans="1:12" ht="16.5" x14ac:dyDescent="0.3">
      <c r="A11" s="328">
        <v>35</v>
      </c>
      <c r="B11" s="329" t="s">
        <v>16</v>
      </c>
      <c r="C11" s="330">
        <f>Määräytymistekijät!C11</f>
        <v>207551</v>
      </c>
      <c r="D11" s="331">
        <v>878977061.7432971</v>
      </c>
      <c r="E11" s="331">
        <f>'SOTE laskennallinen rahoitus'!N58+'PELA laskennallinen rahoitus'!F52</f>
        <v>883241307.26206338</v>
      </c>
      <c r="F11" s="332">
        <v>13039731.026091814</v>
      </c>
      <c r="G11" s="332">
        <f>'Vähimmäistasoa koskeva tasaus'!H40</f>
        <v>-3394550.5728435474</v>
      </c>
      <c r="H11" s="333">
        <f t="shared" si="0"/>
        <v>892886487.71531165</v>
      </c>
      <c r="I11" s="331">
        <f>'Jälkikäteistarkistus 2027'!$F$29*('SOTE laskennallinen rahoitus'!N58/'SOTE laskennallinen rahoitus'!$N$76)+'Jälkikäteistarkistus 2027'!$F$32*('PELA laskennallinen rahoitus'!F52/'PELA laskennallinen rahoitus'!$F$70)</f>
        <v>28701220.786936793</v>
      </c>
      <c r="J11" s="335">
        <f t="shared" si="1"/>
        <v>4302.0100491701396</v>
      </c>
      <c r="K11" s="331">
        <f t="shared" si="2"/>
        <v>13909425.972014546</v>
      </c>
      <c r="L11" s="384">
        <f t="shared" si="3"/>
        <v>1.5824560818945191E-2</v>
      </c>
    </row>
    <row r="12" spans="1:12" ht="16.5" x14ac:dyDescent="0.3">
      <c r="A12" s="334">
        <v>2</v>
      </c>
      <c r="B12" s="329" t="s">
        <v>17</v>
      </c>
      <c r="C12" s="330">
        <f>Määräytymistekijät!C12</f>
        <v>497800</v>
      </c>
      <c r="D12" s="331">
        <v>2432515178.2568226</v>
      </c>
      <c r="E12" s="331">
        <f>'SOTE laskennallinen rahoitus'!N59+'PELA laskennallinen rahoitus'!F53</f>
        <v>2515599852.9100194</v>
      </c>
      <c r="F12" s="332">
        <v>-52306701.399128668</v>
      </c>
      <c r="G12" s="332">
        <f>'Vähimmäistasoa koskeva tasaus'!H41</f>
        <v>-355211.75751543045</v>
      </c>
      <c r="H12" s="333">
        <f t="shared" si="0"/>
        <v>2462937939.7533755</v>
      </c>
      <c r="I12" s="331">
        <f>'Jälkikäteistarkistus 2027'!$F$29*('SOTE laskennallinen rahoitus'!N59/'SOTE laskennallinen rahoitus'!$N$76)+'Jälkikäteistarkistus 2027'!$F$32*('PELA laskennallinen rahoitus'!F53/'PELA laskennallinen rahoitus'!$F$70)</f>
        <v>81285336.391523033</v>
      </c>
      <c r="J12" s="335">
        <f t="shared" si="1"/>
        <v>4947.645519793844</v>
      </c>
      <c r="K12" s="331">
        <f t="shared" si="2"/>
        <v>30422761.496552944</v>
      </c>
      <c r="L12" s="384">
        <f t="shared" si="3"/>
        <v>1.2506709832065409E-2</v>
      </c>
    </row>
    <row r="13" spans="1:12" ht="16.5" x14ac:dyDescent="0.3">
      <c r="A13" s="334">
        <v>4</v>
      </c>
      <c r="B13" s="329" t="s">
        <v>18</v>
      </c>
      <c r="C13" s="330">
        <f>Määräytymistekijät!C13</f>
        <v>210112</v>
      </c>
      <c r="D13" s="331">
        <v>1086939426.6398733</v>
      </c>
      <c r="E13" s="331">
        <f>'SOTE laskennallinen rahoitus'!N60+'PELA laskennallinen rahoitus'!F54</f>
        <v>1058426137.4556007</v>
      </c>
      <c r="F13" s="332">
        <v>14622794.288122892</v>
      </c>
      <c r="G13" s="332">
        <f>'Vähimmäistasoa koskeva tasaus'!H42</f>
        <v>13890494.896149635</v>
      </c>
      <c r="H13" s="333">
        <f t="shared" si="0"/>
        <v>1086939426.6398733</v>
      </c>
      <c r="I13" s="331">
        <f>'Jälkikäteistarkistus 2027'!$F$29*('SOTE laskennallinen rahoitus'!N60/'SOTE laskennallinen rahoitus'!$N$76)+'Jälkikäteistarkistus 2027'!$F$32*('PELA laskennallinen rahoitus'!F54/'PELA laskennallinen rahoitus'!$F$70)</f>
        <v>34415397.076957479</v>
      </c>
      <c r="J13" s="335">
        <f t="shared" si="1"/>
        <v>5173.1430220067068</v>
      </c>
      <c r="K13" s="331">
        <f t="shared" si="2"/>
        <v>0</v>
      </c>
      <c r="L13" s="384">
        <f t="shared" si="3"/>
        <v>0</v>
      </c>
    </row>
    <row r="14" spans="1:12" ht="15" x14ac:dyDescent="0.25">
      <c r="A14" s="334">
        <v>5</v>
      </c>
      <c r="B14" s="329" t="s">
        <v>19</v>
      </c>
      <c r="C14" s="330">
        <f>Määräytymistekijät!C14</f>
        <v>168957</v>
      </c>
      <c r="D14" s="331">
        <v>828385921.53369272</v>
      </c>
      <c r="E14" s="331">
        <f>'SOTE laskennallinen rahoitus'!N61+'PELA laskennallinen rahoitus'!F55</f>
        <v>833637211.39111817</v>
      </c>
      <c r="F14" s="332">
        <v>-940901.35390305403</v>
      </c>
      <c r="G14" s="332">
        <f>'Vähimmäistasoa koskeva tasaus'!H43</f>
        <v>0</v>
      </c>
      <c r="H14" s="333">
        <f t="shared" si="0"/>
        <v>832696310.03721511</v>
      </c>
      <c r="I14" s="331">
        <f>'Jälkikäteistarkistus 2027'!$F$29*('SOTE laskennallinen rahoitus'!N61/'SOTE laskennallinen rahoitus'!$N$76)+'Jälkikäteistarkistus 2027'!$F$32*('PELA laskennallinen rahoitus'!F55/'PELA laskennallinen rahoitus'!$F$70)</f>
        <v>26969733.020649731</v>
      </c>
      <c r="J14" s="335">
        <f t="shared" si="1"/>
        <v>4928.4510854076188</v>
      </c>
      <c r="K14" s="331">
        <f t="shared" si="2"/>
        <v>4310388.5035223961</v>
      </c>
      <c r="L14" s="384">
        <f t="shared" si="3"/>
        <v>5.2033579898871822E-3</v>
      </c>
    </row>
    <row r="15" spans="1:12" ht="16.5" x14ac:dyDescent="0.3">
      <c r="A15" s="334">
        <v>6</v>
      </c>
      <c r="B15" s="329" t="s">
        <v>20</v>
      </c>
      <c r="C15" s="330">
        <f>Määräytymistekijät!C15</f>
        <v>548910</v>
      </c>
      <c r="D15" s="331">
        <v>2582609832.1290555</v>
      </c>
      <c r="E15" s="331">
        <f>'SOTE laskennallinen rahoitus'!N62+'PELA laskennallinen rahoitus'!F56</f>
        <v>2587696163.7294254</v>
      </c>
      <c r="F15" s="332">
        <v>0</v>
      </c>
      <c r="G15" s="332">
        <f>'Vähimmäistasoa koskeva tasaus'!H44</f>
        <v>0</v>
      </c>
      <c r="H15" s="333">
        <f t="shared" si="0"/>
        <v>2587696163.7294254</v>
      </c>
      <c r="I15" s="331">
        <f>'Jälkikäteistarkistus 2027'!$F$29*('SOTE laskennallinen rahoitus'!N62/'SOTE laskennallinen rahoitus'!$N$76)+'Jälkikäteistarkistus 2027'!$F$32*('PELA laskennallinen rahoitus'!F56/'PELA laskennallinen rahoitus'!$F$70)</f>
        <v>83615188.234415203</v>
      </c>
      <c r="J15" s="335">
        <f t="shared" si="1"/>
        <v>4714.2448921124142</v>
      </c>
      <c r="K15" s="331">
        <f t="shared" si="2"/>
        <v>5086331.6003699303</v>
      </c>
      <c r="L15" s="384">
        <f t="shared" si="3"/>
        <v>1.969454130118003E-3</v>
      </c>
    </row>
    <row r="16" spans="1:12" ht="15" x14ac:dyDescent="0.25">
      <c r="A16" s="334">
        <v>7</v>
      </c>
      <c r="B16" s="329" t="s">
        <v>21</v>
      </c>
      <c r="C16" s="330">
        <f>Määräytymistekijät!C16</f>
        <v>204522</v>
      </c>
      <c r="D16" s="331">
        <v>996294251.87638068</v>
      </c>
      <c r="E16" s="331">
        <f>'SOTE laskennallinen rahoitus'!N63+'PELA laskennallinen rahoitus'!F57</f>
        <v>1040153328.4921417</v>
      </c>
      <c r="F16" s="332">
        <v>-33254487.665901065</v>
      </c>
      <c r="G16" s="332">
        <f>'Vähimmäistasoa koskeva tasaus'!H45</f>
        <v>0</v>
      </c>
      <c r="H16" s="333">
        <f t="shared" si="0"/>
        <v>1006898840.8262407</v>
      </c>
      <c r="I16" s="331">
        <f>'Jälkikäteistarkistus 2027'!$F$29*('SOTE laskennallinen rahoitus'!N63/'SOTE laskennallinen rahoitus'!$N$76)+'Jälkikäteistarkistus 2027'!$F$32*('PELA laskennallinen rahoitus'!F57/'PELA laskennallinen rahoitus'!$F$70)</f>
        <v>33611205.800983489</v>
      </c>
      <c r="J16" s="335">
        <f t="shared" si="1"/>
        <v>4923.1810799143404</v>
      </c>
      <c r="K16" s="331">
        <f t="shared" si="2"/>
        <v>10604588.949859977</v>
      </c>
      <c r="L16" s="384">
        <f t="shared" si="3"/>
        <v>1.0644033055382703E-2</v>
      </c>
    </row>
    <row r="17" spans="1:18" s="386" customFormat="1" ht="16.5" x14ac:dyDescent="0.3">
      <c r="A17" s="334">
        <v>8</v>
      </c>
      <c r="B17" s="329" t="s">
        <v>22</v>
      </c>
      <c r="C17" s="330">
        <f>Määräytymistekijät!C17</f>
        <v>156198</v>
      </c>
      <c r="D17" s="331">
        <v>904018461.30425584</v>
      </c>
      <c r="E17" s="331">
        <f>'SOTE laskennallinen rahoitus'!N64+'PELA laskennallinen rahoitus'!F58</f>
        <v>853617980.15594125</v>
      </c>
      <c r="F17" s="332">
        <v>37929158.261614442</v>
      </c>
      <c r="G17" s="332">
        <f>'Vähimmäistasoa koskeva tasaus'!H46</f>
        <v>12471322.886700153</v>
      </c>
      <c r="H17" s="333">
        <f t="shared" si="0"/>
        <v>904018461.30425584</v>
      </c>
      <c r="I17" s="331">
        <f>'Jälkikäteistarkistus 2027'!$F$29*('SOTE laskennallinen rahoitus'!N64/'SOTE laskennallinen rahoitus'!$N$76)+'Jälkikäteistarkistus 2027'!$F$32*('PELA laskennallinen rahoitus'!F58/'PELA laskennallinen rahoitus'!$F$70)</f>
        <v>27663864.468570646</v>
      </c>
      <c r="J17" s="335">
        <f t="shared" si="1"/>
        <v>5787.6442803637428</v>
      </c>
      <c r="K17" s="331">
        <f t="shared" si="2"/>
        <v>0</v>
      </c>
      <c r="L17" s="384">
        <f t="shared" si="3"/>
        <v>0</v>
      </c>
      <c r="M17" s="111"/>
      <c r="N17" s="111"/>
      <c r="O17" s="111"/>
      <c r="P17" s="111"/>
      <c r="Q17" s="111"/>
      <c r="R17" s="111"/>
    </row>
    <row r="18" spans="1:18" s="386" customFormat="1" ht="16.5" x14ac:dyDescent="0.3">
      <c r="A18" s="334">
        <v>9</v>
      </c>
      <c r="B18" s="329" t="s">
        <v>23</v>
      </c>
      <c r="C18" s="330">
        <f>Määräytymistekijät!C18</f>
        <v>124238</v>
      </c>
      <c r="D18" s="331">
        <v>613543402.20651472</v>
      </c>
      <c r="E18" s="331">
        <f>'SOTE laskennallinen rahoitus'!N65+'PELA laskennallinen rahoitus'!F59</f>
        <v>602432748.28188336</v>
      </c>
      <c r="F18" s="332">
        <v>0</v>
      </c>
      <c r="G18" s="332">
        <f>'Vähimmäistasoa koskeva tasaus'!H47</f>
        <v>11110653.924631357</v>
      </c>
      <c r="H18" s="333">
        <f t="shared" si="0"/>
        <v>613543402.20651472</v>
      </c>
      <c r="I18" s="331">
        <f>'Jälkikäteistarkistus 2027'!$F$29*('SOTE laskennallinen rahoitus'!N65/'SOTE laskennallinen rahoitus'!$N$76)+'Jälkikäteistarkistus 2027'!$F$32*('PELA laskennallinen rahoitus'!F59/'PELA laskennallinen rahoitus'!$F$70)</f>
        <v>19599680.089812376</v>
      </c>
      <c r="J18" s="335">
        <f t="shared" si="1"/>
        <v>4938.4520211731897</v>
      </c>
      <c r="K18" s="331">
        <f t="shared" si="2"/>
        <v>0</v>
      </c>
      <c r="L18" s="384">
        <f t="shared" si="3"/>
        <v>0</v>
      </c>
      <c r="M18" s="111"/>
      <c r="N18" s="111"/>
      <c r="O18" s="111"/>
      <c r="P18" s="111"/>
      <c r="Q18" s="111"/>
      <c r="R18" s="111"/>
    </row>
    <row r="19" spans="1:18" s="386" customFormat="1" ht="16.5" x14ac:dyDescent="0.3">
      <c r="A19" s="334">
        <v>10</v>
      </c>
      <c r="B19" s="329" t="s">
        <v>24</v>
      </c>
      <c r="C19" s="330">
        <f>Määräytymistekijät!C19</f>
        <v>128144</v>
      </c>
      <c r="D19" s="331">
        <v>783434949.51861668</v>
      </c>
      <c r="E19" s="331">
        <f>'SOTE laskennallinen rahoitus'!N66+'PELA laskennallinen rahoitus'!F60</f>
        <v>757935654.74992085</v>
      </c>
      <c r="F19" s="332">
        <v>30679764.959971186</v>
      </c>
      <c r="G19" s="332">
        <f>'Vähimmäistasoa koskeva tasaus'!H48</f>
        <v>0</v>
      </c>
      <c r="H19" s="333">
        <f t="shared" si="0"/>
        <v>788615419.70989203</v>
      </c>
      <c r="I19" s="331">
        <f>'Jälkikäteistarkistus 2027'!$F$29*('SOTE laskennallinen rahoitus'!N66/'SOTE laskennallinen rahoitus'!$N$76)+'Jälkikäteistarkistus 2027'!$F$32*('PELA laskennallinen rahoitus'!F60/'PELA laskennallinen rahoitus'!$F$70)</f>
        <v>24507781.532737091</v>
      </c>
      <c r="J19" s="335">
        <f t="shared" si="1"/>
        <v>6154.1345650977964</v>
      </c>
      <c r="K19" s="331">
        <f t="shared" si="2"/>
        <v>5180470.1912753582</v>
      </c>
      <c r="L19" s="384">
        <f t="shared" si="3"/>
        <v>6.6125084085902853E-3</v>
      </c>
      <c r="M19" s="111"/>
      <c r="N19" s="111"/>
      <c r="O19" s="111"/>
      <c r="P19" s="111"/>
      <c r="Q19" s="111"/>
      <c r="R19" s="111"/>
    </row>
    <row r="20" spans="1:18" s="386" customFormat="1" ht="16.5" x14ac:dyDescent="0.3">
      <c r="A20" s="334">
        <v>11</v>
      </c>
      <c r="B20" s="329" t="s">
        <v>25</v>
      </c>
      <c r="C20" s="330">
        <f>Määräytymistekijät!C20</f>
        <v>248512</v>
      </c>
      <c r="D20" s="331">
        <v>1331700508.4349513</v>
      </c>
      <c r="E20" s="331">
        <f>'SOTE laskennallinen rahoitus'!N67+'PELA laskennallinen rahoitus'!F61</f>
        <v>1331048875.1772778</v>
      </c>
      <c r="F20" s="332">
        <v>0</v>
      </c>
      <c r="G20" s="332">
        <f>'Vähimmäistasoa koskeva tasaus'!H49</f>
        <v>651633.25767350197</v>
      </c>
      <c r="H20" s="333">
        <f t="shared" si="0"/>
        <v>1331700508.4349513</v>
      </c>
      <c r="I20" s="331">
        <f>'Jälkikäteistarkistus 2027'!$F$29*('SOTE laskennallinen rahoitus'!N67/'SOTE laskennallinen rahoitus'!$N$76)+'Jälkikäteistarkistus 2027'!$F$32*('PELA laskennallinen rahoitus'!F61/'PELA laskennallinen rahoitus'!$F$70)</f>
        <v>42951797.360499166</v>
      </c>
      <c r="J20" s="335">
        <f t="shared" si="1"/>
        <v>5358.6969982735291</v>
      </c>
      <c r="K20" s="331">
        <f t="shared" si="2"/>
        <v>0</v>
      </c>
      <c r="L20" s="384">
        <f t="shared" si="3"/>
        <v>0</v>
      </c>
      <c r="M20" s="111"/>
      <c r="N20" s="111"/>
      <c r="O20" s="111"/>
      <c r="P20" s="111"/>
      <c r="Q20" s="111"/>
      <c r="R20" s="111"/>
    </row>
    <row r="21" spans="1:18" s="386" customFormat="1" ht="16.5" x14ac:dyDescent="0.3">
      <c r="A21" s="334">
        <v>12</v>
      </c>
      <c r="B21" s="329" t="s">
        <v>26</v>
      </c>
      <c r="C21" s="330">
        <f>Määräytymistekijät!C21</f>
        <v>161418</v>
      </c>
      <c r="D21" s="331">
        <v>880663214.96120441</v>
      </c>
      <c r="E21" s="331">
        <f>'SOTE laskennallinen rahoitus'!N68+'PELA laskennallinen rahoitus'!F62</f>
        <v>943916493.79364502</v>
      </c>
      <c r="F21" s="332">
        <v>-48489187.798103213</v>
      </c>
      <c r="G21" s="332">
        <f>'Vähimmäistasoa koskeva tasaus'!H50</f>
        <v>-2640033.362244748</v>
      </c>
      <c r="H21" s="333">
        <f t="shared" si="0"/>
        <v>892787272.63329709</v>
      </c>
      <c r="I21" s="331">
        <f>'Jälkikäteistarkistus 2027'!$F$29*('SOTE laskennallinen rahoitus'!N68/'SOTE laskennallinen rahoitus'!$N$76)+'Jälkikäteistarkistus 2027'!$F$32*('PELA laskennallinen rahoitus'!F62/'PELA laskennallinen rahoitus'!$F$70)</f>
        <v>30484026.707439698</v>
      </c>
      <c r="J21" s="335">
        <f t="shared" si="1"/>
        <v>5530.9028276480758</v>
      </c>
      <c r="K21" s="331">
        <f t="shared" si="2"/>
        <v>12124057.672092676</v>
      </c>
      <c r="L21" s="384">
        <f t="shared" si="3"/>
        <v>1.37669627459423E-2</v>
      </c>
      <c r="M21" s="111"/>
      <c r="N21" s="111"/>
      <c r="O21" s="111"/>
      <c r="P21" s="111"/>
      <c r="Q21" s="111"/>
      <c r="R21" s="111"/>
    </row>
    <row r="22" spans="1:18" s="386" customFormat="1" ht="16.5" x14ac:dyDescent="0.3">
      <c r="A22" s="334">
        <v>13</v>
      </c>
      <c r="B22" s="329" t="s">
        <v>27</v>
      </c>
      <c r="C22" s="330">
        <f>Määräytymistekijät!C22</f>
        <v>273731</v>
      </c>
      <c r="D22" s="331">
        <v>1310331045.2925272</v>
      </c>
      <c r="E22" s="331">
        <f>'SOTE laskennallinen rahoitus'!N69+'PELA laskennallinen rahoitus'!F63</f>
        <v>1312806826.5896213</v>
      </c>
      <c r="F22" s="332">
        <v>9401588.090139389</v>
      </c>
      <c r="G22" s="332">
        <f>'Vähimmäistasoa koskeva tasaus'!H51</f>
        <v>0</v>
      </c>
      <c r="H22" s="333">
        <f t="shared" si="0"/>
        <v>1322208414.6797607</v>
      </c>
      <c r="I22" s="331">
        <f>'Jälkikäteistarkistus 2027'!$F$29*('SOTE laskennallinen rahoitus'!N69/'SOTE laskennallinen rahoitus'!$N$76)+'Jälkikäteistarkistus 2027'!$F$32*('PELA laskennallinen rahoitus'!F63/'PELA laskennallinen rahoitus'!$F$70)</f>
        <v>42543584.054648101</v>
      </c>
      <c r="J22" s="335">
        <f t="shared" si="1"/>
        <v>4830.3203315655173</v>
      </c>
      <c r="K22" s="331">
        <f t="shared" si="2"/>
        <v>11877369.387233496</v>
      </c>
      <c r="L22" s="384">
        <f t="shared" si="3"/>
        <v>9.064403556569867E-3</v>
      </c>
      <c r="M22" s="111"/>
      <c r="N22" s="111"/>
      <c r="O22" s="111"/>
      <c r="P22" s="111"/>
      <c r="Q22" s="111"/>
      <c r="R22" s="111"/>
    </row>
    <row r="23" spans="1:18" s="386" customFormat="1" ht="16.5" x14ac:dyDescent="0.3">
      <c r="A23" s="334">
        <v>14</v>
      </c>
      <c r="B23" s="329" t="s">
        <v>28</v>
      </c>
      <c r="C23" s="330">
        <f>Määräytymistekijät!C23</f>
        <v>189474</v>
      </c>
      <c r="D23" s="331">
        <v>1014477957.6732956</v>
      </c>
      <c r="E23" s="331">
        <f>'SOTE laskennallinen rahoitus'!N70+'PELA laskennallinen rahoitus'!F64</f>
        <v>1031128640.3703383</v>
      </c>
      <c r="F23" s="332">
        <v>0</v>
      </c>
      <c r="G23" s="332">
        <f>'Vähimmäistasoa koskeva tasaus'!H52</f>
        <v>-3098896.5374243357</v>
      </c>
      <c r="H23" s="333">
        <f t="shared" si="0"/>
        <v>1028029743.832914</v>
      </c>
      <c r="I23" s="331">
        <f>'Jälkikäteistarkistus 2027'!$F$29*('SOTE laskennallinen rahoitus'!N70/'SOTE laskennallinen rahoitus'!$N$76)+'Jälkikäteistarkistus 2027'!$F$32*('PELA laskennallinen rahoitus'!F64/'PELA laskennallinen rahoitus'!$F$70)</f>
        <v>33372711.916154724</v>
      </c>
      <c r="J23" s="335">
        <f t="shared" si="1"/>
        <v>5425.7034940567783</v>
      </c>
      <c r="K23" s="331">
        <f t="shared" si="2"/>
        <v>13551786.159618378</v>
      </c>
      <c r="L23" s="384">
        <f t="shared" si="3"/>
        <v>1.3358384040890734E-2</v>
      </c>
      <c r="M23" s="111"/>
      <c r="N23" s="111"/>
      <c r="O23" s="111"/>
      <c r="P23" s="111"/>
      <c r="Q23" s="111"/>
      <c r="R23" s="111"/>
    </row>
    <row r="24" spans="1:18" s="386" customFormat="1" ht="16.5" x14ac:dyDescent="0.3">
      <c r="A24" s="334">
        <v>15</v>
      </c>
      <c r="B24" s="329" t="s">
        <v>29</v>
      </c>
      <c r="C24" s="330">
        <f>Määräytymistekijät!C24</f>
        <v>179555</v>
      </c>
      <c r="D24" s="331">
        <v>862910936.29623485</v>
      </c>
      <c r="E24" s="331">
        <f>'SOTE laskennallinen rahoitus'!N71+'PELA laskennallinen rahoitus'!F65</f>
        <v>871244017.32679653</v>
      </c>
      <c r="F24" s="332">
        <v>8076024.928301096</v>
      </c>
      <c r="G24" s="332">
        <f>'Vähimmäistasoa koskeva tasaus'!H53</f>
        <v>-2936668.7132652849</v>
      </c>
      <c r="H24" s="333">
        <f t="shared" si="0"/>
        <v>876383373.54183233</v>
      </c>
      <c r="I24" s="331">
        <f>'Jälkikäteistarkistus 2027'!$F$29*('SOTE laskennallinen rahoitus'!N71/'SOTE laskennallinen rahoitus'!$N$76)+'Jälkikäteistarkistus 2027'!$F$32*('PELA laskennallinen rahoitus'!F65/'PELA laskennallinen rahoitus'!$F$70)</f>
        <v>28315362.273778517</v>
      </c>
      <c r="J24" s="335">
        <f t="shared" si="1"/>
        <v>4880.8630978910769</v>
      </c>
      <c r="K24" s="331">
        <f t="shared" si="2"/>
        <v>13472437.245597482</v>
      </c>
      <c r="L24" s="384">
        <f t="shared" si="3"/>
        <v>1.561277842117003E-2</v>
      </c>
      <c r="M24" s="111"/>
      <c r="N24" s="111"/>
      <c r="O24" s="111"/>
      <c r="P24" s="111"/>
      <c r="Q24" s="111"/>
      <c r="R24" s="111"/>
    </row>
    <row r="25" spans="1:18" s="386" customFormat="1" ht="16.5" x14ac:dyDescent="0.3">
      <c r="A25" s="334">
        <v>16</v>
      </c>
      <c r="B25" s="329" t="s">
        <v>30</v>
      </c>
      <c r="C25" s="330">
        <f>Määräytymistekijät!C25</f>
        <v>67498</v>
      </c>
      <c r="D25" s="331">
        <v>343861420.9720608</v>
      </c>
      <c r="E25" s="331">
        <f>'SOTE laskennallinen rahoitus'!N72+'PELA laskennallinen rahoitus'!F66</f>
        <v>356432849.07796174</v>
      </c>
      <c r="F25" s="332">
        <v>-11603586.953637004</v>
      </c>
      <c r="G25" s="332">
        <f>'Vähimmäistasoa koskeva tasaus'!H54</f>
        <v>0</v>
      </c>
      <c r="H25" s="333">
        <f t="shared" si="0"/>
        <v>344829262.12432474</v>
      </c>
      <c r="I25" s="331">
        <f>'Jälkikäteistarkistus 2027'!$F$29*('SOTE laskennallinen rahoitus'!N72/'SOTE laskennallinen rahoitus'!$N$76)+'Jälkikäteistarkistus 2027'!$F$32*('PELA laskennallinen rahoitus'!F66/'PELA laskennallinen rahoitus'!$F$70)</f>
        <v>11539413.803793948</v>
      </c>
      <c r="J25" s="335">
        <f t="shared" si="1"/>
        <v>5108.7330309686913</v>
      </c>
      <c r="K25" s="331">
        <f t="shared" si="2"/>
        <v>967841.15226393938</v>
      </c>
      <c r="L25" s="384">
        <f t="shared" si="3"/>
        <v>2.8146255823870911E-3</v>
      </c>
      <c r="M25" s="111"/>
      <c r="N25" s="111"/>
      <c r="O25" s="111"/>
      <c r="P25" s="111"/>
      <c r="Q25" s="111"/>
      <c r="R25" s="111"/>
    </row>
    <row r="26" spans="1:18" s="386" customFormat="1" ht="16.5" x14ac:dyDescent="0.3">
      <c r="A26" s="334">
        <v>17</v>
      </c>
      <c r="B26" s="329" t="s">
        <v>31</v>
      </c>
      <c r="C26" s="330">
        <f>Määräytymistekijät!C26</f>
        <v>417939</v>
      </c>
      <c r="D26" s="331">
        <v>2051875414.3732989</v>
      </c>
      <c r="E26" s="331">
        <f>'SOTE laskennallinen rahoitus'!N73+'PELA laskennallinen rahoitus'!F67</f>
        <v>2091836425.559875</v>
      </c>
      <c r="F26" s="332">
        <v>-1318725.2460839753</v>
      </c>
      <c r="G26" s="332">
        <f>'Vähimmäistasoa koskeva tasaus'!H55</f>
        <v>-6835501.0183697464</v>
      </c>
      <c r="H26" s="333">
        <f t="shared" si="0"/>
        <v>2083682199.2954214</v>
      </c>
      <c r="I26" s="331">
        <f>'Jälkikäteistarkistus 2027'!$F$29*('SOTE laskennallinen rahoitus'!N73/'SOTE laskennallinen rahoitus'!$N$76)+'Jälkikäteistarkistus 2027'!$F$32*('PELA laskennallinen rahoitus'!F67/'PELA laskennallinen rahoitus'!$F$70)</f>
        <v>67779858.798994675</v>
      </c>
      <c r="J26" s="335">
        <f t="shared" si="1"/>
        <v>4985.6132098115304</v>
      </c>
      <c r="K26" s="331">
        <f t="shared" si="2"/>
        <v>31806784.922122478</v>
      </c>
      <c r="L26" s="384">
        <f t="shared" si="3"/>
        <v>1.5501323666786648E-2</v>
      </c>
      <c r="M26" s="111"/>
      <c r="N26" s="111"/>
      <c r="O26" s="111"/>
      <c r="P26" s="111"/>
      <c r="Q26" s="111"/>
      <c r="R26" s="111"/>
    </row>
    <row r="27" spans="1:18" s="386" customFormat="1" ht="16.5" x14ac:dyDescent="0.3">
      <c r="A27" s="334">
        <v>18</v>
      </c>
      <c r="B27" s="329" t="s">
        <v>32</v>
      </c>
      <c r="C27" s="330">
        <f>Määräytymistekijät!C27</f>
        <v>69193</v>
      </c>
      <c r="D27" s="331">
        <v>416043808.2569328</v>
      </c>
      <c r="E27" s="331">
        <f>'SOTE laskennallinen rahoitus'!N74+'PELA laskennallinen rahoitus'!F68</f>
        <v>418115804.97123027</v>
      </c>
      <c r="F27" s="332">
        <v>0</v>
      </c>
      <c r="G27" s="332">
        <f>'Vähimmäistasoa koskeva tasaus'!H56</f>
        <v>0</v>
      </c>
      <c r="H27" s="333">
        <f t="shared" si="0"/>
        <v>418115804.97123027</v>
      </c>
      <c r="I27" s="331">
        <f>'Jälkikäteistarkistus 2027'!$F$29*('SOTE laskennallinen rahoitus'!N74/'SOTE laskennallinen rahoitus'!$N$76)+'Jälkikäteistarkistus 2027'!$F$32*('PELA laskennallinen rahoitus'!F68/'PELA laskennallinen rahoitus'!$F$70)</f>
        <v>13572985.779916693</v>
      </c>
      <c r="J27" s="335">
        <f t="shared" si="1"/>
        <v>6042.7471705408097</v>
      </c>
      <c r="K27" s="331">
        <f t="shared" si="2"/>
        <v>2071996.7142974734</v>
      </c>
      <c r="L27" s="384">
        <f t="shared" si="3"/>
        <v>4.9802368721177728E-3</v>
      </c>
      <c r="M27" s="111"/>
      <c r="N27" s="111"/>
      <c r="O27" s="111"/>
      <c r="P27" s="111"/>
      <c r="Q27" s="111"/>
      <c r="R27" s="111"/>
    </row>
    <row r="28" spans="1:18" s="386" customFormat="1" ht="16.5" x14ac:dyDescent="0.3">
      <c r="A28" s="334">
        <v>19</v>
      </c>
      <c r="B28" s="329" t="s">
        <v>33</v>
      </c>
      <c r="C28" s="330">
        <f>Määräytymistekijät!C28</f>
        <v>176215</v>
      </c>
      <c r="D28" s="331">
        <v>1047590800.1009375</v>
      </c>
      <c r="E28" s="331">
        <f>'SOTE laskennallinen rahoitus'!N75+'PELA laskennallinen rahoitus'!F69</f>
        <v>1100348714.0904689</v>
      </c>
      <c r="F28" s="332">
        <v>-38549646.277152658</v>
      </c>
      <c r="G28" s="332">
        <f>'Vähimmäistasoa koskeva tasaus'!H57</f>
        <v>-1106353.5527750254</v>
      </c>
      <c r="H28" s="333">
        <f t="shared" si="0"/>
        <v>1060692714.2605412</v>
      </c>
      <c r="I28" s="331">
        <f>'Jälkikäteistarkistus 2027'!$F$29*('SOTE laskennallinen rahoitus'!N75/'SOTE laskennallinen rahoitus'!$N$76)+'Jälkikäteistarkistus 2027'!$F$32*('PELA laskennallinen rahoitus'!F69/'PELA laskennallinen rahoitus'!$F$70)</f>
        <v>35852549.503234126</v>
      </c>
      <c r="J28" s="335">
        <f t="shared" si="1"/>
        <v>6019.3100148145231</v>
      </c>
      <c r="K28" s="331">
        <f t="shared" si="2"/>
        <v>13101914.159603715</v>
      </c>
      <c r="L28" s="384">
        <f t="shared" si="3"/>
        <v>1.2506709832065458E-2</v>
      </c>
      <c r="M28" s="111"/>
      <c r="N28" s="111"/>
      <c r="O28" s="111"/>
      <c r="P28" s="111"/>
      <c r="Q28" s="111"/>
      <c r="R28" s="111"/>
    </row>
    <row r="29" spans="1:18" s="386" customFormat="1" ht="16.5" x14ac:dyDescent="0.3">
      <c r="A29" s="334"/>
      <c r="B29" s="329" t="s">
        <v>34</v>
      </c>
      <c r="C29" s="335">
        <f>Määräytymistekijät!C29</f>
        <v>5622045</v>
      </c>
      <c r="D29" s="333">
        <v>27189751480.060482</v>
      </c>
      <c r="E29" s="333">
        <f>'SOTE laskennallinen rahoitus'!N76+'PELA laskennallinen rahoitus'!F70</f>
        <v>27520072672.726002</v>
      </c>
      <c r="F29" s="336">
        <v>9733139.50156717</v>
      </c>
      <c r="G29" s="336">
        <f>'Vähimmäistasoa koskeva tasaus'!H58</f>
        <v>0</v>
      </c>
      <c r="H29" s="333">
        <f t="shared" si="0"/>
        <v>27529805812.22757</v>
      </c>
      <c r="I29" s="333">
        <f>SUM(I7:I28)</f>
        <v>890618637.5803957</v>
      </c>
      <c r="J29" s="335">
        <f t="shared" si="1"/>
        <v>4896.7601312738634</v>
      </c>
      <c r="K29" s="333">
        <f t="shared" si="2"/>
        <v>340054332.16708755</v>
      </c>
      <c r="L29" s="385">
        <f t="shared" si="3"/>
        <v>1.2506709832065413E-2</v>
      </c>
      <c r="M29" s="111"/>
      <c r="N29" s="111"/>
      <c r="O29" s="111"/>
      <c r="P29" s="111"/>
      <c r="Q29" s="111"/>
      <c r="R29" s="111"/>
    </row>
    <row r="30" spans="1:18" s="387" customFormat="1" ht="15" x14ac:dyDescent="0.25">
      <c r="A30" s="2"/>
      <c r="B30" s="2"/>
      <c r="C30" s="135"/>
      <c r="D30" s="135"/>
      <c r="E30" s="135"/>
      <c r="F30" s="135"/>
      <c r="G30" s="135"/>
      <c r="H30" s="135"/>
      <c r="I30" s="135"/>
      <c r="J30" s="135"/>
      <c r="K30" s="201"/>
      <c r="L30" s="202"/>
      <c r="M30" s="111"/>
      <c r="N30" s="111"/>
      <c r="O30" s="111"/>
      <c r="P30" s="111"/>
      <c r="Q30" s="111"/>
      <c r="R30" s="111"/>
    </row>
    <row r="31" spans="1:18" s="387" customFormat="1" x14ac:dyDescent="0.2">
      <c r="A31" s="2"/>
      <c r="B31" s="2"/>
      <c r="C31" s="135"/>
      <c r="D31" s="135"/>
      <c r="E31" s="135"/>
      <c r="F31" s="135"/>
      <c r="G31" s="135"/>
      <c r="H31" s="135"/>
      <c r="I31" s="135"/>
      <c r="J31" s="135"/>
      <c r="K31" s="135"/>
      <c r="L31" s="135"/>
      <c r="M31" s="111"/>
      <c r="N31" s="111"/>
      <c r="O31" s="111"/>
      <c r="P31" s="111"/>
      <c r="Q31" s="111"/>
      <c r="R31" s="111"/>
    </row>
    <row r="32" spans="1:18" s="387" customFormat="1" ht="17.25" thickBot="1" x14ac:dyDescent="0.3">
      <c r="A32" s="91" t="s">
        <v>474</v>
      </c>
      <c r="B32" s="91"/>
      <c r="C32" s="91"/>
      <c r="D32" s="91"/>
      <c r="E32" s="374"/>
      <c r="F32" s="91"/>
      <c r="G32" s="91"/>
      <c r="H32" s="91"/>
      <c r="I32" s="91"/>
      <c r="J32" s="155"/>
      <c r="K32" s="91"/>
      <c r="L32" s="91"/>
      <c r="M32" s="91"/>
      <c r="N32" s="91"/>
      <c r="O32" s="91"/>
      <c r="P32" s="111"/>
      <c r="Q32" s="111"/>
      <c r="R32" s="111"/>
    </row>
    <row r="33" spans="1:15" s="387" customFormat="1" ht="45.75" thickTop="1" x14ac:dyDescent="0.25">
      <c r="A33" s="215" t="s">
        <v>6</v>
      </c>
      <c r="B33" s="216" t="s">
        <v>7</v>
      </c>
      <c r="C33" s="203" t="s">
        <v>242</v>
      </c>
      <c r="D33" s="203" t="s">
        <v>243</v>
      </c>
      <c r="E33" s="203" t="s">
        <v>244</v>
      </c>
      <c r="F33" s="203" t="s">
        <v>245</v>
      </c>
      <c r="G33" s="203" t="s">
        <v>246</v>
      </c>
      <c r="H33" s="203" t="s">
        <v>247</v>
      </c>
      <c r="I33" s="203" t="s">
        <v>248</v>
      </c>
      <c r="J33" s="203" t="s">
        <v>249</v>
      </c>
      <c r="K33" s="203" t="s">
        <v>250</v>
      </c>
      <c r="L33" s="203" t="s">
        <v>251</v>
      </c>
      <c r="M33" s="203" t="s">
        <v>252</v>
      </c>
      <c r="N33" s="203" t="s">
        <v>253</v>
      </c>
      <c r="O33" s="203" t="s">
        <v>477</v>
      </c>
    </row>
    <row r="34" spans="1:15" s="387" customFormat="1" ht="15" x14ac:dyDescent="0.25">
      <c r="A34" s="205">
        <v>31</v>
      </c>
      <c r="B34" s="175" t="s">
        <v>13</v>
      </c>
      <c r="C34" s="205">
        <f>$H7*2/12</f>
        <v>530930398.25044364</v>
      </c>
      <c r="D34" s="206">
        <f t="shared" ref="D34:G55" si="4">$H7*8/120</f>
        <v>212372159.30017745</v>
      </c>
      <c r="E34" s="206">
        <f t="shared" si="4"/>
        <v>212372159.30017745</v>
      </c>
      <c r="F34" s="206">
        <f t="shared" si="4"/>
        <v>212372159.30017745</v>
      </c>
      <c r="G34" s="206">
        <f t="shared" si="4"/>
        <v>212372159.30017745</v>
      </c>
      <c r="H34" s="205">
        <f>$H7*2/12</f>
        <v>530930398.25044364</v>
      </c>
      <c r="I34" s="206">
        <f t="shared" ref="I34:N43" si="5">$H7*8/120</f>
        <v>212372159.30017745</v>
      </c>
      <c r="J34" s="206">
        <f t="shared" si="5"/>
        <v>212372159.30017745</v>
      </c>
      <c r="K34" s="206">
        <f t="shared" si="5"/>
        <v>212372159.30017745</v>
      </c>
      <c r="L34" s="206">
        <f t="shared" si="5"/>
        <v>212372159.30017745</v>
      </c>
      <c r="M34" s="206">
        <f t="shared" si="5"/>
        <v>212372159.30017745</v>
      </c>
      <c r="N34" s="206">
        <f t="shared" si="5"/>
        <v>212372159.30017745</v>
      </c>
      <c r="O34" s="206">
        <f>SUM(C34:N34)</f>
        <v>3185582389.5026622</v>
      </c>
    </row>
    <row r="35" spans="1:15" s="387" customFormat="1" ht="15" x14ac:dyDescent="0.25">
      <c r="A35" s="205">
        <v>32</v>
      </c>
      <c r="B35" s="175" t="s">
        <v>39</v>
      </c>
      <c r="C35" s="205">
        <f t="shared" ref="C35:C55" si="6">$H8*2/12</f>
        <v>218999903.37472284</v>
      </c>
      <c r="D35" s="206">
        <f t="shared" si="4"/>
        <v>87599961.349889129</v>
      </c>
      <c r="E35" s="206">
        <f t="shared" si="4"/>
        <v>87599961.349889129</v>
      </c>
      <c r="F35" s="206">
        <f t="shared" si="4"/>
        <v>87599961.349889129</v>
      </c>
      <c r="G35" s="206">
        <f t="shared" si="4"/>
        <v>87599961.349889129</v>
      </c>
      <c r="H35" s="205">
        <f t="shared" ref="H35:H55" si="7">$H8*2/12</f>
        <v>218999903.37472284</v>
      </c>
      <c r="I35" s="206">
        <f t="shared" si="5"/>
        <v>87599961.349889129</v>
      </c>
      <c r="J35" s="206">
        <f t="shared" si="5"/>
        <v>87599961.349889129</v>
      </c>
      <c r="K35" s="206">
        <f t="shared" si="5"/>
        <v>87599961.349889129</v>
      </c>
      <c r="L35" s="206">
        <f t="shared" si="5"/>
        <v>87599961.349889129</v>
      </c>
      <c r="M35" s="206">
        <f t="shared" si="5"/>
        <v>87599961.349889129</v>
      </c>
      <c r="N35" s="206">
        <f t="shared" si="5"/>
        <v>87599961.349889129</v>
      </c>
      <c r="O35" s="206">
        <f t="shared" ref="O35:O55" si="8">SUM(C35:N35)</f>
        <v>1313999420.248337</v>
      </c>
    </row>
    <row r="36" spans="1:15" s="387" customFormat="1" ht="15" x14ac:dyDescent="0.25">
      <c r="A36" s="205">
        <v>33</v>
      </c>
      <c r="B36" s="175" t="s">
        <v>14</v>
      </c>
      <c r="C36" s="205">
        <f t="shared" si="6"/>
        <v>341906621.21178859</v>
      </c>
      <c r="D36" s="206">
        <f t="shared" si="4"/>
        <v>136762648.48471543</v>
      </c>
      <c r="E36" s="206">
        <f t="shared" si="4"/>
        <v>136762648.48471543</v>
      </c>
      <c r="F36" s="206">
        <f t="shared" si="4"/>
        <v>136762648.48471543</v>
      </c>
      <c r="G36" s="206">
        <f t="shared" si="4"/>
        <v>136762648.48471543</v>
      </c>
      <c r="H36" s="205">
        <f t="shared" si="7"/>
        <v>341906621.21178859</v>
      </c>
      <c r="I36" s="206">
        <f t="shared" si="5"/>
        <v>136762648.48471543</v>
      </c>
      <c r="J36" s="206">
        <f t="shared" si="5"/>
        <v>136762648.48471543</v>
      </c>
      <c r="K36" s="206">
        <f t="shared" si="5"/>
        <v>136762648.48471543</v>
      </c>
      <c r="L36" s="206">
        <f t="shared" si="5"/>
        <v>136762648.48471543</v>
      </c>
      <c r="M36" s="206">
        <f t="shared" si="5"/>
        <v>136762648.48471543</v>
      </c>
      <c r="N36" s="206">
        <f t="shared" si="5"/>
        <v>136762648.48471543</v>
      </c>
      <c r="O36" s="206">
        <f t="shared" si="8"/>
        <v>2051439727.2707317</v>
      </c>
    </row>
    <row r="37" spans="1:15" s="387" customFormat="1" ht="15" x14ac:dyDescent="0.25">
      <c r="A37" s="205">
        <v>34</v>
      </c>
      <c r="B37" s="175" t="s">
        <v>15</v>
      </c>
      <c r="C37" s="205">
        <f t="shared" si="6"/>
        <v>74020421.584910497</v>
      </c>
      <c r="D37" s="206">
        <f t="shared" si="4"/>
        <v>29608168.633964196</v>
      </c>
      <c r="E37" s="206">
        <f t="shared" si="4"/>
        <v>29608168.633964196</v>
      </c>
      <c r="F37" s="206">
        <f t="shared" si="4"/>
        <v>29608168.633964196</v>
      </c>
      <c r="G37" s="206">
        <f t="shared" si="4"/>
        <v>29608168.633964196</v>
      </c>
      <c r="H37" s="205">
        <f t="shared" si="7"/>
        <v>74020421.584910497</v>
      </c>
      <c r="I37" s="206">
        <f t="shared" si="5"/>
        <v>29608168.633964196</v>
      </c>
      <c r="J37" s="206">
        <f t="shared" si="5"/>
        <v>29608168.633964196</v>
      </c>
      <c r="K37" s="206">
        <f t="shared" si="5"/>
        <v>29608168.633964196</v>
      </c>
      <c r="L37" s="206">
        <f t="shared" si="5"/>
        <v>29608168.633964196</v>
      </c>
      <c r="M37" s="206">
        <f t="shared" si="5"/>
        <v>29608168.633964196</v>
      </c>
      <c r="N37" s="206">
        <f t="shared" si="5"/>
        <v>29608168.633964196</v>
      </c>
      <c r="O37" s="206">
        <f t="shared" si="8"/>
        <v>444122529.50946289</v>
      </c>
    </row>
    <row r="38" spans="1:15" s="387" customFormat="1" ht="15" x14ac:dyDescent="0.25">
      <c r="A38" s="205">
        <v>35</v>
      </c>
      <c r="B38" s="175" t="s">
        <v>16</v>
      </c>
      <c r="C38" s="205">
        <f t="shared" si="6"/>
        <v>148814414.61921862</v>
      </c>
      <c r="D38" s="206">
        <f t="shared" si="4"/>
        <v>59525765.847687446</v>
      </c>
      <c r="E38" s="206">
        <f t="shared" si="4"/>
        <v>59525765.847687446</v>
      </c>
      <c r="F38" s="206">
        <f t="shared" si="4"/>
        <v>59525765.847687446</v>
      </c>
      <c r="G38" s="206">
        <f t="shared" si="4"/>
        <v>59525765.847687446</v>
      </c>
      <c r="H38" s="205">
        <f t="shared" si="7"/>
        <v>148814414.61921862</v>
      </c>
      <c r="I38" s="206">
        <f t="shared" si="5"/>
        <v>59525765.847687446</v>
      </c>
      <c r="J38" s="206">
        <f t="shared" si="5"/>
        <v>59525765.847687446</v>
      </c>
      <c r="K38" s="206">
        <f t="shared" si="5"/>
        <v>59525765.847687446</v>
      </c>
      <c r="L38" s="206">
        <f t="shared" si="5"/>
        <v>59525765.847687446</v>
      </c>
      <c r="M38" s="206">
        <f t="shared" si="5"/>
        <v>59525765.847687446</v>
      </c>
      <c r="N38" s="206">
        <f t="shared" si="5"/>
        <v>59525765.847687446</v>
      </c>
      <c r="O38" s="206">
        <f t="shared" si="8"/>
        <v>892886487.71531188</v>
      </c>
    </row>
    <row r="39" spans="1:15" s="387" customFormat="1" ht="15" x14ac:dyDescent="0.25">
      <c r="A39" s="205">
        <v>2</v>
      </c>
      <c r="B39" s="175" t="s">
        <v>17</v>
      </c>
      <c r="C39" s="205">
        <f t="shared" si="6"/>
        <v>410489656.62556261</v>
      </c>
      <c r="D39" s="206">
        <f t="shared" si="4"/>
        <v>164195862.65022504</v>
      </c>
      <c r="E39" s="206">
        <f t="shared" si="4"/>
        <v>164195862.65022504</v>
      </c>
      <c r="F39" s="206">
        <f t="shared" si="4"/>
        <v>164195862.65022504</v>
      </c>
      <c r="G39" s="206">
        <f t="shared" si="4"/>
        <v>164195862.65022504</v>
      </c>
      <c r="H39" s="205">
        <f t="shared" si="7"/>
        <v>410489656.62556261</v>
      </c>
      <c r="I39" s="206">
        <f t="shared" si="5"/>
        <v>164195862.65022504</v>
      </c>
      <c r="J39" s="206">
        <f t="shared" si="5"/>
        <v>164195862.65022504</v>
      </c>
      <c r="K39" s="206">
        <f t="shared" si="5"/>
        <v>164195862.65022504</v>
      </c>
      <c r="L39" s="206">
        <f t="shared" si="5"/>
        <v>164195862.65022504</v>
      </c>
      <c r="M39" s="206">
        <f t="shared" si="5"/>
        <v>164195862.65022504</v>
      </c>
      <c r="N39" s="206">
        <f t="shared" si="5"/>
        <v>164195862.65022504</v>
      </c>
      <c r="O39" s="206">
        <f t="shared" si="8"/>
        <v>2462937939.753376</v>
      </c>
    </row>
    <row r="40" spans="1:15" s="387" customFormat="1" ht="15" x14ac:dyDescent="0.25">
      <c r="A40" s="205">
        <v>4</v>
      </c>
      <c r="B40" s="175" t="s">
        <v>18</v>
      </c>
      <c r="C40" s="205">
        <f t="shared" si="6"/>
        <v>181156571.10664555</v>
      </c>
      <c r="D40" s="206">
        <f t="shared" si="4"/>
        <v>72462628.442658216</v>
      </c>
      <c r="E40" s="206">
        <f t="shared" si="4"/>
        <v>72462628.442658216</v>
      </c>
      <c r="F40" s="206">
        <f t="shared" si="4"/>
        <v>72462628.442658216</v>
      </c>
      <c r="G40" s="206">
        <f t="shared" si="4"/>
        <v>72462628.442658216</v>
      </c>
      <c r="H40" s="205">
        <f t="shared" si="7"/>
        <v>181156571.10664555</v>
      </c>
      <c r="I40" s="206">
        <f t="shared" si="5"/>
        <v>72462628.442658216</v>
      </c>
      <c r="J40" s="206">
        <f t="shared" si="5"/>
        <v>72462628.442658216</v>
      </c>
      <c r="K40" s="206">
        <f t="shared" si="5"/>
        <v>72462628.442658216</v>
      </c>
      <c r="L40" s="206">
        <f t="shared" si="5"/>
        <v>72462628.442658216</v>
      </c>
      <c r="M40" s="206">
        <f t="shared" si="5"/>
        <v>72462628.442658216</v>
      </c>
      <c r="N40" s="206">
        <f t="shared" si="5"/>
        <v>72462628.442658216</v>
      </c>
      <c r="O40" s="206">
        <f t="shared" si="8"/>
        <v>1086939426.639873</v>
      </c>
    </row>
    <row r="41" spans="1:15" s="387" customFormat="1" ht="15" x14ac:dyDescent="0.25">
      <c r="A41" s="205">
        <v>5</v>
      </c>
      <c r="B41" s="175" t="s">
        <v>19</v>
      </c>
      <c r="C41" s="205">
        <f t="shared" si="6"/>
        <v>138782718.33953586</v>
      </c>
      <c r="D41" s="206">
        <f t="shared" si="4"/>
        <v>55513087.335814342</v>
      </c>
      <c r="E41" s="206">
        <f t="shared" si="4"/>
        <v>55513087.335814342</v>
      </c>
      <c r="F41" s="206">
        <f t="shared" si="4"/>
        <v>55513087.335814342</v>
      </c>
      <c r="G41" s="206">
        <f t="shared" si="4"/>
        <v>55513087.335814342</v>
      </c>
      <c r="H41" s="205">
        <f t="shared" si="7"/>
        <v>138782718.33953586</v>
      </c>
      <c r="I41" s="206">
        <f t="shared" si="5"/>
        <v>55513087.335814342</v>
      </c>
      <c r="J41" s="206">
        <f t="shared" si="5"/>
        <v>55513087.335814342</v>
      </c>
      <c r="K41" s="206">
        <f t="shared" si="5"/>
        <v>55513087.335814342</v>
      </c>
      <c r="L41" s="206">
        <f t="shared" si="5"/>
        <v>55513087.335814342</v>
      </c>
      <c r="M41" s="206">
        <f t="shared" si="5"/>
        <v>55513087.335814342</v>
      </c>
      <c r="N41" s="206">
        <f t="shared" si="5"/>
        <v>55513087.335814342</v>
      </c>
      <c r="O41" s="206">
        <f t="shared" si="8"/>
        <v>832696310.03721523</v>
      </c>
    </row>
    <row r="42" spans="1:15" s="387" customFormat="1" ht="15" x14ac:dyDescent="0.25">
      <c r="A42" s="205">
        <v>6</v>
      </c>
      <c r="B42" s="175" t="s">
        <v>20</v>
      </c>
      <c r="C42" s="205">
        <f t="shared" si="6"/>
        <v>431282693.95490426</v>
      </c>
      <c r="D42" s="206">
        <f t="shared" si="4"/>
        <v>172513077.58196169</v>
      </c>
      <c r="E42" s="206">
        <f t="shared" si="4"/>
        <v>172513077.58196169</v>
      </c>
      <c r="F42" s="206">
        <f t="shared" si="4"/>
        <v>172513077.58196169</v>
      </c>
      <c r="G42" s="206">
        <f t="shared" si="4"/>
        <v>172513077.58196169</v>
      </c>
      <c r="H42" s="205">
        <f t="shared" si="7"/>
        <v>431282693.95490426</v>
      </c>
      <c r="I42" s="206">
        <f t="shared" si="5"/>
        <v>172513077.58196169</v>
      </c>
      <c r="J42" s="206">
        <f t="shared" si="5"/>
        <v>172513077.58196169</v>
      </c>
      <c r="K42" s="206">
        <f t="shared" si="5"/>
        <v>172513077.58196169</v>
      </c>
      <c r="L42" s="206">
        <f t="shared" si="5"/>
        <v>172513077.58196169</v>
      </c>
      <c r="M42" s="206">
        <f t="shared" si="5"/>
        <v>172513077.58196169</v>
      </c>
      <c r="N42" s="206">
        <f t="shared" si="5"/>
        <v>172513077.58196169</v>
      </c>
      <c r="O42" s="206">
        <f t="shared" si="8"/>
        <v>2587696163.729425</v>
      </c>
    </row>
    <row r="43" spans="1:15" s="387" customFormat="1" ht="15" x14ac:dyDescent="0.25">
      <c r="A43" s="205">
        <v>7</v>
      </c>
      <c r="B43" s="175" t="s">
        <v>21</v>
      </c>
      <c r="C43" s="205">
        <f t="shared" si="6"/>
        <v>167816473.4710401</v>
      </c>
      <c r="D43" s="206">
        <f t="shared" si="4"/>
        <v>67126589.388416037</v>
      </c>
      <c r="E43" s="206">
        <f t="shared" si="4"/>
        <v>67126589.388416037</v>
      </c>
      <c r="F43" s="206">
        <f t="shared" si="4"/>
        <v>67126589.388416037</v>
      </c>
      <c r="G43" s="206">
        <f t="shared" si="4"/>
        <v>67126589.388416037</v>
      </c>
      <c r="H43" s="205">
        <f t="shared" si="7"/>
        <v>167816473.4710401</v>
      </c>
      <c r="I43" s="206">
        <f t="shared" si="5"/>
        <v>67126589.388416037</v>
      </c>
      <c r="J43" s="206">
        <f t="shared" si="5"/>
        <v>67126589.388416037</v>
      </c>
      <c r="K43" s="206">
        <f t="shared" si="5"/>
        <v>67126589.388416037</v>
      </c>
      <c r="L43" s="206">
        <f t="shared" si="5"/>
        <v>67126589.388416037</v>
      </c>
      <c r="M43" s="206">
        <f t="shared" si="5"/>
        <v>67126589.388416037</v>
      </c>
      <c r="N43" s="206">
        <f t="shared" si="5"/>
        <v>67126589.388416037</v>
      </c>
      <c r="O43" s="206">
        <f t="shared" si="8"/>
        <v>1006898840.8262407</v>
      </c>
    </row>
    <row r="44" spans="1:15" s="387" customFormat="1" ht="15" x14ac:dyDescent="0.25">
      <c r="A44" s="205">
        <v>8</v>
      </c>
      <c r="B44" s="175" t="s">
        <v>22</v>
      </c>
      <c r="C44" s="205">
        <f t="shared" si="6"/>
        <v>150669743.55070931</v>
      </c>
      <c r="D44" s="206">
        <f t="shared" si="4"/>
        <v>60267897.42028372</v>
      </c>
      <c r="E44" s="206">
        <f t="shared" si="4"/>
        <v>60267897.42028372</v>
      </c>
      <c r="F44" s="206">
        <f t="shared" si="4"/>
        <v>60267897.42028372</v>
      </c>
      <c r="G44" s="206">
        <f t="shared" si="4"/>
        <v>60267897.42028372</v>
      </c>
      <c r="H44" s="205">
        <f t="shared" si="7"/>
        <v>150669743.55070931</v>
      </c>
      <c r="I44" s="206">
        <f t="shared" ref="I44:N53" si="9">$H17*8/120</f>
        <v>60267897.42028372</v>
      </c>
      <c r="J44" s="206">
        <f t="shared" si="9"/>
        <v>60267897.42028372</v>
      </c>
      <c r="K44" s="206">
        <f t="shared" si="9"/>
        <v>60267897.42028372</v>
      </c>
      <c r="L44" s="206">
        <f t="shared" si="9"/>
        <v>60267897.42028372</v>
      </c>
      <c r="M44" s="206">
        <f t="shared" si="9"/>
        <v>60267897.42028372</v>
      </c>
      <c r="N44" s="206">
        <f t="shared" si="9"/>
        <v>60267897.42028372</v>
      </c>
      <c r="O44" s="206">
        <f t="shared" si="8"/>
        <v>904018461.3042556</v>
      </c>
    </row>
    <row r="45" spans="1:15" s="387" customFormat="1" ht="15" x14ac:dyDescent="0.25">
      <c r="A45" s="205">
        <v>9</v>
      </c>
      <c r="B45" s="175" t="s">
        <v>23</v>
      </c>
      <c r="C45" s="205">
        <f t="shared" si="6"/>
        <v>102257233.70108579</v>
      </c>
      <c r="D45" s="206">
        <f t="shared" si="4"/>
        <v>40902893.480434313</v>
      </c>
      <c r="E45" s="206">
        <f t="shared" si="4"/>
        <v>40902893.480434313</v>
      </c>
      <c r="F45" s="206">
        <f t="shared" si="4"/>
        <v>40902893.480434313</v>
      </c>
      <c r="G45" s="206">
        <f t="shared" si="4"/>
        <v>40902893.480434313</v>
      </c>
      <c r="H45" s="205">
        <f t="shared" si="7"/>
        <v>102257233.70108579</v>
      </c>
      <c r="I45" s="206">
        <f t="shared" si="9"/>
        <v>40902893.480434313</v>
      </c>
      <c r="J45" s="206">
        <f t="shared" si="9"/>
        <v>40902893.480434313</v>
      </c>
      <c r="K45" s="206">
        <f t="shared" si="9"/>
        <v>40902893.480434313</v>
      </c>
      <c r="L45" s="206">
        <f t="shared" si="9"/>
        <v>40902893.480434313</v>
      </c>
      <c r="M45" s="206">
        <f t="shared" si="9"/>
        <v>40902893.480434313</v>
      </c>
      <c r="N45" s="206">
        <f t="shared" si="9"/>
        <v>40902893.480434313</v>
      </c>
      <c r="O45" s="206">
        <f t="shared" si="8"/>
        <v>613543402.2065146</v>
      </c>
    </row>
    <row r="46" spans="1:15" s="387" customFormat="1" ht="15" x14ac:dyDescent="0.25">
      <c r="A46" s="205">
        <v>10</v>
      </c>
      <c r="B46" s="175" t="s">
        <v>24</v>
      </c>
      <c r="C46" s="205">
        <f t="shared" si="6"/>
        <v>131435903.28498201</v>
      </c>
      <c r="D46" s="206">
        <f t="shared" si="4"/>
        <v>52574361.313992806</v>
      </c>
      <c r="E46" s="206">
        <f t="shared" si="4"/>
        <v>52574361.313992806</v>
      </c>
      <c r="F46" s="206">
        <f t="shared" si="4"/>
        <v>52574361.313992806</v>
      </c>
      <c r="G46" s="206">
        <f t="shared" si="4"/>
        <v>52574361.313992806</v>
      </c>
      <c r="H46" s="205">
        <f t="shared" si="7"/>
        <v>131435903.28498201</v>
      </c>
      <c r="I46" s="206">
        <f t="shared" si="9"/>
        <v>52574361.313992806</v>
      </c>
      <c r="J46" s="206">
        <f t="shared" si="9"/>
        <v>52574361.313992806</v>
      </c>
      <c r="K46" s="206">
        <f t="shared" si="9"/>
        <v>52574361.313992806</v>
      </c>
      <c r="L46" s="206">
        <f t="shared" si="9"/>
        <v>52574361.313992806</v>
      </c>
      <c r="M46" s="206">
        <f t="shared" si="9"/>
        <v>52574361.313992806</v>
      </c>
      <c r="N46" s="206">
        <f t="shared" si="9"/>
        <v>52574361.313992806</v>
      </c>
      <c r="O46" s="206">
        <f t="shared" si="8"/>
        <v>788615419.70989227</v>
      </c>
    </row>
    <row r="47" spans="1:15" s="387" customFormat="1" ht="15" x14ac:dyDescent="0.25">
      <c r="A47" s="205">
        <v>11</v>
      </c>
      <c r="B47" s="175" t="s">
        <v>25</v>
      </c>
      <c r="C47" s="205">
        <f t="shared" si="6"/>
        <v>221950084.73915854</v>
      </c>
      <c r="D47" s="206">
        <f t="shared" si="4"/>
        <v>88780033.895663425</v>
      </c>
      <c r="E47" s="206">
        <f t="shared" si="4"/>
        <v>88780033.895663425</v>
      </c>
      <c r="F47" s="206">
        <f t="shared" si="4"/>
        <v>88780033.895663425</v>
      </c>
      <c r="G47" s="206">
        <f t="shared" si="4"/>
        <v>88780033.895663425</v>
      </c>
      <c r="H47" s="205">
        <f t="shared" si="7"/>
        <v>221950084.73915854</v>
      </c>
      <c r="I47" s="206">
        <f t="shared" si="9"/>
        <v>88780033.895663425</v>
      </c>
      <c r="J47" s="206">
        <f t="shared" si="9"/>
        <v>88780033.895663425</v>
      </c>
      <c r="K47" s="206">
        <f t="shared" si="9"/>
        <v>88780033.895663425</v>
      </c>
      <c r="L47" s="206">
        <f t="shared" si="9"/>
        <v>88780033.895663425</v>
      </c>
      <c r="M47" s="206">
        <f t="shared" si="9"/>
        <v>88780033.895663425</v>
      </c>
      <c r="N47" s="206">
        <f t="shared" si="9"/>
        <v>88780033.895663425</v>
      </c>
      <c r="O47" s="206">
        <f t="shared" si="8"/>
        <v>1331700508.4349513</v>
      </c>
    </row>
    <row r="48" spans="1:15" s="387" customFormat="1" ht="15" x14ac:dyDescent="0.25">
      <c r="A48" s="205">
        <v>12</v>
      </c>
      <c r="B48" s="175" t="s">
        <v>26</v>
      </c>
      <c r="C48" s="205">
        <f t="shared" si="6"/>
        <v>148797878.77221617</v>
      </c>
      <c r="D48" s="206">
        <f t="shared" si="4"/>
        <v>59519151.508886471</v>
      </c>
      <c r="E48" s="206">
        <f t="shared" si="4"/>
        <v>59519151.508886471</v>
      </c>
      <c r="F48" s="206">
        <f t="shared" si="4"/>
        <v>59519151.508886471</v>
      </c>
      <c r="G48" s="206">
        <f t="shared" si="4"/>
        <v>59519151.508886471</v>
      </c>
      <c r="H48" s="205">
        <f t="shared" si="7"/>
        <v>148797878.77221617</v>
      </c>
      <c r="I48" s="206">
        <f t="shared" si="9"/>
        <v>59519151.508886471</v>
      </c>
      <c r="J48" s="206">
        <f t="shared" si="9"/>
        <v>59519151.508886471</v>
      </c>
      <c r="K48" s="206">
        <f t="shared" si="9"/>
        <v>59519151.508886471</v>
      </c>
      <c r="L48" s="206">
        <f t="shared" si="9"/>
        <v>59519151.508886471</v>
      </c>
      <c r="M48" s="206">
        <f t="shared" si="9"/>
        <v>59519151.508886471</v>
      </c>
      <c r="N48" s="206">
        <f t="shared" si="9"/>
        <v>59519151.508886471</v>
      </c>
      <c r="O48" s="206">
        <f t="shared" si="8"/>
        <v>892787272.63329697</v>
      </c>
    </row>
    <row r="49" spans="1:27" s="388" customFormat="1" ht="15" x14ac:dyDescent="0.25">
      <c r="A49" s="205">
        <v>13</v>
      </c>
      <c r="B49" s="175" t="s">
        <v>27</v>
      </c>
      <c r="C49" s="205">
        <f t="shared" si="6"/>
        <v>220368069.11329344</v>
      </c>
      <c r="D49" s="206">
        <f t="shared" si="4"/>
        <v>88147227.645317376</v>
      </c>
      <c r="E49" s="206">
        <f t="shared" si="4"/>
        <v>88147227.645317376</v>
      </c>
      <c r="F49" s="206">
        <f t="shared" si="4"/>
        <v>88147227.645317376</v>
      </c>
      <c r="G49" s="206">
        <f t="shared" si="4"/>
        <v>88147227.645317376</v>
      </c>
      <c r="H49" s="205">
        <f t="shared" si="7"/>
        <v>220368069.11329344</v>
      </c>
      <c r="I49" s="206">
        <f t="shared" si="9"/>
        <v>88147227.645317376</v>
      </c>
      <c r="J49" s="206">
        <f t="shared" si="9"/>
        <v>88147227.645317376</v>
      </c>
      <c r="K49" s="206">
        <f t="shared" si="9"/>
        <v>88147227.645317376</v>
      </c>
      <c r="L49" s="206">
        <f t="shared" si="9"/>
        <v>88147227.645317376</v>
      </c>
      <c r="M49" s="206">
        <f t="shared" si="9"/>
        <v>88147227.645317376</v>
      </c>
      <c r="N49" s="206">
        <f t="shared" si="9"/>
        <v>88147227.645317376</v>
      </c>
      <c r="O49" s="206">
        <f t="shared" si="8"/>
        <v>1322208414.6797602</v>
      </c>
      <c r="P49" s="111"/>
      <c r="Q49" s="111"/>
      <c r="R49" s="111"/>
      <c r="S49" s="111"/>
      <c r="T49" s="111"/>
      <c r="U49" s="111"/>
      <c r="V49" s="111"/>
      <c r="W49" s="111"/>
      <c r="X49" s="111"/>
      <c r="Y49" s="111"/>
      <c r="Z49" s="111"/>
      <c r="AA49" s="111"/>
    </row>
    <row r="50" spans="1:27" s="388" customFormat="1" ht="15" x14ac:dyDescent="0.25">
      <c r="A50" s="205">
        <v>14</v>
      </c>
      <c r="B50" s="175" t="s">
        <v>28</v>
      </c>
      <c r="C50" s="205">
        <f t="shared" si="6"/>
        <v>171338290.63881901</v>
      </c>
      <c r="D50" s="206">
        <f t="shared" si="4"/>
        <v>68535316.255527601</v>
      </c>
      <c r="E50" s="206">
        <f t="shared" si="4"/>
        <v>68535316.255527601</v>
      </c>
      <c r="F50" s="206">
        <f t="shared" si="4"/>
        <v>68535316.255527601</v>
      </c>
      <c r="G50" s="206">
        <f t="shared" si="4"/>
        <v>68535316.255527601</v>
      </c>
      <c r="H50" s="205">
        <f t="shared" si="7"/>
        <v>171338290.63881901</v>
      </c>
      <c r="I50" s="206">
        <f t="shared" si="9"/>
        <v>68535316.255527601</v>
      </c>
      <c r="J50" s="206">
        <f t="shared" si="9"/>
        <v>68535316.255527601</v>
      </c>
      <c r="K50" s="206">
        <f t="shared" si="9"/>
        <v>68535316.255527601</v>
      </c>
      <c r="L50" s="206">
        <f t="shared" si="9"/>
        <v>68535316.255527601</v>
      </c>
      <c r="M50" s="206">
        <f t="shared" si="9"/>
        <v>68535316.255527601</v>
      </c>
      <c r="N50" s="206">
        <f t="shared" si="9"/>
        <v>68535316.255527601</v>
      </c>
      <c r="O50" s="206">
        <f t="shared" si="8"/>
        <v>1028029743.8329141</v>
      </c>
      <c r="P50" s="111"/>
      <c r="Q50" s="111"/>
      <c r="R50" s="111"/>
      <c r="S50" s="111"/>
      <c r="T50" s="111"/>
      <c r="U50" s="111"/>
      <c r="V50" s="111"/>
      <c r="W50" s="111"/>
      <c r="X50" s="111"/>
      <c r="Y50" s="111"/>
      <c r="Z50" s="111"/>
      <c r="AA50" s="111"/>
    </row>
    <row r="51" spans="1:27" s="388" customFormat="1" ht="15" x14ac:dyDescent="0.25">
      <c r="A51" s="205">
        <v>15</v>
      </c>
      <c r="B51" s="175" t="s">
        <v>29</v>
      </c>
      <c r="C51" s="205">
        <f t="shared" si="6"/>
        <v>146063895.59030539</v>
      </c>
      <c r="D51" s="206">
        <f t="shared" si="4"/>
        <v>58425558.236122154</v>
      </c>
      <c r="E51" s="206">
        <f t="shared" si="4"/>
        <v>58425558.236122154</v>
      </c>
      <c r="F51" s="206">
        <f t="shared" si="4"/>
        <v>58425558.236122154</v>
      </c>
      <c r="G51" s="206">
        <f t="shared" si="4"/>
        <v>58425558.236122154</v>
      </c>
      <c r="H51" s="205">
        <f t="shared" si="7"/>
        <v>146063895.59030539</v>
      </c>
      <c r="I51" s="206">
        <f t="shared" si="9"/>
        <v>58425558.236122154</v>
      </c>
      <c r="J51" s="206">
        <f t="shared" si="9"/>
        <v>58425558.236122154</v>
      </c>
      <c r="K51" s="206">
        <f t="shared" si="9"/>
        <v>58425558.236122154</v>
      </c>
      <c r="L51" s="206">
        <f t="shared" si="9"/>
        <v>58425558.236122154</v>
      </c>
      <c r="M51" s="206">
        <f t="shared" si="9"/>
        <v>58425558.236122154</v>
      </c>
      <c r="N51" s="206">
        <f t="shared" si="9"/>
        <v>58425558.236122154</v>
      </c>
      <c r="O51" s="206">
        <f t="shared" si="8"/>
        <v>876383373.54183221</v>
      </c>
      <c r="P51" s="111"/>
      <c r="Q51" s="111"/>
      <c r="R51" s="111"/>
      <c r="S51" s="111"/>
      <c r="T51" s="111"/>
      <c r="U51" s="111"/>
      <c r="V51" s="111"/>
      <c r="W51" s="111"/>
      <c r="X51" s="111"/>
      <c r="Y51" s="111"/>
      <c r="Z51" s="111"/>
      <c r="AA51" s="111"/>
    </row>
    <row r="52" spans="1:27" s="388" customFormat="1" ht="15" x14ac:dyDescent="0.25">
      <c r="A52" s="205">
        <v>16</v>
      </c>
      <c r="B52" s="175" t="s">
        <v>30</v>
      </c>
      <c r="C52" s="205">
        <f t="shared" si="6"/>
        <v>57471543.687387459</v>
      </c>
      <c r="D52" s="206">
        <f t="shared" si="4"/>
        <v>22988617.474954981</v>
      </c>
      <c r="E52" s="206">
        <f t="shared" si="4"/>
        <v>22988617.474954981</v>
      </c>
      <c r="F52" s="206">
        <f t="shared" si="4"/>
        <v>22988617.474954981</v>
      </c>
      <c r="G52" s="206">
        <f t="shared" si="4"/>
        <v>22988617.474954981</v>
      </c>
      <c r="H52" s="205">
        <f t="shared" si="7"/>
        <v>57471543.687387459</v>
      </c>
      <c r="I52" s="206">
        <f t="shared" si="9"/>
        <v>22988617.474954981</v>
      </c>
      <c r="J52" s="206">
        <f t="shared" si="9"/>
        <v>22988617.474954981</v>
      </c>
      <c r="K52" s="206">
        <f t="shared" si="9"/>
        <v>22988617.474954981</v>
      </c>
      <c r="L52" s="206">
        <f t="shared" si="9"/>
        <v>22988617.474954981</v>
      </c>
      <c r="M52" s="206">
        <f t="shared" si="9"/>
        <v>22988617.474954981</v>
      </c>
      <c r="N52" s="206">
        <f t="shared" si="9"/>
        <v>22988617.474954981</v>
      </c>
      <c r="O52" s="206">
        <f t="shared" si="8"/>
        <v>344829262.12432468</v>
      </c>
      <c r="P52" s="111"/>
      <c r="Q52" s="111"/>
      <c r="R52" s="111"/>
      <c r="S52" s="111"/>
      <c r="T52" s="111"/>
      <c r="U52" s="111"/>
      <c r="V52" s="111"/>
      <c r="W52" s="111"/>
      <c r="X52" s="111"/>
      <c r="Y52" s="111"/>
      <c r="Z52" s="111"/>
      <c r="AA52" s="111"/>
    </row>
    <row r="53" spans="1:27" s="388" customFormat="1" ht="15" x14ac:dyDescent="0.25">
      <c r="A53" s="205">
        <v>17</v>
      </c>
      <c r="B53" s="175" t="s">
        <v>31</v>
      </c>
      <c r="C53" s="205">
        <f t="shared" si="6"/>
        <v>347280366.54923689</v>
      </c>
      <c r="D53" s="206">
        <f t="shared" si="4"/>
        <v>138912146.61969477</v>
      </c>
      <c r="E53" s="206">
        <f t="shared" si="4"/>
        <v>138912146.61969477</v>
      </c>
      <c r="F53" s="206">
        <f t="shared" si="4"/>
        <v>138912146.61969477</v>
      </c>
      <c r="G53" s="206">
        <f t="shared" si="4"/>
        <v>138912146.61969477</v>
      </c>
      <c r="H53" s="205">
        <f t="shared" si="7"/>
        <v>347280366.54923689</v>
      </c>
      <c r="I53" s="206">
        <f t="shared" si="9"/>
        <v>138912146.61969477</v>
      </c>
      <c r="J53" s="206">
        <f t="shared" si="9"/>
        <v>138912146.61969477</v>
      </c>
      <c r="K53" s="206">
        <f t="shared" si="9"/>
        <v>138912146.61969477</v>
      </c>
      <c r="L53" s="206">
        <f t="shared" si="9"/>
        <v>138912146.61969477</v>
      </c>
      <c r="M53" s="206">
        <f t="shared" si="9"/>
        <v>138912146.61969477</v>
      </c>
      <c r="N53" s="206">
        <f t="shared" si="9"/>
        <v>138912146.61969477</v>
      </c>
      <c r="O53" s="206">
        <f t="shared" si="8"/>
        <v>2083682199.2954211</v>
      </c>
      <c r="P53" s="111"/>
      <c r="Q53" s="111"/>
      <c r="R53" s="111"/>
      <c r="S53" s="111"/>
      <c r="T53" s="111"/>
      <c r="U53" s="111"/>
      <c r="V53" s="111"/>
      <c r="W53" s="111"/>
      <c r="X53" s="111"/>
      <c r="Y53" s="111"/>
      <c r="Z53" s="111"/>
      <c r="AA53" s="111"/>
    </row>
    <row r="54" spans="1:27" s="388" customFormat="1" ht="15" x14ac:dyDescent="0.25">
      <c r="A54" s="205">
        <v>18</v>
      </c>
      <c r="B54" s="175" t="s">
        <v>32</v>
      </c>
      <c r="C54" s="205">
        <f t="shared" si="6"/>
        <v>69685967.495205045</v>
      </c>
      <c r="D54" s="206">
        <f t="shared" si="4"/>
        <v>27874386.998082019</v>
      </c>
      <c r="E54" s="206">
        <f t="shared" si="4"/>
        <v>27874386.998082019</v>
      </c>
      <c r="F54" s="206">
        <f t="shared" si="4"/>
        <v>27874386.998082019</v>
      </c>
      <c r="G54" s="206">
        <f t="shared" si="4"/>
        <v>27874386.998082019</v>
      </c>
      <c r="H54" s="205">
        <f t="shared" si="7"/>
        <v>69685967.495205045</v>
      </c>
      <c r="I54" s="206">
        <f t="shared" ref="I54:N55" si="10">$H27*8/120</f>
        <v>27874386.998082019</v>
      </c>
      <c r="J54" s="206">
        <f t="shared" si="10"/>
        <v>27874386.998082019</v>
      </c>
      <c r="K54" s="206">
        <f t="shared" si="10"/>
        <v>27874386.998082019</v>
      </c>
      <c r="L54" s="206">
        <f t="shared" si="10"/>
        <v>27874386.998082019</v>
      </c>
      <c r="M54" s="206">
        <f t="shared" si="10"/>
        <v>27874386.998082019</v>
      </c>
      <c r="N54" s="206">
        <f t="shared" si="10"/>
        <v>27874386.998082019</v>
      </c>
      <c r="O54" s="206">
        <f t="shared" si="8"/>
        <v>418115804.97123039</v>
      </c>
      <c r="P54" s="111"/>
      <c r="Q54" s="111"/>
      <c r="R54" s="111"/>
      <c r="S54" s="111"/>
      <c r="T54" s="111"/>
      <c r="U54" s="111"/>
      <c r="V54" s="111"/>
      <c r="W54" s="111"/>
      <c r="X54" s="111"/>
      <c r="Y54" s="111"/>
      <c r="Z54" s="111"/>
      <c r="AA54" s="111"/>
    </row>
    <row r="55" spans="1:27" s="388" customFormat="1" ht="15" x14ac:dyDescent="0.25">
      <c r="A55" s="205">
        <v>19</v>
      </c>
      <c r="B55" s="175" t="s">
        <v>33</v>
      </c>
      <c r="C55" s="205">
        <f t="shared" si="6"/>
        <v>176782119.04342353</v>
      </c>
      <c r="D55" s="206">
        <f t="shared" si="4"/>
        <v>70712847.617369413</v>
      </c>
      <c r="E55" s="206">
        <f t="shared" si="4"/>
        <v>70712847.617369413</v>
      </c>
      <c r="F55" s="206">
        <f t="shared" si="4"/>
        <v>70712847.617369413</v>
      </c>
      <c r="G55" s="206">
        <f t="shared" si="4"/>
        <v>70712847.617369413</v>
      </c>
      <c r="H55" s="205">
        <f t="shared" si="7"/>
        <v>176782119.04342353</v>
      </c>
      <c r="I55" s="206">
        <f t="shared" si="10"/>
        <v>70712847.617369413</v>
      </c>
      <c r="J55" s="206">
        <f t="shared" si="10"/>
        <v>70712847.617369413</v>
      </c>
      <c r="K55" s="206">
        <f t="shared" si="10"/>
        <v>70712847.617369413</v>
      </c>
      <c r="L55" s="206">
        <f t="shared" si="10"/>
        <v>70712847.617369413</v>
      </c>
      <c r="M55" s="206">
        <f t="shared" si="10"/>
        <v>70712847.617369413</v>
      </c>
      <c r="N55" s="206">
        <f t="shared" si="10"/>
        <v>70712847.617369413</v>
      </c>
      <c r="O55" s="206">
        <f t="shared" si="8"/>
        <v>1060692714.2605412</v>
      </c>
      <c r="P55" s="111"/>
      <c r="Q55" s="111"/>
      <c r="R55" s="111"/>
      <c r="S55" s="111"/>
      <c r="T55" s="111"/>
      <c r="U55" s="111"/>
      <c r="V55" s="111"/>
      <c r="W55" s="111"/>
      <c r="X55" s="111"/>
      <c r="Y55" s="111"/>
      <c r="Z55" s="111"/>
      <c r="AA55" s="111"/>
    </row>
    <row r="56" spans="1:27" s="388" customFormat="1" ht="15" x14ac:dyDescent="0.25">
      <c r="A56" s="204"/>
      <c r="B56" s="175" t="s">
        <v>34</v>
      </c>
      <c r="C56" s="204">
        <f>SUM(C34:C55)</f>
        <v>4588300968.7045956</v>
      </c>
      <c r="D56" s="204">
        <f t="shared" ref="D56:O56" si="11">SUM(D34:D55)</f>
        <v>1835320387.4818382</v>
      </c>
      <c r="E56" s="204">
        <f t="shared" si="11"/>
        <v>1835320387.4818382</v>
      </c>
      <c r="F56" s="204">
        <f t="shared" si="11"/>
        <v>1835320387.4818382</v>
      </c>
      <c r="G56" s="204">
        <f t="shared" si="11"/>
        <v>1835320387.4818382</v>
      </c>
      <c r="H56" s="204">
        <f t="shared" si="11"/>
        <v>4588300968.7045956</v>
      </c>
      <c r="I56" s="204">
        <f t="shared" si="11"/>
        <v>1835320387.4818382</v>
      </c>
      <c r="J56" s="204">
        <f t="shared" si="11"/>
        <v>1835320387.4818382</v>
      </c>
      <c r="K56" s="204">
        <f t="shared" si="11"/>
        <v>1835320387.4818382</v>
      </c>
      <c r="L56" s="204">
        <f t="shared" si="11"/>
        <v>1835320387.4818382</v>
      </c>
      <c r="M56" s="204">
        <f t="shared" si="11"/>
        <v>1835320387.4818382</v>
      </c>
      <c r="N56" s="204">
        <f t="shared" si="11"/>
        <v>1835320387.4818382</v>
      </c>
      <c r="O56" s="204">
        <f t="shared" si="11"/>
        <v>27529805812.22757</v>
      </c>
      <c r="P56" s="111"/>
      <c r="Q56" s="111"/>
      <c r="R56" s="111"/>
      <c r="S56" s="111"/>
      <c r="T56" s="111"/>
      <c r="U56" s="111"/>
      <c r="V56" s="111"/>
      <c r="W56" s="111"/>
      <c r="X56" s="111"/>
      <c r="Y56" s="111"/>
      <c r="Z56" s="111"/>
      <c r="AA56" s="111"/>
    </row>
  </sheetData>
  <mergeCells count="1">
    <mergeCell ref="A3:F3"/>
  </mergeCells>
  <conditionalFormatting sqref="A1:L31 A32:O56">
    <cfRule type="cellIs" dxfId="4" priority="1" operator="lessThan">
      <formula>0</formula>
    </cfRule>
  </conditionalFormatting>
  <pageMargins left="0.7" right="0.7" top="0.75" bottom="0.75" header="0.3" footer="0.3"/>
  <pageSetup paperSize="9" orientation="portrait" r:id="rId1"/>
  <ignoredErrors>
    <ignoredError sqref="H56 H34:H55" formula="1"/>
  </ignoredError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G71"/>
  <sheetViews>
    <sheetView zoomScaleNormal="100" workbookViewId="0"/>
  </sheetViews>
  <sheetFormatPr defaultRowHeight="14.25" x14ac:dyDescent="0.2"/>
  <cols>
    <col min="1" max="1" width="89.125" style="111" customWidth="1"/>
    <col min="2" max="2" width="24.5" style="111" customWidth="1"/>
    <col min="3" max="3" width="28" style="111" customWidth="1"/>
    <col min="4" max="4" width="26.625" style="111" customWidth="1"/>
    <col min="5" max="5" width="16" style="111" customWidth="1"/>
    <col min="6" max="6" width="15.5" style="111" customWidth="1"/>
    <col min="7" max="7" width="15.875" style="111" customWidth="1"/>
    <col min="8" max="8" width="16.125" style="111" customWidth="1"/>
    <col min="9" max="9" width="18.75" style="111" customWidth="1"/>
    <col min="10" max="10" width="13.625" style="111" customWidth="1"/>
    <col min="11" max="16384" width="9" style="111"/>
  </cols>
  <sheetData>
    <row r="1" spans="1:7" ht="20.25" x14ac:dyDescent="0.3">
      <c r="A1" s="95" t="s">
        <v>268</v>
      </c>
      <c r="B1" s="54"/>
    </row>
    <row r="2" spans="1:7" x14ac:dyDescent="0.2">
      <c r="A2" s="74" t="str">
        <f>INFO!A2</f>
        <v>VM/HVO 30.4.2026</v>
      </c>
      <c r="B2" s="54"/>
    </row>
    <row r="3" spans="1:7" x14ac:dyDescent="0.2">
      <c r="A3" s="404" t="s">
        <v>465</v>
      </c>
      <c r="B3" s="404"/>
    </row>
    <row r="4" spans="1:7" s="389" customFormat="1" ht="114.75" customHeight="1" x14ac:dyDescent="0.2">
      <c r="A4" s="405" t="s">
        <v>489</v>
      </c>
      <c r="B4" s="405"/>
      <c r="C4" s="111"/>
      <c r="D4" s="111"/>
      <c r="E4" s="111"/>
      <c r="F4" s="111"/>
      <c r="G4" s="111"/>
    </row>
    <row r="5" spans="1:7" s="389" customFormat="1" ht="14.1" customHeight="1" x14ac:dyDescent="0.2">
      <c r="A5" s="13"/>
      <c r="B5" s="13"/>
      <c r="C5" s="111"/>
      <c r="D5" s="111"/>
      <c r="E5" s="111"/>
      <c r="F5" s="111"/>
      <c r="G5" s="111"/>
    </row>
    <row r="6" spans="1:7" s="14" customFormat="1" ht="14.1" customHeight="1" x14ac:dyDescent="0.25">
      <c r="A6" s="51" t="s">
        <v>269</v>
      </c>
      <c r="B6" s="55"/>
      <c r="D6" s="237" t="s">
        <v>180</v>
      </c>
      <c r="E6" s="237"/>
      <c r="F6" s="237"/>
    </row>
    <row r="7" spans="1:7" s="14" customFormat="1" ht="14.1" customHeight="1" x14ac:dyDescent="0.2">
      <c r="A7" s="13" t="s">
        <v>169</v>
      </c>
      <c r="B7" s="49" t="s">
        <v>0</v>
      </c>
      <c r="D7" s="236" t="s">
        <v>181</v>
      </c>
      <c r="E7" s="236" t="s">
        <v>177</v>
      </c>
      <c r="F7" s="236" t="s">
        <v>169</v>
      </c>
    </row>
    <row r="8" spans="1:7" s="14" customFormat="1" ht="14.1" customHeight="1" x14ac:dyDescent="0.2">
      <c r="A8" s="152" t="s">
        <v>270</v>
      </c>
      <c r="B8" s="231">
        <v>26616888467.402718</v>
      </c>
      <c r="C8" s="122"/>
      <c r="D8" s="236" t="s">
        <v>176</v>
      </c>
      <c r="E8" s="238">
        <v>0.6</v>
      </c>
      <c r="F8" s="239">
        <v>3.1892165606559802E-2</v>
      </c>
      <c r="G8" s="118"/>
    </row>
    <row r="9" spans="1:7" s="14" customFormat="1" ht="14.1" customHeight="1" x14ac:dyDescent="0.2">
      <c r="A9" s="152" t="s">
        <v>271</v>
      </c>
      <c r="B9" s="120">
        <v>597770774.62260818</v>
      </c>
      <c r="C9" s="122"/>
      <c r="D9" s="236" t="s">
        <v>178</v>
      </c>
      <c r="E9" s="238">
        <v>0.3</v>
      </c>
      <c r="F9" s="239">
        <v>1.4E-2</v>
      </c>
    </row>
    <row r="10" spans="1:7" s="14" customFormat="1" ht="14.1" customHeight="1" x14ac:dyDescent="0.25">
      <c r="A10" s="232" t="s">
        <v>189</v>
      </c>
      <c r="B10" s="53">
        <f>B8+B9</f>
        <v>27214659242.025326</v>
      </c>
      <c r="C10" s="122"/>
      <c r="D10" s="236" t="s">
        <v>179</v>
      </c>
      <c r="E10" s="238">
        <v>0.1</v>
      </c>
      <c r="F10" s="239">
        <v>3.0098802555788201E-2</v>
      </c>
    </row>
    <row r="11" spans="1:7" s="14" customFormat="1" ht="14.1" customHeight="1" x14ac:dyDescent="0.25">
      <c r="A11" s="152"/>
      <c r="B11" s="233"/>
      <c r="C11" s="122"/>
      <c r="D11" s="240" t="s">
        <v>175</v>
      </c>
      <c r="E11" s="241">
        <v>1</v>
      </c>
      <c r="F11" s="242">
        <f>ROUND(E8*F8+E9*F9+E10*F10,4)</f>
        <v>2.63E-2</v>
      </c>
      <c r="G11" s="109"/>
    </row>
    <row r="12" spans="1:7" s="14" customFormat="1" ht="14.1" customHeight="1" x14ac:dyDescent="0.2">
      <c r="A12" s="152" t="s">
        <v>1</v>
      </c>
      <c r="B12" s="108">
        <f>B8*E18</f>
        <v>193238610.27334371</v>
      </c>
      <c r="C12" s="122"/>
      <c r="D12" s="236"/>
      <c r="E12" s="236"/>
      <c r="F12" s="236"/>
    </row>
    <row r="13" spans="1:7" s="14" customFormat="1" ht="14.1" customHeight="1" x14ac:dyDescent="0.25">
      <c r="A13" s="152" t="s">
        <v>2</v>
      </c>
      <c r="B13" s="121">
        <f>(B8*(1+F11)*(1+E18))-B8-B12</f>
        <v>705106342.14288175</v>
      </c>
      <c r="C13" s="122"/>
      <c r="D13" s="237" t="s">
        <v>272</v>
      </c>
      <c r="E13" s="237"/>
      <c r="F13" s="70"/>
    </row>
    <row r="14" spans="1:7" s="14" customFormat="1" ht="14.1" customHeight="1" x14ac:dyDescent="0.2">
      <c r="A14" s="152" t="s">
        <v>3</v>
      </c>
      <c r="B14" s="121">
        <f>B9*F11</f>
        <v>15721371.372574596</v>
      </c>
      <c r="C14" s="122"/>
      <c r="D14" s="236" t="s">
        <v>274</v>
      </c>
      <c r="E14" s="236" t="s">
        <v>278</v>
      </c>
      <c r="F14" s="70"/>
    </row>
    <row r="15" spans="1:7" s="14" customFormat="1" ht="14.1" customHeight="1" x14ac:dyDescent="0.2">
      <c r="A15" s="234"/>
      <c r="B15" s="235"/>
      <c r="C15" s="122"/>
      <c r="D15" s="236" t="s">
        <v>275</v>
      </c>
      <c r="E15" s="243">
        <v>1.01E-2</v>
      </c>
      <c r="F15" s="70"/>
    </row>
    <row r="16" spans="1:7" s="14" customFormat="1" ht="14.1" customHeight="1" x14ac:dyDescent="0.2">
      <c r="A16" s="152" t="s">
        <v>184</v>
      </c>
      <c r="B16" s="121">
        <f>B45</f>
        <v>-183120000</v>
      </c>
      <c r="C16" s="122"/>
      <c r="D16" s="236" t="s">
        <v>276</v>
      </c>
      <c r="E16" s="243">
        <v>2E-3</v>
      </c>
      <c r="F16" s="236"/>
    </row>
    <row r="17" spans="1:7" s="14" customFormat="1" ht="14.1" customHeight="1" x14ac:dyDescent="0.2">
      <c r="A17" s="152" t="s">
        <v>185</v>
      </c>
      <c r="B17" s="108">
        <v>0</v>
      </c>
      <c r="C17" s="122"/>
      <c r="D17" s="236" t="s">
        <v>277</v>
      </c>
      <c r="E17" s="243">
        <v>0.6</v>
      </c>
      <c r="F17" s="236"/>
    </row>
    <row r="18" spans="1:7" s="14" customFormat="1" ht="14.1" customHeight="1" x14ac:dyDescent="0.25">
      <c r="A18" s="152" t="s">
        <v>236</v>
      </c>
      <c r="B18" s="108">
        <f>B16+B17</f>
        <v>-183120000</v>
      </c>
      <c r="C18" s="122"/>
      <c r="D18" s="240" t="s">
        <v>273</v>
      </c>
      <c r="E18" s="244">
        <f>(E15+E16)*E17</f>
        <v>7.2599999999999991E-3</v>
      </c>
      <c r="F18" s="236"/>
    </row>
    <row r="19" spans="1:7" s="14" customFormat="1" ht="14.1" customHeight="1" x14ac:dyDescent="0.2">
      <c r="A19" s="152"/>
      <c r="B19" s="108"/>
      <c r="C19" s="122"/>
      <c r="D19" s="245"/>
      <c r="E19" s="246"/>
      <c r="F19" s="247"/>
    </row>
    <row r="20" spans="1:7" ht="14.1" customHeight="1" x14ac:dyDescent="0.2">
      <c r="A20" s="93" t="s">
        <v>230</v>
      </c>
      <c r="B20" s="108">
        <f>'Jälkikäteistarkistus 2027'!F28</f>
        <v>-427024150.96230716</v>
      </c>
    </row>
    <row r="21" spans="1:7" ht="14.1" customHeight="1" x14ac:dyDescent="0.2">
      <c r="A21" s="93" t="s">
        <v>231</v>
      </c>
      <c r="B21" s="108">
        <f>'Jälkikäteistarkistus 2027'!F31</f>
        <v>1491257.8741840969</v>
      </c>
    </row>
    <row r="22" spans="1:7" ht="14.1" customHeight="1" x14ac:dyDescent="0.2">
      <c r="A22" s="93" t="s">
        <v>232</v>
      </c>
      <c r="B22" s="108">
        <f>B20+B21</f>
        <v>-425532893.08812308</v>
      </c>
    </row>
    <row r="23" spans="1:7" ht="14.1" customHeight="1" x14ac:dyDescent="0.2">
      <c r="A23" s="152"/>
      <c r="B23" s="108"/>
    </row>
    <row r="24" spans="1:7" ht="14.1" customHeight="1" x14ac:dyDescent="0.2">
      <c r="A24" s="152" t="s">
        <v>281</v>
      </c>
      <c r="B24" s="108">
        <f>B8+B12+B13+B16+B20</f>
        <v>26905089268.856636</v>
      </c>
    </row>
    <row r="25" spans="1:7" ht="14.1" customHeight="1" x14ac:dyDescent="0.2">
      <c r="A25" s="152" t="s">
        <v>282</v>
      </c>
      <c r="B25" s="108">
        <f>B9+B14+B17+B21</f>
        <v>614983403.86936688</v>
      </c>
    </row>
    <row r="26" spans="1:7" s="389" customFormat="1" ht="14.1" customHeight="1" x14ac:dyDescent="0.25">
      <c r="A26" s="232" t="s">
        <v>283</v>
      </c>
      <c r="B26" s="53">
        <f>B24+B25</f>
        <v>27520072672.726002</v>
      </c>
      <c r="C26" s="111"/>
      <c r="D26" s="111"/>
      <c r="E26" s="111"/>
      <c r="F26" s="111"/>
      <c r="G26" s="111"/>
    </row>
    <row r="27" spans="1:7" s="389" customFormat="1" ht="14.1" customHeight="1" x14ac:dyDescent="0.2">
      <c r="A27" s="152" t="s">
        <v>284</v>
      </c>
      <c r="B27" s="108">
        <v>9733139.50156717</v>
      </c>
      <c r="C27" s="111"/>
      <c r="D27" s="111"/>
      <c r="E27" s="111"/>
      <c r="F27" s="111"/>
      <c r="G27" s="111"/>
    </row>
    <row r="28" spans="1:7" s="389" customFormat="1" ht="14.1" customHeight="1" x14ac:dyDescent="0.25">
      <c r="A28" s="232" t="s">
        <v>285</v>
      </c>
      <c r="B28" s="53">
        <f>B26+B27</f>
        <v>27529805812.22757</v>
      </c>
      <c r="C28" s="111"/>
      <c r="D28" s="111"/>
      <c r="E28" s="111"/>
      <c r="F28" s="111"/>
      <c r="G28" s="111"/>
    </row>
    <row r="29" spans="1:7" s="389" customFormat="1" ht="14.1" customHeight="1" x14ac:dyDescent="0.25">
      <c r="A29" s="52"/>
      <c r="B29" s="53"/>
      <c r="C29" s="111"/>
      <c r="D29" s="111"/>
      <c r="E29" s="111"/>
      <c r="F29" s="111"/>
      <c r="G29" s="111"/>
    </row>
    <row r="30" spans="1:7" ht="15" x14ac:dyDescent="0.25">
      <c r="A30" s="119" t="s">
        <v>339</v>
      </c>
      <c r="B30" s="57" t="s">
        <v>0</v>
      </c>
      <c r="C30" s="57" t="s">
        <v>155</v>
      </c>
    </row>
    <row r="31" spans="1:7" x14ac:dyDescent="0.2">
      <c r="A31" s="224" t="s">
        <v>327</v>
      </c>
      <c r="B31" s="225">
        <v>-34700000</v>
      </c>
      <c r="C31" s="375" t="s">
        <v>226</v>
      </c>
    </row>
    <row r="32" spans="1:7" x14ac:dyDescent="0.2">
      <c r="A32" s="69" t="s">
        <v>328</v>
      </c>
      <c r="B32" s="226">
        <v>-16200000</v>
      </c>
      <c r="C32" s="375" t="s">
        <v>226</v>
      </c>
    </row>
    <row r="33" spans="1:3" x14ac:dyDescent="0.2">
      <c r="A33" s="69" t="s">
        <v>329</v>
      </c>
      <c r="B33" s="226">
        <v>-5000000</v>
      </c>
      <c r="C33" s="375" t="s">
        <v>224</v>
      </c>
    </row>
    <row r="34" spans="1:3" x14ac:dyDescent="0.2">
      <c r="A34" s="223" t="s">
        <v>330</v>
      </c>
      <c r="B34" s="227">
        <v>-7470000</v>
      </c>
      <c r="C34" s="376" t="s">
        <v>224</v>
      </c>
    </row>
    <row r="35" spans="1:3" x14ac:dyDescent="0.2">
      <c r="A35" s="223" t="s">
        <v>331</v>
      </c>
      <c r="B35" s="227">
        <v>6100000</v>
      </c>
      <c r="C35" s="376" t="s">
        <v>225</v>
      </c>
    </row>
    <row r="36" spans="1:3" x14ac:dyDescent="0.2">
      <c r="A36" s="69" t="s">
        <v>332</v>
      </c>
      <c r="B36" s="226">
        <v>2750000</v>
      </c>
      <c r="C36" s="375" t="s">
        <v>223</v>
      </c>
    </row>
    <row r="37" spans="1:3" x14ac:dyDescent="0.2">
      <c r="A37" s="69" t="s">
        <v>333</v>
      </c>
      <c r="B37" s="226">
        <v>-1600000</v>
      </c>
      <c r="C37" s="375" t="s">
        <v>225</v>
      </c>
    </row>
    <row r="38" spans="1:3" x14ac:dyDescent="0.2">
      <c r="A38" s="69" t="s">
        <v>334</v>
      </c>
      <c r="B38" s="226">
        <v>-1400000</v>
      </c>
      <c r="C38" s="375" t="s">
        <v>225</v>
      </c>
    </row>
    <row r="39" spans="1:3" x14ac:dyDescent="0.2">
      <c r="A39" s="69" t="s">
        <v>335</v>
      </c>
      <c r="B39" s="226">
        <v>-10000000</v>
      </c>
      <c r="C39" s="375" t="s">
        <v>225</v>
      </c>
    </row>
    <row r="40" spans="1:3" x14ac:dyDescent="0.2">
      <c r="A40" s="69" t="s">
        <v>336</v>
      </c>
      <c r="B40" s="226">
        <v>-34300000</v>
      </c>
      <c r="C40" s="375" t="s">
        <v>225</v>
      </c>
    </row>
    <row r="41" spans="1:3" x14ac:dyDescent="0.2">
      <c r="A41" s="69" t="s">
        <v>337</v>
      </c>
      <c r="B41" s="227">
        <v>3550000</v>
      </c>
      <c r="C41" s="375" t="s">
        <v>135</v>
      </c>
    </row>
    <row r="42" spans="1:3" x14ac:dyDescent="0.2">
      <c r="A42" s="69" t="s">
        <v>340</v>
      </c>
      <c r="B42" s="227">
        <v>-87750000</v>
      </c>
      <c r="C42" s="375" t="s">
        <v>224</v>
      </c>
    </row>
    <row r="43" spans="1:3" x14ac:dyDescent="0.2">
      <c r="A43" s="69" t="s">
        <v>353</v>
      </c>
      <c r="B43" s="227">
        <v>700000</v>
      </c>
      <c r="C43" s="375" t="s">
        <v>225</v>
      </c>
    </row>
    <row r="44" spans="1:3" x14ac:dyDescent="0.2">
      <c r="A44" s="69" t="s">
        <v>354</v>
      </c>
      <c r="B44" s="227">
        <v>2200000</v>
      </c>
      <c r="C44" s="375" t="s">
        <v>225</v>
      </c>
    </row>
    <row r="45" spans="1:3" ht="15" x14ac:dyDescent="0.25">
      <c r="A45" s="228" t="s">
        <v>338</v>
      </c>
      <c r="B45" s="229">
        <f>SUM(B31:B44)</f>
        <v>-183120000</v>
      </c>
      <c r="C45" s="230"/>
    </row>
    <row r="71" ht="52.5" customHeight="1" x14ac:dyDescent="0.2"/>
  </sheetData>
  <mergeCells count="2">
    <mergeCell ref="A3:B3"/>
    <mergeCell ref="A4:B4"/>
  </mergeCells>
  <phoneticPr fontId="41" type="noConversion"/>
  <conditionalFormatting sqref="A1:B5 A6:XFD19 A20:B29 A30:C45">
    <cfRule type="cellIs" dxfId="3" priority="1" operator="lessThan">
      <formula>0</formula>
    </cfRule>
  </conditionalFormatting>
  <pageMargins left="0.7" right="0.7" top="0.75" bottom="0.75" header="0.3" footer="0.3"/>
  <pageSetup paperSize="9"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35"/>
  <sheetViews>
    <sheetView zoomScaleNormal="100" workbookViewId="0"/>
  </sheetViews>
  <sheetFormatPr defaultRowHeight="14.25" x14ac:dyDescent="0.2"/>
  <cols>
    <col min="1" max="1" width="44.875" style="111" customWidth="1"/>
    <col min="2" max="2" width="28.75" style="111" customWidth="1"/>
    <col min="3" max="3" width="20.5" style="111" customWidth="1"/>
    <col min="4" max="4" width="20.625" style="111" customWidth="1"/>
    <col min="5" max="5" width="22.375" style="111" customWidth="1"/>
    <col min="6" max="6" width="19.5" style="111" customWidth="1"/>
    <col min="7" max="7" width="22" style="111" customWidth="1"/>
    <col min="8" max="8" width="21.75" style="111" customWidth="1"/>
    <col min="9" max="9" width="23.375" style="111" customWidth="1"/>
    <col min="10" max="10" width="23.625" style="111" customWidth="1"/>
    <col min="11" max="11" width="20" style="111" customWidth="1"/>
    <col min="12" max="12" width="8.75" style="111" bestFit="1" customWidth="1"/>
    <col min="13" max="16384" width="9" style="111"/>
  </cols>
  <sheetData>
    <row r="1" spans="1:8" s="388" customFormat="1" ht="20.25" x14ac:dyDescent="0.3">
      <c r="A1" s="95" t="s">
        <v>279</v>
      </c>
      <c r="B1"/>
      <c r="C1"/>
      <c r="D1"/>
      <c r="E1"/>
      <c r="F1"/>
    </row>
    <row r="2" spans="1:8" s="388" customFormat="1" x14ac:dyDescent="0.2">
      <c r="A2" s="74" t="str">
        <f>INFO!A2</f>
        <v>VM/HVO 30.4.2026</v>
      </c>
      <c r="B2"/>
      <c r="C2" s="54"/>
      <c r="D2"/>
      <c r="E2"/>
      <c r="F2"/>
    </row>
    <row r="3" spans="1:8" s="388" customFormat="1" ht="78" customHeight="1" x14ac:dyDescent="0.25">
      <c r="A3" s="405" t="s">
        <v>478</v>
      </c>
      <c r="B3" s="405"/>
      <c r="C3" s="405"/>
      <c r="D3" s="405"/>
      <c r="E3" s="405"/>
      <c r="F3" s="405"/>
    </row>
    <row r="4" spans="1:8" s="388" customFormat="1" ht="47.25" customHeight="1" x14ac:dyDescent="0.2">
      <c r="A4" s="405" t="s">
        <v>479</v>
      </c>
      <c r="B4" s="405"/>
      <c r="C4" s="405"/>
      <c r="D4" s="405"/>
      <c r="E4" s="405"/>
      <c r="F4" s="405"/>
    </row>
    <row r="5" spans="1:8" s="388" customFormat="1" ht="69.75" customHeight="1" x14ac:dyDescent="0.2">
      <c r="A5" s="404" t="s">
        <v>490</v>
      </c>
      <c r="B5" s="404"/>
      <c r="C5" s="404"/>
      <c r="D5" s="404"/>
      <c r="E5" s="404"/>
      <c r="F5" s="404"/>
    </row>
    <row r="6" spans="1:8" s="388" customFormat="1" ht="65.25" customHeight="1" x14ac:dyDescent="0.2">
      <c r="A6" s="404" t="s">
        <v>491</v>
      </c>
      <c r="B6" s="404"/>
      <c r="C6" s="404"/>
      <c r="D6" s="404"/>
      <c r="E6" s="404"/>
      <c r="F6" s="404"/>
      <c r="G6" s="390"/>
    </row>
    <row r="7" spans="1:8" s="388" customFormat="1" ht="15" x14ac:dyDescent="0.25">
      <c r="A7"/>
      <c r="B7" s="132"/>
      <c r="C7" s="132"/>
      <c r="D7"/>
      <c r="E7" s="133"/>
      <c r="F7"/>
      <c r="G7" s="391"/>
    </row>
    <row r="8" spans="1:8" s="388" customFormat="1" ht="15.75" thickBot="1" x14ac:dyDescent="0.3">
      <c r="A8" s="112" t="s">
        <v>286</v>
      </c>
      <c r="B8" s="112"/>
      <c r="C8" s="182"/>
      <c r="D8" s="182"/>
      <c r="E8" s="182"/>
      <c r="F8" s="182"/>
      <c r="G8" s="392"/>
    </row>
    <row r="9" spans="1:8" s="388" customFormat="1" ht="15" x14ac:dyDescent="0.25">
      <c r="A9" s="145"/>
      <c r="B9" s="145"/>
      <c r="C9" s="183">
        <v>2024</v>
      </c>
      <c r="D9" s="184">
        <v>2025</v>
      </c>
      <c r="E9" s="183">
        <v>2026</v>
      </c>
      <c r="F9" s="183" t="s">
        <v>280</v>
      </c>
      <c r="H9" s="390"/>
    </row>
    <row r="10" spans="1:8" s="388" customFormat="1" ht="15" x14ac:dyDescent="0.25">
      <c r="A10" s="144" t="s">
        <v>238</v>
      </c>
      <c r="B10" s="132"/>
      <c r="C10" s="193">
        <v>2.53E-2</v>
      </c>
      <c r="D10" s="194">
        <v>0.03</v>
      </c>
      <c r="E10" s="117">
        <v>3.2500000000000001E-2</v>
      </c>
      <c r="F10" s="117">
        <v>2.63E-2</v>
      </c>
      <c r="H10" s="393"/>
    </row>
    <row r="11" spans="1:8" s="388" customFormat="1" ht="15" x14ac:dyDescent="0.25">
      <c r="A11" s="144" t="s">
        <v>237</v>
      </c>
      <c r="B11" s="132"/>
      <c r="C11" s="117">
        <v>1.9199999999999998E-2</v>
      </c>
      <c r="D11" s="117">
        <v>2.2200000000000001E-2</v>
      </c>
      <c r="E11" s="117">
        <v>3.3399999999999999E-2</v>
      </c>
      <c r="F11" s="117"/>
      <c r="H11" s="393"/>
    </row>
    <row r="12" spans="1:8" s="388" customFormat="1" ht="15" x14ac:dyDescent="0.25">
      <c r="A12" s="377" t="s">
        <v>273</v>
      </c>
      <c r="B12" s="132"/>
      <c r="C12" s="117">
        <f>1.05%+0.2%</f>
        <v>1.2500000000000001E-2</v>
      </c>
      <c r="D12" s="117">
        <f>(1.07%+0.2%)*80%</f>
        <v>1.0160000000000002E-2</v>
      </c>
      <c r="E12" s="117">
        <f>(1.02%+0.2%)*80%</f>
        <v>9.7600000000000013E-3</v>
      </c>
      <c r="F12" s="117">
        <f>(1.01%+0.2%)*60%</f>
        <v>7.2599999999999991E-3</v>
      </c>
    </row>
    <row r="13" spans="1:8" s="388" customFormat="1" ht="15" x14ac:dyDescent="0.25">
      <c r="A13"/>
      <c r="B13"/>
      <c r="C13"/>
      <c r="D13"/>
      <c r="E13"/>
      <c r="F13"/>
      <c r="H13" s="393"/>
    </row>
    <row r="14" spans="1:8" s="388" customFormat="1" ht="15" x14ac:dyDescent="0.25">
      <c r="A14" s="139"/>
      <c r="B14" s="185">
        <v>2023</v>
      </c>
      <c r="C14" s="185" t="s">
        <v>234</v>
      </c>
      <c r="D14" s="185">
        <v>2025</v>
      </c>
      <c r="E14" s="186">
        <v>2026</v>
      </c>
      <c r="F14" s="186" t="s">
        <v>280</v>
      </c>
      <c r="H14" s="393"/>
    </row>
    <row r="15" spans="1:8" s="388" customFormat="1" ht="15" x14ac:dyDescent="0.25">
      <c r="A15" t="s">
        <v>191</v>
      </c>
      <c r="B15" s="140">
        <v>23935162091.099754</v>
      </c>
      <c r="C15" s="140">
        <v>24642646696.550003</v>
      </c>
      <c r="D15" s="140">
        <v>24940175355.473766</v>
      </c>
      <c r="E15" s="143"/>
      <c r="F15" s="143"/>
      <c r="H15" s="393"/>
    </row>
    <row r="16" spans="1:8" s="388" customFormat="1" ht="15" x14ac:dyDescent="0.25">
      <c r="A16" t="s">
        <v>192</v>
      </c>
      <c r="B16" s="140">
        <v>550030959.75024998</v>
      </c>
      <c r="C16" s="140">
        <v>563946446.44000006</v>
      </c>
      <c r="D16" s="140">
        <v>586713256.85623193</v>
      </c>
      <c r="E16" s="143"/>
      <c r="F16" s="143"/>
      <c r="H16" s="393"/>
    </row>
    <row r="17" spans="1:10" s="388" customFormat="1" ht="15" x14ac:dyDescent="0.25">
      <c r="A17" t="s">
        <v>195</v>
      </c>
      <c r="B17" s="140">
        <f>B15+B16</f>
        <v>24485193050.850006</v>
      </c>
      <c r="C17" s="140">
        <f t="shared" ref="C17:D17" si="0">C15+C16</f>
        <v>25206593142.990002</v>
      </c>
      <c r="D17" s="140">
        <f t="shared" si="0"/>
        <v>25526888612.329998</v>
      </c>
      <c r="E17" s="178"/>
      <c r="F17" s="178"/>
      <c r="H17" s="393"/>
      <c r="I17" s="393"/>
      <c r="J17" s="393"/>
    </row>
    <row r="18" spans="1:10" s="388" customFormat="1" ht="18.600000000000001" customHeight="1" x14ac:dyDescent="0.25">
      <c r="A18"/>
      <c r="B18"/>
      <c r="C18"/>
      <c r="D18"/>
      <c r="E18" s="70"/>
      <c r="F18" s="70"/>
      <c r="H18" s="393"/>
      <c r="I18" s="393"/>
      <c r="J18" s="393"/>
    </row>
    <row r="19" spans="1:10" s="388" customFormat="1" ht="15" x14ac:dyDescent="0.25">
      <c r="A19" s="141" t="s">
        <v>197</v>
      </c>
      <c r="B19" s="142">
        <v>22670306001.888947</v>
      </c>
      <c r="C19" s="143">
        <v>23570022112.589275</v>
      </c>
      <c r="D19" s="140">
        <v>25665476101.939999</v>
      </c>
      <c r="E19" s="143"/>
      <c r="F19" s="143"/>
      <c r="H19" s="393"/>
    </row>
    <row r="20" spans="1:10" s="388" customFormat="1" ht="15" x14ac:dyDescent="0.25">
      <c r="A20" s="141" t="s">
        <v>198</v>
      </c>
      <c r="B20" s="142">
        <v>498545787.23582369</v>
      </c>
      <c r="C20" s="143">
        <v>513985901.31177771</v>
      </c>
      <c r="D20" s="140">
        <v>589238299.32000005</v>
      </c>
      <c r="E20" s="143"/>
      <c r="F20" s="143"/>
      <c r="H20" s="393"/>
    </row>
    <row r="21" spans="1:10" s="388" customFormat="1" ht="15" x14ac:dyDescent="0.25">
      <c r="A21" s="115" t="s">
        <v>196</v>
      </c>
      <c r="B21" s="111">
        <f>B19+B20</f>
        <v>23168851789.124771</v>
      </c>
      <c r="C21" s="111">
        <f>C19+C20</f>
        <v>24084008013.901054</v>
      </c>
      <c r="D21" s="111">
        <f>D19+D20</f>
        <v>26254714401.259998</v>
      </c>
      <c r="E21" s="178"/>
      <c r="F21" s="178"/>
      <c r="H21" s="393"/>
    </row>
    <row r="22" spans="1:10" s="388" customFormat="1" ht="15" x14ac:dyDescent="0.25">
      <c r="A22"/>
      <c r="B22"/>
      <c r="C22"/>
      <c r="D22" s="110"/>
      <c r="E22" s="178"/>
      <c r="F22" s="178"/>
      <c r="H22" s="393"/>
    </row>
    <row r="23" spans="1:10" s="388" customFormat="1" ht="15" x14ac:dyDescent="0.25">
      <c r="A23" t="s">
        <v>193</v>
      </c>
      <c r="B23" s="111">
        <f t="shared" ref="B23:D25" si="1">B19-B15</f>
        <v>-1264856089.2108078</v>
      </c>
      <c r="C23" s="111">
        <f t="shared" si="1"/>
        <v>-1072624583.9607277</v>
      </c>
      <c r="D23" s="111">
        <f t="shared" si="1"/>
        <v>725300746.4662323</v>
      </c>
      <c r="E23" s="142"/>
      <c r="F23" s="142"/>
      <c r="H23" s="393"/>
    </row>
    <row r="24" spans="1:10" s="388" customFormat="1" ht="15" x14ac:dyDescent="0.25">
      <c r="A24" t="s">
        <v>194</v>
      </c>
      <c r="B24" s="111">
        <f t="shared" si="1"/>
        <v>-51485172.514426291</v>
      </c>
      <c r="C24" s="111">
        <f t="shared" si="1"/>
        <v>-49960545.128222346</v>
      </c>
      <c r="D24" s="111">
        <f t="shared" si="1"/>
        <v>2525042.4637681246</v>
      </c>
      <c r="E24" s="142"/>
      <c r="F24" s="142"/>
      <c r="H24" s="393"/>
    </row>
    <row r="25" spans="1:10" s="388" customFormat="1" ht="15" x14ac:dyDescent="0.25">
      <c r="A25" t="s">
        <v>199</v>
      </c>
      <c r="B25" s="111">
        <f t="shared" si="1"/>
        <v>-1316341261.725235</v>
      </c>
      <c r="C25" s="111">
        <f t="shared" si="1"/>
        <v>-1122585129.0889473</v>
      </c>
      <c r="D25" s="111">
        <f t="shared" si="1"/>
        <v>727825788.93000031</v>
      </c>
      <c r="E25" s="142"/>
      <c r="F25" s="142"/>
      <c r="H25" s="393"/>
    </row>
    <row r="26" spans="1:10" s="388" customFormat="1" ht="15" x14ac:dyDescent="0.25">
      <c r="A26"/>
      <c r="B26"/>
      <c r="C26" s="111"/>
      <c r="D26" s="111"/>
      <c r="E26" s="70"/>
      <c r="F26" s="70"/>
      <c r="H26" s="393"/>
    </row>
    <row r="27" spans="1:10" s="388" customFormat="1" ht="15" x14ac:dyDescent="0.25">
      <c r="A27" s="220" t="s">
        <v>287</v>
      </c>
      <c r="B27" s="221"/>
      <c r="C27" s="221"/>
      <c r="D27" s="217"/>
      <c r="E27" s="217">
        <v>0.95</v>
      </c>
      <c r="F27" s="217">
        <v>0.9</v>
      </c>
      <c r="H27" s="393"/>
    </row>
    <row r="28" spans="1:10" s="388" customFormat="1" ht="15" x14ac:dyDescent="0.25">
      <c r="A28" s="222" t="s">
        <v>202</v>
      </c>
      <c r="B28" s="70"/>
      <c r="C28" s="70"/>
      <c r="D28" s="142">
        <f>-B23*(1+C11)*(1+C12)*(1+D10)*(1+D12)</f>
        <v>1358072499.2076964</v>
      </c>
      <c r="E28" s="142">
        <f>-(C23-B23)*(1+D11)*(1+D12)*(1+E10)*(1+E12)*E27</f>
        <v>-196599513.67208415</v>
      </c>
      <c r="F28" s="142">
        <f>-(D23-C23-D28)*(1+E11)*(1+E12)*(1+F10)*(1+F12)*F27</f>
        <v>-427024150.96230716</v>
      </c>
      <c r="H28" s="393"/>
    </row>
    <row r="29" spans="1:10" s="388" customFormat="1" ht="15" x14ac:dyDescent="0.25">
      <c r="A29" s="70" t="s">
        <v>228</v>
      </c>
      <c r="B29" s="70"/>
      <c r="C29" s="70"/>
      <c r="D29" s="142">
        <f>D28</f>
        <v>1358072499.2076964</v>
      </c>
      <c r="E29" s="218">
        <f>D29*(1+E10)*(1+E12)+E28</f>
        <v>1219295909.9488783</v>
      </c>
      <c r="F29" s="218">
        <f>E29*(1+F10)*(1+F12)+F28</f>
        <v>833424139.64690924</v>
      </c>
      <c r="H29" s="393"/>
    </row>
    <row r="30" spans="1:10" s="388" customFormat="1" ht="15" x14ac:dyDescent="0.25">
      <c r="A30" s="70"/>
      <c r="B30" s="70"/>
      <c r="C30" s="70"/>
      <c r="D30" s="142"/>
      <c r="E30" s="218"/>
      <c r="F30" s="218"/>
      <c r="H30" s="393"/>
    </row>
    <row r="31" spans="1:10" s="388" customFormat="1" ht="15" x14ac:dyDescent="0.25">
      <c r="A31" s="222" t="s">
        <v>203</v>
      </c>
      <c r="B31" s="70"/>
      <c r="C31" s="70"/>
      <c r="D31" s="142">
        <f>-B24*(1+C11)*(1+D10)</f>
        <v>54047898.461504377</v>
      </c>
      <c r="E31" s="142">
        <f>-(C24-B24)*(1+D11)*(1+E10)*E27</f>
        <v>-1528668.2967440241</v>
      </c>
      <c r="F31" s="142">
        <f>-(D24-C24-D31)*(1+E11)*(1+F10)*F27</f>
        <v>1491257.8741840969</v>
      </c>
      <c r="H31" s="393"/>
    </row>
    <row r="32" spans="1:10" s="388" customFormat="1" ht="15" x14ac:dyDescent="0.25">
      <c r="A32" s="70" t="s">
        <v>229</v>
      </c>
      <c r="B32" s="70"/>
      <c r="C32" s="70"/>
      <c r="D32" s="142">
        <f>D31</f>
        <v>54047898.461504377</v>
      </c>
      <c r="E32" s="218">
        <f>D32*(1+E10)+E31</f>
        <v>54275786.864759244</v>
      </c>
      <c r="F32" s="218">
        <f>E32*(1+F10)+F31</f>
        <v>57194497.933486506</v>
      </c>
      <c r="H32" s="393"/>
    </row>
    <row r="33" spans="1:8" s="388" customFormat="1" ht="15" x14ac:dyDescent="0.25">
      <c r="A33" s="70"/>
      <c r="B33" s="70"/>
      <c r="C33" s="70"/>
      <c r="D33" s="142"/>
      <c r="E33" s="142"/>
      <c r="F33" s="142"/>
      <c r="H33" s="393"/>
    </row>
    <row r="34" spans="1:8" s="388" customFormat="1" ht="15" x14ac:dyDescent="0.25">
      <c r="A34" s="180" t="s">
        <v>200</v>
      </c>
      <c r="B34" s="180"/>
      <c r="C34" s="180"/>
      <c r="D34" s="219">
        <f t="shared" ref="D34:F35" si="2">D28+D31</f>
        <v>1412120397.6692009</v>
      </c>
      <c r="E34" s="219">
        <f t="shared" si="2"/>
        <v>-198128181.96882817</v>
      </c>
      <c r="F34" s="219">
        <f t="shared" si="2"/>
        <v>-425532893.08812308</v>
      </c>
      <c r="H34" s="393"/>
    </row>
    <row r="35" spans="1:8" s="388" customFormat="1" ht="15" x14ac:dyDescent="0.25">
      <c r="A35" s="180" t="s">
        <v>201</v>
      </c>
      <c r="B35" s="180"/>
      <c r="C35" s="180"/>
      <c r="D35" s="179">
        <f t="shared" si="2"/>
        <v>1412120397.6692009</v>
      </c>
      <c r="E35" s="179">
        <f t="shared" si="2"/>
        <v>1273571696.8136375</v>
      </c>
      <c r="F35" s="179">
        <f t="shared" si="2"/>
        <v>890618637.5803957</v>
      </c>
      <c r="H35" s="393"/>
    </row>
  </sheetData>
  <mergeCells count="4">
    <mergeCell ref="A3:F3"/>
    <mergeCell ref="A5:F5"/>
    <mergeCell ref="A6:F6"/>
    <mergeCell ref="A4:F4"/>
  </mergeCells>
  <pageMargins left="0.7" right="0.7" top="0.75" bottom="0.75" header="0.3" footer="0.3"/>
  <pageSetup paperSize="9" orientation="portrait" r:id="rId1"/>
  <ignoredErrors>
    <ignoredError sqref="C14 F14 F9"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6FE0-0CD6-42FF-8C7E-D5BF1B93C867}">
  <sheetPr>
    <tabColor theme="8"/>
  </sheetPr>
  <dimension ref="A1:N105"/>
  <sheetViews>
    <sheetView zoomScaleNormal="100" workbookViewId="0"/>
  </sheetViews>
  <sheetFormatPr defaultRowHeight="14.25" x14ac:dyDescent="0.2"/>
  <cols>
    <col min="1" max="1" width="61.25" style="111" customWidth="1"/>
    <col min="2" max="2" width="30.125" style="111" customWidth="1"/>
    <col min="3" max="3" width="35.375" style="111" customWidth="1"/>
    <col min="4" max="5" width="35.25" style="111" customWidth="1"/>
    <col min="6" max="6" width="32.25" style="111" customWidth="1"/>
    <col min="7" max="7" width="25.875" style="111" customWidth="1"/>
    <col min="8" max="13" width="24.5" style="111" customWidth="1"/>
    <col min="14" max="14" width="19.875" style="111" customWidth="1"/>
    <col min="15" max="15" width="21.125" style="111" customWidth="1"/>
    <col min="16" max="16" width="24.625" style="111" customWidth="1"/>
    <col min="17" max="25" width="20.5" style="111" customWidth="1"/>
    <col min="26" max="27" width="17.375" style="111" customWidth="1"/>
    <col min="28" max="30" width="9" style="111"/>
    <col min="31" max="31" width="13.125" style="111" bestFit="1" customWidth="1"/>
    <col min="32" max="32" width="11.625" style="111" bestFit="1" customWidth="1"/>
    <col min="33" max="33" width="13.125" style="111" bestFit="1" customWidth="1"/>
    <col min="34" max="34" width="9" style="111"/>
    <col min="35" max="35" width="11.875" style="111" customWidth="1"/>
    <col min="36" max="16384" width="9" style="111"/>
  </cols>
  <sheetData>
    <row r="1" spans="1:3" ht="20.25" x14ac:dyDescent="0.3">
      <c r="A1" s="95" t="s">
        <v>233</v>
      </c>
      <c r="B1" s="15"/>
      <c r="C1" s="15"/>
    </row>
    <row r="2" spans="1:3" ht="15" x14ac:dyDescent="0.2">
      <c r="A2" s="1" t="str">
        <f>INFO!A2</f>
        <v>VM/HVO 30.4.2026</v>
      </c>
      <c r="B2" s="20"/>
      <c r="C2" s="20"/>
    </row>
    <row r="3" spans="1:3" ht="73.5" customHeight="1" x14ac:dyDescent="0.2">
      <c r="A3" s="406" t="s">
        <v>480</v>
      </c>
      <c r="B3" s="406"/>
      <c r="C3" s="406"/>
    </row>
    <row r="4" spans="1:3" ht="15" x14ac:dyDescent="0.2">
      <c r="A4" s="21"/>
      <c r="B4" s="15"/>
    </row>
    <row r="5" spans="1:3" ht="17.25" thickBot="1" x14ac:dyDescent="0.3">
      <c r="A5" s="91" t="s">
        <v>172</v>
      </c>
      <c r="B5" s="24"/>
    </row>
    <row r="6" spans="1:3" ht="16.5" thickTop="1" x14ac:dyDescent="0.25">
      <c r="A6" s="253" t="s">
        <v>281</v>
      </c>
      <c r="B6" s="254" t="s">
        <v>0</v>
      </c>
    </row>
    <row r="7" spans="1:3" ht="15.75" x14ac:dyDescent="0.25">
      <c r="A7" s="78" t="s">
        <v>35</v>
      </c>
      <c r="B7" s="79">
        <f>Määräytymistekijät!C29</f>
        <v>5622045</v>
      </c>
    </row>
    <row r="8" spans="1:3" ht="15.75" x14ac:dyDescent="0.25">
      <c r="A8" s="78" t="s">
        <v>290</v>
      </c>
      <c r="B8" s="79">
        <f>'Rahoituksen taso 2027'!B8+'Rahoituksen taso 2027'!B12+'Rahoituksen taso 2027'!B13+'Rahoituksen taso 2027'!B20</f>
        <v>27088209268.856636</v>
      </c>
    </row>
    <row r="9" spans="1:3" ht="17.25" customHeight="1" x14ac:dyDescent="0.25">
      <c r="A9" s="82" t="s">
        <v>288</v>
      </c>
      <c r="B9" s="190" t="s">
        <v>0</v>
      </c>
    </row>
    <row r="10" spans="1:3" ht="17.25" customHeight="1" x14ac:dyDescent="0.2">
      <c r="A10" s="250" t="s">
        <v>224</v>
      </c>
      <c r="B10" s="250">
        <f>SUMIF(Sote_tehtävämuutokset[kohdennus],'SOTE laskennallinen rahoitus'!$A10,Sote_tehtävämuutokset[euroa])</f>
        <v>-100220000</v>
      </c>
    </row>
    <row r="11" spans="1:3" ht="17.25" customHeight="1" x14ac:dyDescent="0.2">
      <c r="A11" s="250" t="s">
        <v>226</v>
      </c>
      <c r="B11" s="250">
        <f>SUMIF(Sote_tehtävämuutokset[kohdennus],'SOTE laskennallinen rahoitus'!$A11,Sote_tehtävämuutokset[euroa])</f>
        <v>-50900000</v>
      </c>
    </row>
    <row r="12" spans="1:3" ht="17.25" customHeight="1" x14ac:dyDescent="0.2">
      <c r="A12" s="250" t="s">
        <v>225</v>
      </c>
      <c r="B12" s="250">
        <f>SUMIF(Sote_tehtävämuutokset[kohdennus],'SOTE laskennallinen rahoitus'!$A12,Sote_tehtävämuutokset[euroa])</f>
        <v>-38300000</v>
      </c>
    </row>
    <row r="13" spans="1:3" ht="17.25" customHeight="1" x14ac:dyDescent="0.2">
      <c r="A13" s="250" t="s">
        <v>223</v>
      </c>
      <c r="B13" s="250">
        <f>SUMIF(Sote_tehtävämuutokset[kohdennus],'SOTE laskennallinen rahoitus'!$A13,Sote_tehtävämuutokset[euroa])</f>
        <v>2750000</v>
      </c>
    </row>
    <row r="14" spans="1:3" ht="17.25" customHeight="1" x14ac:dyDescent="0.2">
      <c r="A14" s="251" t="s">
        <v>135</v>
      </c>
      <c r="B14" s="250">
        <f>SUMIF(Sote_tehtävämuutokset[kohdennus],'SOTE laskennallinen rahoitus'!$A14,Sote_tehtävämuutokset[euroa])</f>
        <v>3550000</v>
      </c>
    </row>
    <row r="15" spans="1:3" ht="17.25" customHeight="1" x14ac:dyDescent="0.25">
      <c r="A15" s="252" t="s">
        <v>4</v>
      </c>
      <c r="B15" s="252">
        <f>SUM(B10:B14)</f>
        <v>-183120000</v>
      </c>
    </row>
    <row r="16" spans="1:3" ht="17.25" customHeight="1" x14ac:dyDescent="0.25">
      <c r="A16" s="80" t="s">
        <v>289</v>
      </c>
      <c r="B16" s="81">
        <f>B8+B15</f>
        <v>26905089268.856636</v>
      </c>
    </row>
    <row r="17" spans="1:14" ht="15" x14ac:dyDescent="0.2">
      <c r="A17" s="248"/>
      <c r="B17" s="249"/>
    </row>
    <row r="18" spans="1:14" ht="17.25" thickBot="1" x14ac:dyDescent="0.3">
      <c r="A18" s="92" t="s">
        <v>144</v>
      </c>
      <c r="B18" s="91"/>
      <c r="C18" s="91"/>
      <c r="D18" s="91"/>
      <c r="E18" s="91"/>
      <c r="F18" s="91"/>
      <c r="G18" s="91"/>
      <c r="H18" s="91"/>
      <c r="I18" s="91"/>
      <c r="J18" s="91"/>
      <c r="K18" s="91"/>
      <c r="L18" s="91"/>
      <c r="M18" s="91"/>
      <c r="N18" s="91"/>
    </row>
    <row r="19" spans="1:14" ht="16.5" thickTop="1" x14ac:dyDescent="0.25">
      <c r="A19" s="170" t="s">
        <v>152</v>
      </c>
      <c r="B19" s="211" t="s">
        <v>135</v>
      </c>
      <c r="C19" s="211" t="s">
        <v>145</v>
      </c>
      <c r="D19" s="210" t="s">
        <v>136</v>
      </c>
      <c r="E19" s="210" t="s">
        <v>137</v>
      </c>
      <c r="F19" s="210" t="s">
        <v>138</v>
      </c>
      <c r="G19" s="209" t="s">
        <v>139</v>
      </c>
      <c r="H19" s="211" t="s">
        <v>140</v>
      </c>
      <c r="I19" s="211" t="s">
        <v>12</v>
      </c>
      <c r="J19" s="211" t="s">
        <v>141</v>
      </c>
      <c r="K19" s="211" t="s">
        <v>142</v>
      </c>
      <c r="L19" s="208" t="s">
        <v>143</v>
      </c>
      <c r="M19" s="208" t="s">
        <v>156</v>
      </c>
      <c r="N19" s="207" t="s">
        <v>4</v>
      </c>
    </row>
    <row r="20" spans="1:14" ht="15" x14ac:dyDescent="0.2">
      <c r="A20" s="212" t="s">
        <v>291</v>
      </c>
      <c r="B20" s="213">
        <v>0.13072005886554192</v>
      </c>
      <c r="C20" s="213">
        <v>0.80777327722220982</v>
      </c>
      <c r="D20" s="213">
        <v>0.44367113337567227</v>
      </c>
      <c r="E20" s="213">
        <v>0.1699257294319563</v>
      </c>
      <c r="F20" s="213">
        <v>0.19417641441458119</v>
      </c>
      <c r="G20" s="213">
        <v>1.9874532665155802E-2</v>
      </c>
      <c r="H20" s="213">
        <v>4.9635161393411769E-3</v>
      </c>
      <c r="I20" s="213">
        <v>1.4911016525814627E-2</v>
      </c>
      <c r="J20" s="213">
        <v>1.12574592851037E-3</v>
      </c>
      <c r="K20" s="213">
        <v>1.4941718687501274E-2</v>
      </c>
      <c r="L20" s="213">
        <v>1.3304270064213463E-4</v>
      </c>
      <c r="M20" s="213">
        <v>5.5570912652830092E-3</v>
      </c>
      <c r="N20" s="264">
        <f>B20+SUM(D20:M20)</f>
        <v>1.0000000000000002</v>
      </c>
    </row>
    <row r="21" spans="1:14" ht="30.75" x14ac:dyDescent="0.25">
      <c r="A21" s="105" t="s">
        <v>292</v>
      </c>
      <c r="B21" s="29">
        <f>B20*($B$8+$B$13)+B14</f>
        <v>3544881790.348938</v>
      </c>
      <c r="C21" s="29"/>
      <c r="D21" s="29">
        <f>D20*($B$8+$B$13)+B10</f>
        <v>11919256603.047798</v>
      </c>
      <c r="E21" s="29">
        <f>E20*($B$8+$B$13)+B11</f>
        <v>4552551014.7718811</v>
      </c>
      <c r="F21" s="29">
        <f>F20*($B$8+$B$13)+B12</f>
        <v>5222125333.878046</v>
      </c>
      <c r="G21" s="29">
        <f>G20*($B$8+$B$13)</f>
        <v>538420154.91929662</v>
      </c>
      <c r="H21" s="29">
        <f t="shared" ref="H21:M21" si="0">H20*($B$8+$B$13)</f>
        <v>134466413.56120437</v>
      </c>
      <c r="I21" s="29">
        <f t="shared" si="0"/>
        <v>403953741.35809225</v>
      </c>
      <c r="J21" s="29">
        <f t="shared" si="0"/>
        <v>30497537.096355628</v>
      </c>
      <c r="K21" s="29">
        <f t="shared" si="0"/>
        <v>404785492.36981106</v>
      </c>
      <c r="L21" s="168">
        <f t="shared" si="0"/>
        <v>3604254.3841147558</v>
      </c>
      <c r="M21" s="168">
        <f t="shared" si="0"/>
        <v>150546933.12110099</v>
      </c>
      <c r="N21" s="50">
        <f>B21+SUM(D21:M21)</f>
        <v>26905089268.856636</v>
      </c>
    </row>
    <row r="22" spans="1:14" ht="15.75" x14ac:dyDescent="0.25">
      <c r="A22" s="103" t="s">
        <v>293</v>
      </c>
      <c r="B22" s="97">
        <f>B21/$B$7</f>
        <v>630.5324468852416</v>
      </c>
      <c r="C22" s="98"/>
      <c r="D22" s="97">
        <f>D21/$B$7</f>
        <v>2120.0927070216972</v>
      </c>
      <c r="E22" s="97">
        <f>E21/$B$7</f>
        <v>809.76780064405057</v>
      </c>
      <c r="F22" s="97">
        <f>F21/$B$7</f>
        <v>928.86580130149196</v>
      </c>
      <c r="G22" s="97">
        <f>G21/G50</f>
        <v>837.41499003708907</v>
      </c>
      <c r="H22" s="97">
        <f>H21/H50</f>
        <v>541.24301063115593</v>
      </c>
      <c r="I22" s="97">
        <f>I21/B7</f>
        <v>71.851744580146942</v>
      </c>
      <c r="J22" s="97">
        <f>J21/K50</f>
        <v>531.0014468147026</v>
      </c>
      <c r="K22" s="97">
        <f>K21/B7</f>
        <v>71.999689146887135</v>
      </c>
      <c r="L22" s="99">
        <f>L21/M50</f>
        <v>2289.8693672901877</v>
      </c>
      <c r="M22" s="99">
        <f>M21/N50</f>
        <v>42.856798476738149</v>
      </c>
      <c r="N22" s="104"/>
    </row>
    <row r="23" spans="1:14" ht="18.600000000000001" customHeight="1" x14ac:dyDescent="0.2">
      <c r="A23" s="75" t="s">
        <v>294</v>
      </c>
      <c r="B23" s="76">
        <f>B21/$B$16</f>
        <v>0.13175506518211905</v>
      </c>
      <c r="C23" s="76">
        <f>SUM(D23:F23)</f>
        <v>0.80631336082608862</v>
      </c>
      <c r="D23" s="76">
        <f t="shared" ref="D23:M23" si="1">D21/$B$16</f>
        <v>0.44301122675867344</v>
      </c>
      <c r="E23" s="76">
        <f t="shared" si="1"/>
        <v>0.16920780188756263</v>
      </c>
      <c r="F23" s="76">
        <f t="shared" si="1"/>
        <v>0.19409433217985256</v>
      </c>
      <c r="G23" s="76">
        <f t="shared" si="1"/>
        <v>2.0011833060243085E-2</v>
      </c>
      <c r="H23" s="76">
        <f t="shared" si="1"/>
        <v>4.9978058878567952E-3</v>
      </c>
      <c r="I23" s="76">
        <f t="shared" si="1"/>
        <v>1.5014027172386287E-2</v>
      </c>
      <c r="J23" s="76">
        <f t="shared" si="1"/>
        <v>1.133522984874737E-3</v>
      </c>
      <c r="K23" s="76">
        <f t="shared" si="1"/>
        <v>1.5044941435610144E-2</v>
      </c>
      <c r="L23" s="76">
        <f t="shared" si="1"/>
        <v>1.33961807303378E-4</v>
      </c>
      <c r="M23" s="76">
        <f t="shared" si="1"/>
        <v>5.5954816435180204E-3</v>
      </c>
      <c r="N23" s="172">
        <f>B23+SUM(D23:M23)</f>
        <v>1.0000000000000002</v>
      </c>
    </row>
    <row r="24" spans="1:14" ht="18.600000000000001" customHeight="1" x14ac:dyDescent="0.2"/>
    <row r="26" spans="1:14" ht="17.25" thickBot="1" x14ac:dyDescent="0.3">
      <c r="A26" s="91" t="s">
        <v>183</v>
      </c>
      <c r="B26" s="91"/>
      <c r="C26" s="91"/>
      <c r="D26" s="91"/>
      <c r="E26" s="91"/>
      <c r="F26" s="91"/>
      <c r="G26" s="91"/>
      <c r="H26" s="91"/>
      <c r="I26" s="91"/>
      <c r="J26" s="91"/>
      <c r="K26" s="91"/>
      <c r="L26" s="91"/>
      <c r="M26" s="91"/>
      <c r="N26" s="91"/>
    </row>
    <row r="27" spans="1:14" ht="63" customHeight="1" thickTop="1" x14ac:dyDescent="0.25">
      <c r="A27" s="31" t="s">
        <v>6</v>
      </c>
      <c r="B27" s="22" t="s">
        <v>7</v>
      </c>
      <c r="C27" s="32" t="s">
        <v>35</v>
      </c>
      <c r="D27" s="33" t="s">
        <v>146</v>
      </c>
      <c r="E27" s="33" t="s">
        <v>147</v>
      </c>
      <c r="F27" s="33" t="s">
        <v>148</v>
      </c>
      <c r="G27" s="33" t="s">
        <v>10</v>
      </c>
      <c r="H27" s="34" t="s">
        <v>8</v>
      </c>
      <c r="I27" s="32" t="s">
        <v>36</v>
      </c>
      <c r="J27" s="34" t="s">
        <v>326</v>
      </c>
      <c r="K27" s="316" t="s">
        <v>355</v>
      </c>
      <c r="L27" s="316" t="s">
        <v>186</v>
      </c>
      <c r="M27" s="316" t="s">
        <v>149</v>
      </c>
      <c r="N27" s="316" t="s">
        <v>341</v>
      </c>
    </row>
    <row r="28" spans="1:14" ht="15" x14ac:dyDescent="0.2">
      <c r="A28" s="255">
        <v>31</v>
      </c>
      <c r="B28" s="256" t="s">
        <v>13</v>
      </c>
      <c r="C28" s="248">
        <f>Määräytymistekijät!C7</f>
        <v>694392</v>
      </c>
      <c r="D28" s="313">
        <f>Tarvekertoimet!G7</f>
        <v>0.92826609437273777</v>
      </c>
      <c r="E28" s="313">
        <f>Tarvekertoimet!H7</f>
        <v>0.82655162066467514</v>
      </c>
      <c r="F28" s="313">
        <f>Tarvekertoimet!I7</f>
        <v>0.8467739240234099</v>
      </c>
      <c r="G28" s="257">
        <f>Määräytymistekijät!F7</f>
        <v>147482</v>
      </c>
      <c r="H28" s="257">
        <f>Määräytymistekijät!D7</f>
        <v>37349</v>
      </c>
      <c r="I28" s="258">
        <f>Määräytymistekijät!I7</f>
        <v>5.7429589451085264E-3</v>
      </c>
      <c r="J28" s="311">
        <f>Määräytymistekijät!L7</f>
        <v>0</v>
      </c>
      <c r="K28" s="317">
        <f>Määräytymistekijät!J7</f>
        <v>0</v>
      </c>
      <c r="L28" s="315">
        <f>'Hyte-kerroin'!G7</f>
        <v>0.99107866190787941</v>
      </c>
      <c r="M28" s="317">
        <f>Määräytymistekijät!E7</f>
        <v>0</v>
      </c>
      <c r="N28" s="319">
        <f t="shared" ref="N28:N33" si="2">C28</f>
        <v>694392</v>
      </c>
    </row>
    <row r="29" spans="1:14" ht="15" x14ac:dyDescent="0.2">
      <c r="A29" s="255">
        <v>32</v>
      </c>
      <c r="B29" s="256" t="s">
        <v>39</v>
      </c>
      <c r="C29" s="248">
        <f>Määräytymistekijät!C8</f>
        <v>291723</v>
      </c>
      <c r="D29" s="313">
        <f>Tarvekertoimet!G8</f>
        <v>0.95529680443182752</v>
      </c>
      <c r="E29" s="313">
        <f>Tarvekertoimet!H8</f>
        <v>0.70437300665489555</v>
      </c>
      <c r="F29" s="313">
        <f>Tarvekertoimet!I8</f>
        <v>0.91967949604332033</v>
      </c>
      <c r="G29" s="257">
        <f>Määräytymistekijät!F8</f>
        <v>82712</v>
      </c>
      <c r="H29" s="257">
        <f>Määräytymistekijät!D8</f>
        <v>5719</v>
      </c>
      <c r="I29" s="258">
        <f>Määräytymistekijät!I8</f>
        <v>1.7138831931440751E-2</v>
      </c>
      <c r="J29" s="311">
        <f>Määräytymistekijät!L8</f>
        <v>0</v>
      </c>
      <c r="K29" s="317">
        <f>Määräytymistekijät!J8</f>
        <v>0</v>
      </c>
      <c r="L29" s="315">
        <f>'Hyte-kerroin'!G8</f>
        <v>0.73151827494169064</v>
      </c>
      <c r="M29" s="317">
        <f>Määräytymistekijät!E8</f>
        <v>0</v>
      </c>
      <c r="N29" s="319">
        <f t="shared" si="2"/>
        <v>291723</v>
      </c>
    </row>
    <row r="30" spans="1:14" ht="15" x14ac:dyDescent="0.2">
      <c r="A30" s="255">
        <v>33</v>
      </c>
      <c r="B30" s="256" t="s">
        <v>14</v>
      </c>
      <c r="C30" s="248">
        <f>Määräytymistekijät!C9</f>
        <v>506379</v>
      </c>
      <c r="D30" s="313">
        <f>Tarvekertoimet!G9</f>
        <v>0.83655947201276815</v>
      </c>
      <c r="E30" s="313">
        <f>Tarvekertoimet!H9</f>
        <v>0.6371779301048105</v>
      </c>
      <c r="F30" s="313">
        <f>Tarvekertoimet!I9</f>
        <v>0.7330327981927004</v>
      </c>
      <c r="G30" s="257">
        <f>Määräytymistekijät!F9</f>
        <v>100208</v>
      </c>
      <c r="H30" s="257">
        <f>Määräytymistekijät!D9</f>
        <v>55873</v>
      </c>
      <c r="I30" s="258">
        <f>Määräytymistekijät!I9</f>
        <v>0.15611271111590744</v>
      </c>
      <c r="J30" s="311">
        <f>Määräytymistekijät!L9</f>
        <v>0.78756912789060518</v>
      </c>
      <c r="K30" s="317">
        <f>Määräytymistekijät!J9</f>
        <v>1353</v>
      </c>
      <c r="L30" s="315">
        <f>'Hyte-kerroin'!G9</f>
        <v>0.98363232832167802</v>
      </c>
      <c r="M30" s="317">
        <f>Määräytymistekijät!E9</f>
        <v>0</v>
      </c>
      <c r="N30" s="319">
        <f t="shared" si="2"/>
        <v>506379</v>
      </c>
    </row>
    <row r="31" spans="1:14" ht="15" x14ac:dyDescent="0.2">
      <c r="A31" s="255">
        <v>34</v>
      </c>
      <c r="B31" s="256" t="s">
        <v>15</v>
      </c>
      <c r="C31" s="248">
        <f>Määräytymistekijät!C10</f>
        <v>99584</v>
      </c>
      <c r="D31" s="313">
        <f>Tarvekertoimet!G10</f>
        <v>0.95749309946628447</v>
      </c>
      <c r="E31" s="313">
        <f>Tarvekertoimet!H10</f>
        <v>0.90929042832366369</v>
      </c>
      <c r="F31" s="313">
        <f>Tarvekertoimet!I10</f>
        <v>0.80231075652729866</v>
      </c>
      <c r="G31" s="257">
        <f>Määräytymistekijät!F10</f>
        <v>8238</v>
      </c>
      <c r="H31" s="257">
        <f>Määräytymistekijät!D10</f>
        <v>26797</v>
      </c>
      <c r="I31" s="258">
        <f>Määräytymistekijät!I10</f>
        <v>0.50455914525113144</v>
      </c>
      <c r="J31" s="311">
        <f>Määräytymistekijät!L10</f>
        <v>1.0981597698756325</v>
      </c>
      <c r="K31" s="317">
        <f>Määräytymistekijät!J10</f>
        <v>3133</v>
      </c>
      <c r="L31" s="315">
        <f>'Hyte-kerroin'!G10</f>
        <v>1.1448343789096542</v>
      </c>
      <c r="M31" s="317">
        <f>Määräytymistekijät!E10</f>
        <v>0</v>
      </c>
      <c r="N31" s="319">
        <f t="shared" si="2"/>
        <v>99584</v>
      </c>
    </row>
    <row r="32" spans="1:14" ht="15" x14ac:dyDescent="0.2">
      <c r="A32" s="255">
        <v>35</v>
      </c>
      <c r="B32" s="256" t="s">
        <v>16</v>
      </c>
      <c r="C32" s="248">
        <f>Määräytymistekijät!C11</f>
        <v>207551</v>
      </c>
      <c r="D32" s="313">
        <f>Tarvekertoimet!G11</f>
        <v>0.92500641850403043</v>
      </c>
      <c r="E32" s="313">
        <f>Tarvekertoimet!H11</f>
        <v>0.74608893564416445</v>
      </c>
      <c r="F32" s="313">
        <f>Tarvekertoimet!I11</f>
        <v>0.83148785247006485</v>
      </c>
      <c r="G32" s="257">
        <f>Määräytymistekijät!F11</f>
        <v>17902</v>
      </c>
      <c r="H32" s="257">
        <f>Määräytymistekijät!D11</f>
        <v>0</v>
      </c>
      <c r="I32" s="258">
        <f>Määräytymistekijät!I11</f>
        <v>0.14950991632825317</v>
      </c>
      <c r="J32" s="311">
        <f>Määräytymistekijät!L11</f>
        <v>0</v>
      </c>
      <c r="K32" s="317">
        <f>Määräytymistekijät!J11</f>
        <v>0</v>
      </c>
      <c r="L32" s="315">
        <f>'Hyte-kerroin'!G11</f>
        <v>0.79677869686369351</v>
      </c>
      <c r="M32" s="317">
        <f>Määräytymistekijät!E11</f>
        <v>0</v>
      </c>
      <c r="N32" s="319">
        <f t="shared" si="2"/>
        <v>207551</v>
      </c>
    </row>
    <row r="33" spans="1:14" ht="15" x14ac:dyDescent="0.2">
      <c r="A33" s="256">
        <v>2</v>
      </c>
      <c r="B33" s="256" t="s">
        <v>17</v>
      </c>
      <c r="C33" s="248">
        <f>Määräytymistekijät!C12</f>
        <v>497800</v>
      </c>
      <c r="D33" s="313">
        <f>Tarvekertoimet!G12</f>
        <v>1.0370591492886578</v>
      </c>
      <c r="E33" s="313">
        <f>Tarvekertoimet!H12</f>
        <v>1.0785463793683572</v>
      </c>
      <c r="F33" s="313">
        <f>Tarvekertoimet!I12</f>
        <v>1.0198644481264143</v>
      </c>
      <c r="G33" s="257">
        <f>Määräytymistekijät!F12</f>
        <v>58815</v>
      </c>
      <c r="H33" s="257">
        <f>Määräytymistekijät!D12</f>
        <v>27522</v>
      </c>
      <c r="I33" s="258">
        <f>Määräytymistekijät!I12</f>
        <v>0.39861091870886661</v>
      </c>
      <c r="J33" s="311">
        <f>Määräytymistekijät!L12</f>
        <v>1.1092522928036692</v>
      </c>
      <c r="K33" s="317">
        <f>Määräytymistekijät!J12</f>
        <v>30926</v>
      </c>
      <c r="L33" s="315">
        <f>'Hyte-kerroin'!G12</f>
        <v>0.80199061622758672</v>
      </c>
      <c r="M33" s="317">
        <f>Määräytymistekijät!E12</f>
        <v>0</v>
      </c>
      <c r="N33" s="319">
        <f t="shared" si="2"/>
        <v>497800</v>
      </c>
    </row>
    <row r="34" spans="1:14" ht="15" x14ac:dyDescent="0.2">
      <c r="A34" s="256">
        <v>4</v>
      </c>
      <c r="B34" s="256" t="s">
        <v>18</v>
      </c>
      <c r="C34" s="248">
        <f>Määräytymistekijät!C13</f>
        <v>210112</v>
      </c>
      <c r="D34" s="313">
        <f>Tarvekertoimet!G13</f>
        <v>1.0231704371295893</v>
      </c>
      <c r="E34" s="313">
        <f>Tarvekertoimet!H13</f>
        <v>1.1590128645170317</v>
      </c>
      <c r="F34" s="313">
        <f>Tarvekertoimet!I13</f>
        <v>1.0785848775770763</v>
      </c>
      <c r="G34" s="257">
        <f>Määräytymistekijät!F13</f>
        <v>13284</v>
      </c>
      <c r="H34" s="257">
        <f>Määräytymistekijät!D13</f>
        <v>0</v>
      </c>
      <c r="I34" s="258">
        <f>Määräytymistekijät!I13</f>
        <v>0.69205356611385549</v>
      </c>
      <c r="J34" s="311">
        <f>Määräytymistekijät!L13</f>
        <v>0</v>
      </c>
      <c r="K34" s="317">
        <f>Määräytymistekijät!J13</f>
        <v>0</v>
      </c>
      <c r="L34" s="315">
        <f>'Hyte-kerroin'!G13</f>
        <v>0.96696926930396132</v>
      </c>
      <c r="M34" s="317">
        <f>Määräytymistekijät!E13</f>
        <v>0</v>
      </c>
      <c r="N34" s="319"/>
    </row>
    <row r="35" spans="1:14" ht="15" x14ac:dyDescent="0.2">
      <c r="A35" s="256">
        <v>5</v>
      </c>
      <c r="B35" s="256" t="s">
        <v>19</v>
      </c>
      <c r="C35" s="248">
        <f>Määräytymistekijät!C14</f>
        <v>168957</v>
      </c>
      <c r="D35" s="313">
        <f>Tarvekertoimet!G14</f>
        <v>1.0303864910797094</v>
      </c>
      <c r="E35" s="313">
        <f>Tarvekertoimet!H14</f>
        <v>1.0906350209559634</v>
      </c>
      <c r="F35" s="313">
        <f>Tarvekertoimet!I14</f>
        <v>1.0021450717897642</v>
      </c>
      <c r="G35" s="257">
        <f>Määräytymistekijät!F14</f>
        <v>11698</v>
      </c>
      <c r="H35" s="257">
        <f>Määräytymistekijät!D14</f>
        <v>0</v>
      </c>
      <c r="I35" s="258">
        <f>Määräytymistekijät!I14</f>
        <v>0.57198879385200985</v>
      </c>
      <c r="J35" s="311">
        <f>Määräytymistekijät!L14</f>
        <v>0</v>
      </c>
      <c r="K35" s="317">
        <f>Määräytymistekijät!J14</f>
        <v>0</v>
      </c>
      <c r="L35" s="315">
        <f>'Hyte-kerroin'!G14</f>
        <v>1.3397471537108532</v>
      </c>
      <c r="M35" s="317">
        <f>Määräytymistekijät!E14</f>
        <v>0</v>
      </c>
      <c r="N35" s="319"/>
    </row>
    <row r="36" spans="1:14" ht="15" x14ac:dyDescent="0.2">
      <c r="A36" s="256">
        <v>6</v>
      </c>
      <c r="B36" s="256" t="s">
        <v>20</v>
      </c>
      <c r="C36" s="248">
        <f>Määräytymistekijät!C15</f>
        <v>548910</v>
      </c>
      <c r="D36" s="313">
        <f>Tarvekertoimet!G15</f>
        <v>0.99960341624850524</v>
      </c>
      <c r="E36" s="313">
        <f>Tarvekertoimet!H15</f>
        <v>0.94752462881069477</v>
      </c>
      <c r="F36" s="313">
        <f>Tarvekertoimet!I15</f>
        <v>0.95055526740879859</v>
      </c>
      <c r="G36" s="257">
        <f>Määräytymistekijät!F15</f>
        <v>42804</v>
      </c>
      <c r="H36" s="257">
        <f>Määräytymistekijät!D15</f>
        <v>0</v>
      </c>
      <c r="I36" s="258">
        <f>Määräytymistekijät!I15</f>
        <v>0.44857910177514942</v>
      </c>
      <c r="J36" s="311">
        <f>Määräytymistekijät!L15</f>
        <v>0</v>
      </c>
      <c r="K36" s="317">
        <f>Määräytymistekijät!J15</f>
        <v>0</v>
      </c>
      <c r="L36" s="315">
        <f>'Hyte-kerroin'!G15</f>
        <v>1.0042171992739521</v>
      </c>
      <c r="M36" s="317">
        <f>Määräytymistekijät!E15</f>
        <v>0</v>
      </c>
      <c r="N36" s="319">
        <f>C36</f>
        <v>548910</v>
      </c>
    </row>
    <row r="37" spans="1:14" ht="15" x14ac:dyDescent="0.2">
      <c r="A37" s="256">
        <v>7</v>
      </c>
      <c r="B37" s="256" t="s">
        <v>21</v>
      </c>
      <c r="C37" s="248">
        <f>Määräytymistekijät!C16</f>
        <v>204522</v>
      </c>
      <c r="D37" s="313">
        <f>Tarvekertoimet!G16</f>
        <v>1.0627785914144268</v>
      </c>
      <c r="E37" s="313">
        <f>Tarvekertoimet!H16</f>
        <v>1.1476817948391898</v>
      </c>
      <c r="F37" s="313">
        <f>Tarvekertoimet!I16</f>
        <v>1.0473952341738892</v>
      </c>
      <c r="G37" s="257">
        <f>Määräytymistekijät!F16</f>
        <v>17148</v>
      </c>
      <c r="H37" s="257">
        <f>Määräytymistekijät!D16</f>
        <v>0</v>
      </c>
      <c r="I37" s="258">
        <f>Määräytymistekijät!I16</f>
        <v>0.51936989835124947</v>
      </c>
      <c r="J37" s="311">
        <f>Määräytymistekijät!L16</f>
        <v>0</v>
      </c>
      <c r="K37" s="317">
        <f>Määräytymistekijät!J16</f>
        <v>0</v>
      </c>
      <c r="L37" s="315">
        <f>'Hyte-kerroin'!G16</f>
        <v>1.147667262733137</v>
      </c>
      <c r="M37" s="317">
        <f>Määräytymistekijät!E16</f>
        <v>0</v>
      </c>
      <c r="N37" s="319"/>
    </row>
    <row r="38" spans="1:14" ht="15" x14ac:dyDescent="0.2">
      <c r="A38" s="256">
        <v>8</v>
      </c>
      <c r="B38" s="256" t="s">
        <v>22</v>
      </c>
      <c r="C38" s="248">
        <f>Määräytymistekijät!C17</f>
        <v>156198</v>
      </c>
      <c r="D38" s="313">
        <f>Tarvekertoimet!G17</f>
        <v>1.1037792797068029</v>
      </c>
      <c r="E38" s="313">
        <f>Tarvekertoimet!H17</f>
        <v>1.3861286557726267</v>
      </c>
      <c r="F38" s="313">
        <f>Tarvekertoimet!I17</f>
        <v>1.1501455175669679</v>
      </c>
      <c r="G38" s="257">
        <f>Määräytymistekijät!F17</f>
        <v>12993</v>
      </c>
      <c r="H38" s="257">
        <f>Määräytymistekijät!D17</f>
        <v>1135</v>
      </c>
      <c r="I38" s="258">
        <f>Määräytymistekijät!I17</f>
        <v>0.54270208653079688</v>
      </c>
      <c r="J38" s="311">
        <f>Määräytymistekijät!L17</f>
        <v>0</v>
      </c>
      <c r="K38" s="317">
        <f>Määräytymistekijät!J17</f>
        <v>0</v>
      </c>
      <c r="L38" s="315">
        <f>'Hyte-kerroin'!G17</f>
        <v>0.90077072502530597</v>
      </c>
      <c r="M38" s="317">
        <f>Määräytymistekijät!E17</f>
        <v>0</v>
      </c>
      <c r="N38" s="319"/>
    </row>
    <row r="39" spans="1:14" ht="15" x14ac:dyDescent="0.2">
      <c r="A39" s="256">
        <v>9</v>
      </c>
      <c r="B39" s="256" t="s">
        <v>23</v>
      </c>
      <c r="C39" s="248">
        <f>Määräytymistekijät!C18</f>
        <v>124238</v>
      </c>
      <c r="D39" s="313">
        <f>Tarvekertoimet!G18</f>
        <v>0.98380934902301442</v>
      </c>
      <c r="E39" s="313">
        <f>Tarvekertoimet!H18</f>
        <v>1.1465551751183534</v>
      </c>
      <c r="F39" s="313">
        <f>Tarvekertoimet!I18</f>
        <v>0.94096481750552508</v>
      </c>
      <c r="G39" s="257">
        <f>Määräytymistekijät!F18</f>
        <v>12380</v>
      </c>
      <c r="H39" s="257">
        <f>Määräytymistekijät!D18</f>
        <v>0</v>
      </c>
      <c r="I39" s="258">
        <f>Määräytymistekijät!I18</f>
        <v>0.79698835849893324</v>
      </c>
      <c r="J39" s="311">
        <f>Määräytymistekijät!L18</f>
        <v>0</v>
      </c>
      <c r="K39" s="317">
        <f>Määräytymistekijät!J18</f>
        <v>0</v>
      </c>
      <c r="L39" s="315">
        <f>'Hyte-kerroin'!G18</f>
        <v>0.94102659367756014</v>
      </c>
      <c r="M39" s="317">
        <f>Määräytymistekijät!E18</f>
        <v>0</v>
      </c>
      <c r="N39" s="319"/>
    </row>
    <row r="40" spans="1:14" ht="15" x14ac:dyDescent="0.2">
      <c r="A40" s="256">
        <v>10</v>
      </c>
      <c r="B40" s="256" t="s">
        <v>24</v>
      </c>
      <c r="C40" s="248">
        <f>Määräytymistekijät!C19</f>
        <v>128144</v>
      </c>
      <c r="D40" s="313">
        <f>Tarvekertoimet!G19</f>
        <v>1.1772685317788616</v>
      </c>
      <c r="E40" s="313">
        <f>Tarvekertoimet!H19</f>
        <v>1.4935346553121069</v>
      </c>
      <c r="F40" s="313">
        <f>Tarvekertoimet!I19</f>
        <v>1.2002466065560593</v>
      </c>
      <c r="G40" s="257">
        <f>Määräytymistekijät!F19</f>
        <v>8215</v>
      </c>
      <c r="H40" s="257">
        <f>Määräytymistekijät!D19</f>
        <v>0</v>
      </c>
      <c r="I40" s="258">
        <f>Määräytymistekijät!I19</f>
        <v>1.8350349986578471</v>
      </c>
      <c r="J40" s="311">
        <f>Määräytymistekijät!L19</f>
        <v>0.77647660496256843</v>
      </c>
      <c r="K40" s="317">
        <f>Määräytymistekijät!J19</f>
        <v>10576</v>
      </c>
      <c r="L40" s="315">
        <f>'Hyte-kerroin'!G19</f>
        <v>1.5955135745725177</v>
      </c>
      <c r="M40" s="317">
        <f>Määräytymistekijät!E19</f>
        <v>0</v>
      </c>
      <c r="N40" s="319"/>
    </row>
    <row r="41" spans="1:14" ht="15" x14ac:dyDescent="0.2">
      <c r="A41" s="256">
        <v>11</v>
      </c>
      <c r="B41" s="256" t="s">
        <v>25</v>
      </c>
      <c r="C41" s="248">
        <f>Määräytymistekijät!C20</f>
        <v>248512</v>
      </c>
      <c r="D41" s="313">
        <f>Tarvekertoimet!G20</f>
        <v>1.0818561985625386</v>
      </c>
      <c r="E41" s="313">
        <f>Tarvekertoimet!H20</f>
        <v>1.1702792519752223</v>
      </c>
      <c r="F41" s="313">
        <f>Tarvekertoimet!I20</f>
        <v>1.1897489009301807</v>
      </c>
      <c r="G41" s="257">
        <f>Määräytymistekijät!F20</f>
        <v>14189</v>
      </c>
      <c r="H41" s="257">
        <f>Määräytymistekijät!D20</f>
        <v>0</v>
      </c>
      <c r="I41" s="258">
        <f>Määräytymistekijät!I20</f>
        <v>1.2972118831903636</v>
      </c>
      <c r="J41" s="311">
        <f>Määräytymistekijät!L20</f>
        <v>0</v>
      </c>
      <c r="K41" s="317">
        <f>Määräytymistekijät!J20</f>
        <v>0</v>
      </c>
      <c r="L41" s="315">
        <f>'Hyte-kerroin'!G20</f>
        <v>1.161550224412081</v>
      </c>
      <c r="M41" s="317">
        <f>Määräytymistekijät!E20</f>
        <v>0</v>
      </c>
      <c r="N41" s="319">
        <f>C41</f>
        <v>248512</v>
      </c>
    </row>
    <row r="42" spans="1:14" ht="15" x14ac:dyDescent="0.2">
      <c r="A42" s="256">
        <v>12</v>
      </c>
      <c r="B42" s="256" t="s">
        <v>26</v>
      </c>
      <c r="C42" s="248">
        <f>Määräytymistekijät!C21</f>
        <v>161418</v>
      </c>
      <c r="D42" s="313">
        <f>Tarvekertoimet!G21</f>
        <v>1.2044206830253599</v>
      </c>
      <c r="E42" s="313">
        <f>Tarvekertoimet!H21</f>
        <v>1.3296888840108321</v>
      </c>
      <c r="F42" s="313">
        <f>Tarvekertoimet!I21</f>
        <v>1.2736665918176007</v>
      </c>
      <c r="G42" s="257">
        <f>Määräytymistekijät!F21</f>
        <v>11474</v>
      </c>
      <c r="H42" s="257">
        <f>Määräytymistekijät!D21</f>
        <v>0</v>
      </c>
      <c r="I42" s="258">
        <f>Määräytymistekijät!I21</f>
        <v>2.1638491931575401</v>
      </c>
      <c r="J42" s="311">
        <f>Määräytymistekijät!L21</f>
        <v>0</v>
      </c>
      <c r="K42" s="317">
        <f>Määräytymistekijät!J21</f>
        <v>0</v>
      </c>
      <c r="L42" s="315">
        <f>'Hyte-kerroin'!G21</f>
        <v>0.8957731278216976</v>
      </c>
      <c r="M42" s="317">
        <f>Määräytymistekijät!E21</f>
        <v>0</v>
      </c>
      <c r="N42" s="319"/>
    </row>
    <row r="43" spans="1:14" ht="15" x14ac:dyDescent="0.2">
      <c r="A43" s="256">
        <v>13</v>
      </c>
      <c r="B43" s="256" t="s">
        <v>27</v>
      </c>
      <c r="C43" s="248">
        <f>Määräytymistekijät!C22</f>
        <v>273731</v>
      </c>
      <c r="D43" s="313">
        <f>Tarvekertoimet!G22</f>
        <v>0.97169389759149127</v>
      </c>
      <c r="E43" s="313">
        <f>Tarvekertoimet!H22</f>
        <v>1.0225619812548286</v>
      </c>
      <c r="F43" s="313">
        <f>Tarvekertoimet!I22</f>
        <v>1.0312598629269687</v>
      </c>
      <c r="G43" s="257">
        <f>Määräytymistekijät!F22</f>
        <v>15969</v>
      </c>
      <c r="H43" s="257">
        <f>Määräytymistekijät!D22</f>
        <v>0</v>
      </c>
      <c r="I43" s="258">
        <f>Määräytymistekijät!I22</f>
        <v>1.0891952545317907</v>
      </c>
      <c r="J43" s="311">
        <f>Määräytymistekijät!L22</f>
        <v>0</v>
      </c>
      <c r="K43" s="317">
        <f>Määräytymistekijät!J22</f>
        <v>0</v>
      </c>
      <c r="L43" s="315">
        <f>'Hyte-kerroin'!G22</f>
        <v>1.1350710273159053</v>
      </c>
      <c r="M43" s="317">
        <f>Määräytymistekijät!E22</f>
        <v>0</v>
      </c>
      <c r="N43" s="319"/>
    </row>
    <row r="44" spans="1:14" ht="15" x14ac:dyDescent="0.2">
      <c r="A44" s="256">
        <v>14</v>
      </c>
      <c r="B44" s="256" t="s">
        <v>28</v>
      </c>
      <c r="C44" s="248">
        <f>Määräytymistekijät!C23</f>
        <v>189474</v>
      </c>
      <c r="D44" s="313">
        <f>Tarvekertoimet!G23</f>
        <v>1.1248399310610424</v>
      </c>
      <c r="E44" s="313">
        <f>Tarvekertoimet!H23</f>
        <v>1.2825590770224837</v>
      </c>
      <c r="F44" s="313">
        <f>Tarvekertoimet!I23</f>
        <v>1.1298935579079088</v>
      </c>
      <c r="G44" s="257">
        <f>Määräytymistekijät!F23</f>
        <v>9081</v>
      </c>
      <c r="H44" s="257">
        <f>Määräytymistekijät!D23</f>
        <v>0</v>
      </c>
      <c r="I44" s="258">
        <f>Määräytymistekijät!I23</f>
        <v>1.3534079167971351</v>
      </c>
      <c r="J44" s="311">
        <f>Määräytymistekijät!L23</f>
        <v>0</v>
      </c>
      <c r="K44" s="317">
        <f>Määräytymistekijät!J23</f>
        <v>0</v>
      </c>
      <c r="L44" s="315">
        <f>'Hyte-kerroin'!G23</f>
        <v>1.103289606942256</v>
      </c>
      <c r="M44" s="317">
        <f>Määräytymistekijät!E23</f>
        <v>0</v>
      </c>
      <c r="N44" s="319"/>
    </row>
    <row r="45" spans="1:14" ht="15" x14ac:dyDescent="0.2">
      <c r="A45" s="256">
        <v>15</v>
      </c>
      <c r="B45" s="256" t="s">
        <v>29</v>
      </c>
      <c r="C45" s="248">
        <f>Määräytymistekijät!C24</f>
        <v>179555</v>
      </c>
      <c r="D45" s="313">
        <f>Tarvekertoimet!G24</f>
        <v>0.96062330794961392</v>
      </c>
      <c r="E45" s="313">
        <f>Tarvekertoimet!H24</f>
        <v>0.95050553157808682</v>
      </c>
      <c r="F45" s="313">
        <f>Tarvekertoimet!I24</f>
        <v>0.83630963188546736</v>
      </c>
      <c r="G45" s="257">
        <f>Määräytymistekijät!F24</f>
        <v>20561</v>
      </c>
      <c r="H45" s="257">
        <f>Määräytymistekijät!D24</f>
        <v>88238</v>
      </c>
      <c r="I45" s="258">
        <f>Määräytymistekijät!I24</f>
        <v>0.76625471224377661</v>
      </c>
      <c r="J45" s="311">
        <f>Määräytymistekijät!L24</f>
        <v>0.90958688009900879</v>
      </c>
      <c r="K45" s="317">
        <f>Määräytymistekijät!J24</f>
        <v>11446</v>
      </c>
      <c r="L45" s="315">
        <f>'Hyte-kerroin'!G24</f>
        <v>0.99567224490402895</v>
      </c>
      <c r="M45" s="317">
        <f>Määräytymistekijät!E24</f>
        <v>0</v>
      </c>
      <c r="N45" s="319"/>
    </row>
    <row r="46" spans="1:14" ht="15" x14ac:dyDescent="0.2">
      <c r="A46" s="256">
        <v>16</v>
      </c>
      <c r="B46" s="256" t="s">
        <v>30</v>
      </c>
      <c r="C46" s="248">
        <f>Määräytymistekijät!C25</f>
        <v>67498</v>
      </c>
      <c r="D46" s="313">
        <f>Tarvekertoimet!G25</f>
        <v>1.061830046606479</v>
      </c>
      <c r="E46" s="313">
        <f>Tarvekertoimet!H25</f>
        <v>1.1414595020575078</v>
      </c>
      <c r="F46" s="313">
        <f>Tarvekertoimet!I25</f>
        <v>1.1718049398716575</v>
      </c>
      <c r="G46" s="257">
        <f>Määräytymistekijät!F25</f>
        <v>3590</v>
      </c>
      <c r="H46" s="257">
        <f>Määräytymistekijät!D25</f>
        <v>5807</v>
      </c>
      <c r="I46" s="258">
        <f>Määräytymistekijät!I25</f>
        <v>1.3825580117551628</v>
      </c>
      <c r="J46" s="311">
        <f>Määräytymistekijät!L25</f>
        <v>0</v>
      </c>
      <c r="K46" s="317">
        <f>Määräytymistekijät!J25</f>
        <v>0</v>
      </c>
      <c r="L46" s="315">
        <f>'Hyte-kerroin'!G25</f>
        <v>1.0649817556801275</v>
      </c>
      <c r="M46" s="317">
        <f>Määräytymistekijät!E25</f>
        <v>0</v>
      </c>
      <c r="N46" s="319"/>
    </row>
    <row r="47" spans="1:14" ht="15" x14ac:dyDescent="0.2">
      <c r="A47" s="256">
        <v>17</v>
      </c>
      <c r="B47" s="256" t="s">
        <v>31</v>
      </c>
      <c r="C47" s="248">
        <f>Määräytymistekijät!C26</f>
        <v>417939</v>
      </c>
      <c r="D47" s="313">
        <f>Tarvekertoimet!G26</f>
        <v>0.98262825970692924</v>
      </c>
      <c r="E47" s="313">
        <f>Tarvekertoimet!H26</f>
        <v>0.98766235517256873</v>
      </c>
      <c r="F47" s="313">
        <f>Tarvekertoimet!I26</f>
        <v>1.198308359047755</v>
      </c>
      <c r="G47" s="257">
        <f>Määräytymistekijät!F26</f>
        <v>20527</v>
      </c>
      <c r="H47" s="257">
        <f>Määräytymistekijät!D26</f>
        <v>0</v>
      </c>
      <c r="I47" s="258">
        <f>Määräytymistekijät!I26</f>
        <v>1.6378836107256445</v>
      </c>
      <c r="J47" s="311">
        <f>Määräytymistekijät!L26</f>
        <v>0</v>
      </c>
      <c r="K47" s="317">
        <f>Määräytymistekijät!J26</f>
        <v>0</v>
      </c>
      <c r="L47" s="315">
        <f>'Hyte-kerroin'!G26</f>
        <v>0.85793346616986066</v>
      </c>
      <c r="M47" s="317">
        <f>Määräytymistekijät!E26</f>
        <v>0</v>
      </c>
      <c r="N47" s="319">
        <f>C47</f>
        <v>417939</v>
      </c>
    </row>
    <row r="48" spans="1:14" ht="15" x14ac:dyDescent="0.2">
      <c r="A48" s="256">
        <v>18</v>
      </c>
      <c r="B48" s="256" t="s">
        <v>32</v>
      </c>
      <c r="C48" s="248">
        <f>Määräytymistekijät!C27</f>
        <v>69193</v>
      </c>
      <c r="D48" s="313">
        <f>Tarvekertoimet!G27</f>
        <v>1.1343070000209008</v>
      </c>
      <c r="E48" s="313">
        <f>Tarvekertoimet!H27</f>
        <v>1.4129620074186038</v>
      </c>
      <c r="F48" s="313">
        <f>Tarvekertoimet!I27</f>
        <v>1.2646333646473455</v>
      </c>
      <c r="G48" s="257">
        <f>Määräytymistekijät!F27</f>
        <v>4521</v>
      </c>
      <c r="H48" s="257">
        <f>Määräytymistekijät!D27</f>
        <v>0</v>
      </c>
      <c r="I48" s="258">
        <f>Määräytymistekijät!I27</f>
        <v>5.4254137434563754</v>
      </c>
      <c r="J48" s="311">
        <f>Määräytymistekijät!L27</f>
        <v>0</v>
      </c>
      <c r="K48" s="317">
        <f>Määräytymistekijät!J27</f>
        <v>0</v>
      </c>
      <c r="L48" s="315">
        <f>'Hyte-kerroin'!G27</f>
        <v>1.378306010841696</v>
      </c>
      <c r="M48" s="317">
        <f>Määräytymistekijät!E27</f>
        <v>0</v>
      </c>
      <c r="N48" s="319"/>
    </row>
    <row r="49" spans="1:14" ht="15" x14ac:dyDescent="0.2">
      <c r="A49" s="256">
        <v>19</v>
      </c>
      <c r="B49" s="256" t="s">
        <v>33</v>
      </c>
      <c r="C49" s="248">
        <f>Määräytymistekijät!C28</f>
        <v>176215</v>
      </c>
      <c r="D49" s="313">
        <f>Tarvekertoimet!G28</f>
        <v>1.1080803971339876</v>
      </c>
      <c r="E49" s="313">
        <f>Tarvekertoimet!H28</f>
        <v>1.2373574485784651</v>
      </c>
      <c r="F49" s="313">
        <f>Tarvekertoimet!I28</f>
        <v>1.3444105575782264</v>
      </c>
      <c r="G49" s="257">
        <f>Määräytymistekijät!F28</f>
        <v>9164</v>
      </c>
      <c r="H49" s="257">
        <f>Määräytymistekijät!D28</f>
        <v>0</v>
      </c>
      <c r="I49" s="258">
        <f>Määräytymistekijät!I28</f>
        <v>9.7822741319353668</v>
      </c>
      <c r="J49" s="311">
        <f>Määräytymistekijät!L28</f>
        <v>0</v>
      </c>
      <c r="K49" s="317">
        <f>Määräytymistekijät!J28</f>
        <v>0</v>
      </c>
      <c r="L49" s="315">
        <f>'Hyte-kerroin'!G28</f>
        <v>1.1838053053119908</v>
      </c>
      <c r="M49" s="317">
        <f>Määräytymistekijät!E28</f>
        <v>1574</v>
      </c>
      <c r="N49" s="319"/>
    </row>
    <row r="50" spans="1:14" ht="15.75" x14ac:dyDescent="0.25">
      <c r="A50" s="256"/>
      <c r="B50" s="261" t="s">
        <v>34</v>
      </c>
      <c r="C50" s="188">
        <f>Määräytymistekijät!C29</f>
        <v>5622045</v>
      </c>
      <c r="D50" s="314">
        <f>Tarvekertoimet!G29</f>
        <v>1</v>
      </c>
      <c r="E50" s="314">
        <f>Tarvekertoimet!H29</f>
        <v>1</v>
      </c>
      <c r="F50" s="314">
        <f>Tarvekertoimet!I29</f>
        <v>1</v>
      </c>
      <c r="G50" s="188">
        <f>Määräytymistekijät!F29</f>
        <v>642955</v>
      </c>
      <c r="H50" s="188">
        <f>Määräytymistekijät!D29</f>
        <v>248440</v>
      </c>
      <c r="I50" s="259">
        <f>Määräytymistekijät!I29</f>
        <v>1</v>
      </c>
      <c r="J50" s="312">
        <f>Määräytymistekijät!L29</f>
        <v>1</v>
      </c>
      <c r="K50" s="318">
        <f>Määräytymistekijät!J29</f>
        <v>57434</v>
      </c>
      <c r="L50" s="320">
        <f>'Hyte-kerroin'!G29</f>
        <v>1</v>
      </c>
      <c r="M50" s="318">
        <f>Määräytymistekijät!E29</f>
        <v>1574</v>
      </c>
      <c r="N50" s="321">
        <f>SUM(N28:N49)</f>
        <v>3512790</v>
      </c>
    </row>
    <row r="51" spans="1:14" ht="15.75" x14ac:dyDescent="0.25">
      <c r="A51" s="15"/>
      <c r="B51" s="30"/>
      <c r="C51" s="36"/>
      <c r="D51" s="37"/>
      <c r="E51" s="30"/>
      <c r="F51" s="37"/>
      <c r="G51" s="36"/>
      <c r="H51" s="36"/>
      <c r="I51" s="38"/>
      <c r="J51" s="39"/>
      <c r="K51" s="38"/>
      <c r="L51" s="36"/>
      <c r="M51" s="36"/>
      <c r="N51" s="35"/>
    </row>
    <row r="52" spans="1:14" ht="16.5" x14ac:dyDescent="0.25">
      <c r="A52" s="189" t="s">
        <v>173</v>
      </c>
      <c r="B52" s="189"/>
      <c r="C52" s="189"/>
      <c r="D52" s="189"/>
      <c r="E52" s="189"/>
      <c r="F52" s="189"/>
      <c r="G52" s="189"/>
      <c r="H52" s="189"/>
      <c r="I52" s="189"/>
      <c r="J52" s="189"/>
      <c r="K52" s="189"/>
      <c r="L52" s="189"/>
      <c r="M52" s="189"/>
      <c r="N52" s="189"/>
    </row>
    <row r="53" spans="1:14" ht="25.5" customHeight="1" x14ac:dyDescent="0.25">
      <c r="A53" s="25" t="s">
        <v>6</v>
      </c>
      <c r="B53" s="22" t="s">
        <v>7</v>
      </c>
      <c r="C53" s="32" t="s">
        <v>135</v>
      </c>
      <c r="D53" s="398" t="s">
        <v>136</v>
      </c>
      <c r="E53" s="398" t="s">
        <v>137</v>
      </c>
      <c r="F53" s="33" t="s">
        <v>138</v>
      </c>
      <c r="G53" s="197" t="s">
        <v>139</v>
      </c>
      <c r="H53" s="198" t="s">
        <v>140</v>
      </c>
      <c r="I53" s="198" t="s">
        <v>12</v>
      </c>
      <c r="J53" s="198" t="s">
        <v>141</v>
      </c>
      <c r="K53" s="198" t="s">
        <v>142</v>
      </c>
      <c r="L53" s="199" t="s">
        <v>143</v>
      </c>
      <c r="M53" s="199" t="s">
        <v>156</v>
      </c>
      <c r="N53" s="200" t="s">
        <v>168</v>
      </c>
    </row>
    <row r="54" spans="1:14" ht="15.75" x14ac:dyDescent="0.25">
      <c r="A54" s="255">
        <v>31</v>
      </c>
      <c r="B54" s="256" t="s">
        <v>13</v>
      </c>
      <c r="C54" s="257">
        <f t="shared" ref="C54:C73" si="3">C28*$B$22</f>
        <v>437836686.85753667</v>
      </c>
      <c r="D54" s="257">
        <f t="shared" ref="D54:D73" si="4">D28*C28*$D$22</f>
        <v>1366570522.7268052</v>
      </c>
      <c r="E54" s="257">
        <f t="shared" ref="E54:E73" si="5">E28*C28*$E$22</f>
        <v>464766903.69727015</v>
      </c>
      <c r="F54" s="257">
        <f t="shared" ref="F54:F73" si="6">F28*C28*$F$22</f>
        <v>546166625.0057621</v>
      </c>
      <c r="G54" s="257">
        <f t="shared" ref="G54:G75" si="7">G28*$G$22</f>
        <v>123503637.56064998</v>
      </c>
      <c r="H54" s="257">
        <f t="shared" ref="H54:H75" si="8">H28*$H$22</f>
        <v>20214885.204063043</v>
      </c>
      <c r="I54" s="257">
        <f t="shared" ref="I54:I73" si="9">I28*C28*$I$22</f>
        <v>286535.03927994554</v>
      </c>
      <c r="J54" s="257">
        <f>K28*J28*$J$22</f>
        <v>0</v>
      </c>
      <c r="K54" s="257">
        <f t="shared" ref="K54:K75" si="10">C28*$K$22*L28</f>
        <v>49549976.854157612</v>
      </c>
      <c r="L54" s="257">
        <f t="shared" ref="L54:L75" si="11">M28*$L$22</f>
        <v>0</v>
      </c>
      <c r="M54" s="257">
        <f t="shared" ref="M54:M76" si="12">N28*$M$22</f>
        <v>29759418.007859156</v>
      </c>
      <c r="N54" s="188">
        <f t="shared" ref="N54:N77" si="13">SUM(C54:M54)</f>
        <v>3038655190.9533839</v>
      </c>
    </row>
    <row r="55" spans="1:14" ht="15.75" x14ac:dyDescent="0.25">
      <c r="A55" s="255">
        <v>32</v>
      </c>
      <c r="B55" s="256" t="s">
        <v>39</v>
      </c>
      <c r="C55" s="257">
        <f t="shared" si="3"/>
        <v>183940817.00270334</v>
      </c>
      <c r="D55" s="257">
        <f t="shared" si="4"/>
        <v>590831781.10287011</v>
      </c>
      <c r="E55" s="257">
        <f t="shared" si="5"/>
        <v>166392550.61935616</v>
      </c>
      <c r="F55" s="257">
        <f t="shared" si="6"/>
        <v>249206949.25711355</v>
      </c>
      <c r="G55" s="257">
        <f t="shared" si="7"/>
        <v>69264268.655947715</v>
      </c>
      <c r="H55" s="257">
        <f t="shared" si="8"/>
        <v>3095368.7777995807</v>
      </c>
      <c r="I55" s="257">
        <f t="shared" si="9"/>
        <v>359243.73947937245</v>
      </c>
      <c r="J55" s="257">
        <f t="shared" ref="J55:J75" si="14">K29*J29*$J$22</f>
        <v>0</v>
      </c>
      <c r="K55" s="257">
        <f t="shared" si="10"/>
        <v>15364784.475625006</v>
      </c>
      <c r="L55" s="257">
        <f t="shared" si="11"/>
        <v>0</v>
      </c>
      <c r="M55" s="257">
        <f t="shared" si="12"/>
        <v>12502313.822029483</v>
      </c>
      <c r="N55" s="188">
        <f t="shared" si="13"/>
        <v>1290958077.4529243</v>
      </c>
    </row>
    <row r="56" spans="1:14" ht="15.75" x14ac:dyDescent="0.25">
      <c r="A56" s="255">
        <v>33</v>
      </c>
      <c r="B56" s="256" t="s">
        <v>14</v>
      </c>
      <c r="C56" s="257">
        <f t="shared" si="3"/>
        <v>319288389.92130178</v>
      </c>
      <c r="D56" s="257">
        <f t="shared" si="4"/>
        <v>898105507.81361485</v>
      </c>
      <c r="E56" s="257">
        <f t="shared" si="5"/>
        <v>261274433.74526915</v>
      </c>
      <c r="F56" s="257">
        <f t="shared" si="6"/>
        <v>344787940.28955245</v>
      </c>
      <c r="G56" s="257">
        <f t="shared" si="7"/>
        <v>83915681.321636617</v>
      </c>
      <c r="H56" s="257">
        <f t="shared" si="8"/>
        <v>30240870.732994575</v>
      </c>
      <c r="I56" s="257">
        <f t="shared" si="9"/>
        <v>5680038.3781504948</v>
      </c>
      <c r="J56" s="257">
        <f t="shared" si="14"/>
        <v>565825.06864741107</v>
      </c>
      <c r="K56" s="257">
        <f t="shared" si="10"/>
        <v>35862379.511329003</v>
      </c>
      <c r="L56" s="257">
        <f t="shared" si="11"/>
        <v>0</v>
      </c>
      <c r="M56" s="257">
        <f t="shared" si="12"/>
        <v>21701782.755852189</v>
      </c>
      <c r="N56" s="188">
        <f t="shared" si="13"/>
        <v>2001422849.5383484</v>
      </c>
    </row>
    <row r="57" spans="1:14" ht="15.75" x14ac:dyDescent="0.25">
      <c r="A57" s="255">
        <v>34</v>
      </c>
      <c r="B57" s="256" t="s">
        <v>15</v>
      </c>
      <c r="C57" s="257">
        <f t="shared" si="3"/>
        <v>62790943.190619901</v>
      </c>
      <c r="D57" s="257">
        <f t="shared" si="4"/>
        <v>202152944.47913095</v>
      </c>
      <c r="E57" s="257">
        <f t="shared" si="5"/>
        <v>73325104.359153211</v>
      </c>
      <c r="F57" s="257">
        <f t="shared" si="6"/>
        <v>74213882.941571653</v>
      </c>
      <c r="G57" s="257">
        <f t="shared" si="7"/>
        <v>6898624.6879255399</v>
      </c>
      <c r="H57" s="257">
        <f t="shared" si="8"/>
        <v>14503688.955883086</v>
      </c>
      <c r="I57" s="257">
        <f t="shared" si="9"/>
        <v>3610264.0458068089</v>
      </c>
      <c r="J57" s="257">
        <f t="shared" si="14"/>
        <v>1826928.828655794</v>
      </c>
      <c r="K57" s="257">
        <f t="shared" si="10"/>
        <v>8208482.0093435058</v>
      </c>
      <c r="L57" s="257">
        <f t="shared" si="11"/>
        <v>0</v>
      </c>
      <c r="M57" s="257">
        <f t="shared" si="12"/>
        <v>4267851.4195074914</v>
      </c>
      <c r="N57" s="188">
        <f t="shared" si="13"/>
        <v>451798714.91759795</v>
      </c>
    </row>
    <row r="58" spans="1:14" ht="15.75" x14ac:dyDescent="0.25">
      <c r="A58" s="255">
        <v>35</v>
      </c>
      <c r="B58" s="256" t="s">
        <v>16</v>
      </c>
      <c r="C58" s="257">
        <f t="shared" si="3"/>
        <v>130867639.88347878</v>
      </c>
      <c r="D58" s="257">
        <f t="shared" si="4"/>
        <v>407028133.64482361</v>
      </c>
      <c r="E58" s="257">
        <f t="shared" si="5"/>
        <v>125393762.37266947</v>
      </c>
      <c r="F58" s="257">
        <f t="shared" si="6"/>
        <v>160300070.17123887</v>
      </c>
      <c r="G58" s="257">
        <f t="shared" si="7"/>
        <v>14991403.151643969</v>
      </c>
      <c r="H58" s="257">
        <f t="shared" si="8"/>
        <v>0</v>
      </c>
      <c r="I58" s="257">
        <f t="shared" si="9"/>
        <v>2229626.6464093146</v>
      </c>
      <c r="J58" s="257">
        <f t="shared" si="14"/>
        <v>0</v>
      </c>
      <c r="K58" s="257">
        <f t="shared" si="10"/>
        <v>11906748.096050553</v>
      </c>
      <c r="L58" s="257">
        <f t="shared" si="11"/>
        <v>0</v>
      </c>
      <c r="M58" s="257">
        <f t="shared" si="12"/>
        <v>8894971.38064548</v>
      </c>
      <c r="N58" s="188">
        <f t="shared" si="13"/>
        <v>861612355.34696007</v>
      </c>
    </row>
    <row r="59" spans="1:14" ht="15.75" x14ac:dyDescent="0.25">
      <c r="A59" s="256">
        <v>2</v>
      </c>
      <c r="B59" s="256" t="s">
        <v>17</v>
      </c>
      <c r="C59" s="257">
        <f t="shared" si="3"/>
        <v>313879052.05947328</v>
      </c>
      <c r="D59" s="257">
        <f t="shared" si="4"/>
        <v>1094493714.192359</v>
      </c>
      <c r="E59" s="257">
        <f t="shared" si="5"/>
        <v>434764646.07192898</v>
      </c>
      <c r="F59" s="257">
        <f t="shared" si="6"/>
        <v>471574506.0567016</v>
      </c>
      <c r="G59" s="257">
        <f t="shared" si="7"/>
        <v>49252562.639031395</v>
      </c>
      <c r="H59" s="257">
        <f t="shared" si="8"/>
        <v>14896090.138590673</v>
      </c>
      <c r="I59" s="257">
        <f t="shared" si="9"/>
        <v>14257435.00114416</v>
      </c>
      <c r="J59" s="257">
        <f t="shared" si="14"/>
        <v>18215864.664844774</v>
      </c>
      <c r="K59" s="257">
        <f t="shared" si="10"/>
        <v>28744502.768405717</v>
      </c>
      <c r="L59" s="257">
        <f t="shared" si="11"/>
        <v>0</v>
      </c>
      <c r="M59" s="257">
        <f t="shared" si="12"/>
        <v>21334114.281720251</v>
      </c>
      <c r="N59" s="188">
        <f t="shared" si="13"/>
        <v>2461412487.8741999</v>
      </c>
    </row>
    <row r="60" spans="1:14" ht="15.75" x14ac:dyDescent="0.25">
      <c r="A60" s="256">
        <v>4</v>
      </c>
      <c r="B60" s="256" t="s">
        <v>18</v>
      </c>
      <c r="C60" s="257">
        <f t="shared" si="3"/>
        <v>132482433.47995189</v>
      </c>
      <c r="D60" s="257">
        <f t="shared" si="4"/>
        <v>455778350.3900767</v>
      </c>
      <c r="E60" s="257">
        <f t="shared" si="5"/>
        <v>197196688.13120514</v>
      </c>
      <c r="F60" s="257">
        <f t="shared" si="6"/>
        <v>210502935.77022079</v>
      </c>
      <c r="G60" s="257">
        <f t="shared" si="7"/>
        <v>11124220.727652691</v>
      </c>
      <c r="H60" s="257">
        <f t="shared" si="8"/>
        <v>0</v>
      </c>
      <c r="I60" s="257">
        <f t="shared" si="9"/>
        <v>10447873.003000081</v>
      </c>
      <c r="J60" s="257">
        <f t="shared" si="14"/>
        <v>0</v>
      </c>
      <c r="K60" s="257">
        <f t="shared" si="10"/>
        <v>14628309.83546244</v>
      </c>
      <c r="L60" s="257">
        <f t="shared" si="11"/>
        <v>0</v>
      </c>
      <c r="M60" s="257">
        <f t="shared" si="12"/>
        <v>0</v>
      </c>
      <c r="N60" s="188">
        <f t="shared" si="13"/>
        <v>1032160811.3375698</v>
      </c>
    </row>
    <row r="61" spans="1:14" ht="15.75" x14ac:dyDescent="0.25">
      <c r="A61" s="256">
        <v>5</v>
      </c>
      <c r="B61" s="256" t="s">
        <v>19</v>
      </c>
      <c r="C61" s="257">
        <f t="shared" si="3"/>
        <v>106532870.62838976</v>
      </c>
      <c r="D61" s="257">
        <f t="shared" si="4"/>
        <v>369089081.45058739</v>
      </c>
      <c r="E61" s="257">
        <f t="shared" si="5"/>
        <v>149216253.72775048</v>
      </c>
      <c r="F61" s="257">
        <f t="shared" si="6"/>
        <v>157275023.28042901</v>
      </c>
      <c r="G61" s="257">
        <f t="shared" si="7"/>
        <v>9796080.5534538683</v>
      </c>
      <c r="H61" s="257">
        <f t="shared" si="8"/>
        <v>0</v>
      </c>
      <c r="I61" s="257">
        <f t="shared" si="9"/>
        <v>6943861.1385499006</v>
      </c>
      <c r="J61" s="257">
        <f t="shared" si="14"/>
        <v>0</v>
      </c>
      <c r="K61" s="257">
        <f t="shared" si="10"/>
        <v>16297825.144560883</v>
      </c>
      <c r="L61" s="257">
        <f t="shared" si="11"/>
        <v>0</v>
      </c>
      <c r="M61" s="257">
        <f t="shared" si="12"/>
        <v>0</v>
      </c>
      <c r="N61" s="188">
        <f t="shared" si="13"/>
        <v>815150995.92372143</v>
      </c>
    </row>
    <row r="62" spans="1:14" ht="15.75" x14ac:dyDescent="0.25">
      <c r="A62" s="256">
        <v>6</v>
      </c>
      <c r="B62" s="256" t="s">
        <v>20</v>
      </c>
      <c r="C62" s="257">
        <f t="shared" si="3"/>
        <v>346105565.41977799</v>
      </c>
      <c r="D62" s="257">
        <f t="shared" si="4"/>
        <v>1163278567.4014907</v>
      </c>
      <c r="E62" s="257">
        <f t="shared" si="5"/>
        <v>421164884.42160505</v>
      </c>
      <c r="F62" s="257">
        <f t="shared" si="6"/>
        <v>484653651.35330933</v>
      </c>
      <c r="G62" s="257">
        <f t="shared" si="7"/>
        <v>35844711.233547561</v>
      </c>
      <c r="H62" s="257">
        <f t="shared" si="8"/>
        <v>0</v>
      </c>
      <c r="I62" s="257">
        <f t="shared" si="9"/>
        <v>17692023.076368108</v>
      </c>
      <c r="J62" s="257">
        <f t="shared" si="14"/>
        <v>0</v>
      </c>
      <c r="K62" s="257">
        <f t="shared" si="10"/>
        <v>39688018.775484979</v>
      </c>
      <c r="L62" s="257">
        <f t="shared" si="11"/>
        <v>0</v>
      </c>
      <c r="M62" s="257">
        <f t="shared" si="12"/>
        <v>23524525.251866337</v>
      </c>
      <c r="N62" s="188">
        <f t="shared" si="13"/>
        <v>2531951946.9334502</v>
      </c>
    </row>
    <row r="63" spans="1:14" ht="15.75" x14ac:dyDescent="0.25">
      <c r="A63" s="256">
        <v>7</v>
      </c>
      <c r="B63" s="256" t="s">
        <v>21</v>
      </c>
      <c r="C63" s="257">
        <f t="shared" si="3"/>
        <v>128957757.10186338</v>
      </c>
      <c r="D63" s="257">
        <f t="shared" si="4"/>
        <v>460826749.46216637</v>
      </c>
      <c r="E63" s="257">
        <f t="shared" si="5"/>
        <v>190073699.32881972</v>
      </c>
      <c r="F63" s="257">
        <f t="shared" si="6"/>
        <v>198977329.52617136</v>
      </c>
      <c r="G63" s="257">
        <f t="shared" si="7"/>
        <v>14359992.249156004</v>
      </c>
      <c r="H63" s="257">
        <f t="shared" si="8"/>
        <v>0</v>
      </c>
      <c r="I63" s="257">
        <f t="shared" si="9"/>
        <v>7632276.9934775876</v>
      </c>
      <c r="J63" s="257">
        <f t="shared" si="14"/>
        <v>0</v>
      </c>
      <c r="K63" s="257">
        <f t="shared" si="10"/>
        <v>16899997.716988284</v>
      </c>
      <c r="L63" s="257">
        <f t="shared" si="11"/>
        <v>0</v>
      </c>
      <c r="M63" s="257">
        <f t="shared" si="12"/>
        <v>0</v>
      </c>
      <c r="N63" s="188">
        <f t="shared" si="13"/>
        <v>1017727802.3786427</v>
      </c>
    </row>
    <row r="64" spans="1:14" ht="15.75" x14ac:dyDescent="0.25">
      <c r="A64" s="256">
        <v>8</v>
      </c>
      <c r="B64" s="256" t="s">
        <v>22</v>
      </c>
      <c r="C64" s="257">
        <f t="shared" si="3"/>
        <v>98487907.138580963</v>
      </c>
      <c r="D64" s="257">
        <f t="shared" si="4"/>
        <v>365521189.21802801</v>
      </c>
      <c r="E64" s="257">
        <f t="shared" si="5"/>
        <v>175323250.65306523</v>
      </c>
      <c r="F64" s="257">
        <f t="shared" si="6"/>
        <v>166871140.20083514</v>
      </c>
      <c r="G64" s="257">
        <f t="shared" si="7"/>
        <v>10880532.965551898</v>
      </c>
      <c r="H64" s="257">
        <f t="shared" si="8"/>
        <v>614310.81706636201</v>
      </c>
      <c r="I64" s="257">
        <f t="shared" si="9"/>
        <v>6090799.1360631799</v>
      </c>
      <c r="J64" s="257">
        <f t="shared" si="14"/>
        <v>0</v>
      </c>
      <c r="K64" s="257">
        <f t="shared" si="10"/>
        <v>10130254.434346855</v>
      </c>
      <c r="L64" s="257">
        <f t="shared" si="11"/>
        <v>0</v>
      </c>
      <c r="M64" s="257">
        <f t="shared" si="12"/>
        <v>0</v>
      </c>
      <c r="N64" s="188">
        <f t="shared" si="13"/>
        <v>833919384.5635376</v>
      </c>
    </row>
    <row r="65" spans="1:14" ht="15.75" x14ac:dyDescent="0.25">
      <c r="A65" s="256">
        <v>9</v>
      </c>
      <c r="B65" s="256" t="s">
        <v>23</v>
      </c>
      <c r="C65" s="257">
        <f t="shared" si="3"/>
        <v>78336090.136128649</v>
      </c>
      <c r="D65" s="257">
        <f t="shared" si="4"/>
        <v>259131523.77164787</v>
      </c>
      <c r="E65" s="257">
        <f t="shared" si="5"/>
        <v>115347958.89067626</v>
      </c>
      <c r="F65" s="257">
        <f t="shared" si="6"/>
        <v>108587744.01122062</v>
      </c>
      <c r="G65" s="257">
        <f t="shared" si="7"/>
        <v>10367197.576659163</v>
      </c>
      <c r="H65" s="257">
        <f t="shared" si="8"/>
        <v>0</v>
      </c>
      <c r="I65" s="257">
        <f t="shared" si="9"/>
        <v>7114489.5630032113</v>
      </c>
      <c r="J65" s="257">
        <f t="shared" si="14"/>
        <v>0</v>
      </c>
      <c r="K65" s="257">
        <f t="shared" si="10"/>
        <v>8417574.5178328101</v>
      </c>
      <c r="L65" s="257">
        <f t="shared" si="11"/>
        <v>0</v>
      </c>
      <c r="M65" s="257">
        <f t="shared" si="12"/>
        <v>0</v>
      </c>
      <c r="N65" s="188">
        <f t="shared" si="13"/>
        <v>587302578.46716857</v>
      </c>
    </row>
    <row r="66" spans="1:14" ht="15.75" x14ac:dyDescent="0.25">
      <c r="A66" s="256">
        <v>10</v>
      </c>
      <c r="B66" s="256" t="s">
        <v>24</v>
      </c>
      <c r="C66" s="257">
        <f t="shared" si="3"/>
        <v>80798949.873662397</v>
      </c>
      <c r="D66" s="257">
        <f t="shared" si="4"/>
        <v>319836971.09279871</v>
      </c>
      <c r="E66" s="257">
        <f t="shared" si="5"/>
        <v>154979438.88958719</v>
      </c>
      <c r="F66" s="257">
        <f t="shared" si="6"/>
        <v>142863648.31837356</v>
      </c>
      <c r="G66" s="257">
        <f t="shared" si="7"/>
        <v>6879364.1431546863</v>
      </c>
      <c r="H66" s="257">
        <f t="shared" si="8"/>
        <v>0</v>
      </c>
      <c r="I66" s="257">
        <f t="shared" si="9"/>
        <v>16895846.117563587</v>
      </c>
      <c r="J66" s="257">
        <f t="shared" si="14"/>
        <v>4360592.6821049871</v>
      </c>
      <c r="K66" s="257">
        <f t="shared" si="10"/>
        <v>14720731.832375517</v>
      </c>
      <c r="L66" s="257">
        <f t="shared" si="11"/>
        <v>0</v>
      </c>
      <c r="M66" s="257">
        <f t="shared" si="12"/>
        <v>0</v>
      </c>
      <c r="N66" s="188">
        <f t="shared" si="13"/>
        <v>741335542.94962072</v>
      </c>
    </row>
    <row r="67" spans="1:14" ht="15.75" x14ac:dyDescent="0.25">
      <c r="A67" s="256">
        <v>11</v>
      </c>
      <c r="B67" s="256" t="s">
        <v>25</v>
      </c>
      <c r="C67" s="257">
        <f t="shared" si="3"/>
        <v>156694879.44034517</v>
      </c>
      <c r="D67" s="257">
        <f t="shared" si="4"/>
        <v>569995929.6249752</v>
      </c>
      <c r="E67" s="257">
        <f t="shared" si="5"/>
        <v>235503504.17229024</v>
      </c>
      <c r="F67" s="257">
        <f t="shared" si="6"/>
        <v>274634852.3579998</v>
      </c>
      <c r="G67" s="257">
        <f t="shared" si="7"/>
        <v>11882081.293636257</v>
      </c>
      <c r="H67" s="257">
        <f t="shared" si="8"/>
        <v>0</v>
      </c>
      <c r="I67" s="257">
        <f t="shared" si="9"/>
        <v>23163042.30222813</v>
      </c>
      <c r="J67" s="257">
        <f t="shared" si="14"/>
        <v>0</v>
      </c>
      <c r="K67" s="257">
        <f t="shared" si="10"/>
        <v>20783370.463973489</v>
      </c>
      <c r="L67" s="257">
        <f t="shared" si="11"/>
        <v>0</v>
      </c>
      <c r="M67" s="257">
        <f t="shared" si="12"/>
        <v>10650428.703051152</v>
      </c>
      <c r="N67" s="188">
        <f t="shared" si="13"/>
        <v>1303308088.3584995</v>
      </c>
    </row>
    <row r="68" spans="1:14" ht="15.75" x14ac:dyDescent="0.25">
      <c r="A68" s="256">
        <v>12</v>
      </c>
      <c r="B68" s="256" t="s">
        <v>26</v>
      </c>
      <c r="C68" s="257">
        <f t="shared" si="3"/>
        <v>101779286.51132193</v>
      </c>
      <c r="D68" s="257">
        <f t="shared" si="4"/>
        <v>412178200.6147933</v>
      </c>
      <c r="E68" s="257">
        <f t="shared" si="5"/>
        <v>173805095.15018842</v>
      </c>
      <c r="F68" s="257">
        <f t="shared" si="6"/>
        <v>190968040.95520398</v>
      </c>
      <c r="G68" s="257">
        <f t="shared" si="7"/>
        <v>9608499.5956855603</v>
      </c>
      <c r="H68" s="257">
        <f t="shared" si="8"/>
        <v>0</v>
      </c>
      <c r="I68" s="257">
        <f t="shared" si="9"/>
        <v>25096679.775337078</v>
      </c>
      <c r="J68" s="257">
        <f t="shared" si="14"/>
        <v>0</v>
      </c>
      <c r="K68" s="257">
        <f t="shared" si="10"/>
        <v>10410716.338298026</v>
      </c>
      <c r="L68" s="257">
        <f t="shared" si="11"/>
        <v>0</v>
      </c>
      <c r="M68" s="257">
        <f t="shared" si="12"/>
        <v>0</v>
      </c>
      <c r="N68" s="188">
        <f t="shared" si="13"/>
        <v>923846518.94082844</v>
      </c>
    </row>
    <row r="69" spans="1:14" ht="15.75" x14ac:dyDescent="0.25">
      <c r="A69" s="256">
        <v>13</v>
      </c>
      <c r="B69" s="256" t="s">
        <v>27</v>
      </c>
      <c r="C69" s="257">
        <f t="shared" si="3"/>
        <v>172596277.21834406</v>
      </c>
      <c r="D69" s="257">
        <f t="shared" si="4"/>
        <v>563908072.10488677</v>
      </c>
      <c r="E69" s="257">
        <f t="shared" si="5"/>
        <v>226659605.88451621</v>
      </c>
      <c r="F69" s="257">
        <f t="shared" si="6"/>
        <v>262207477.54310524</v>
      </c>
      <c r="G69" s="257">
        <f t="shared" si="7"/>
        <v>13372679.975902276</v>
      </c>
      <c r="H69" s="257">
        <f t="shared" si="8"/>
        <v>0</v>
      </c>
      <c r="I69" s="257">
        <f t="shared" si="9"/>
        <v>21422346.612256285</v>
      </c>
      <c r="J69" s="257">
        <f t="shared" si="14"/>
        <v>0</v>
      </c>
      <c r="K69" s="257">
        <f t="shared" si="10"/>
        <v>22370600.58788595</v>
      </c>
      <c r="L69" s="257">
        <f t="shared" si="11"/>
        <v>0</v>
      </c>
      <c r="M69" s="257">
        <f t="shared" si="12"/>
        <v>0</v>
      </c>
      <c r="N69" s="188">
        <f t="shared" si="13"/>
        <v>1282537059.9268968</v>
      </c>
    </row>
    <row r="70" spans="1:14" ht="15.75" x14ac:dyDescent="0.25">
      <c r="A70" s="256">
        <v>14</v>
      </c>
      <c r="B70" s="256" t="s">
        <v>28</v>
      </c>
      <c r="C70" s="257">
        <f t="shared" si="3"/>
        <v>119469504.84113427</v>
      </c>
      <c r="D70" s="257">
        <f t="shared" si="4"/>
        <v>451850951.18226856</v>
      </c>
      <c r="E70" s="257">
        <f t="shared" si="5"/>
        <v>196782967.69673023</v>
      </c>
      <c r="F70" s="257">
        <f t="shared" si="6"/>
        <v>198856654.91065234</v>
      </c>
      <c r="G70" s="257">
        <f t="shared" si="7"/>
        <v>7604565.5245268056</v>
      </c>
      <c r="H70" s="257">
        <f t="shared" si="8"/>
        <v>0</v>
      </c>
      <c r="I70" s="257">
        <f t="shared" si="9"/>
        <v>18425346.067892797</v>
      </c>
      <c r="J70" s="257">
        <f t="shared" si="14"/>
        <v>0</v>
      </c>
      <c r="K70" s="257">
        <f t="shared" si="10"/>
        <v>15051153.056781782</v>
      </c>
      <c r="L70" s="257">
        <f t="shared" si="11"/>
        <v>0</v>
      </c>
      <c r="M70" s="257">
        <f t="shared" si="12"/>
        <v>0</v>
      </c>
      <c r="N70" s="188">
        <f t="shared" si="13"/>
        <v>1008041143.2799869</v>
      </c>
    </row>
    <row r="71" spans="1:14" ht="15.75" x14ac:dyDescent="0.25">
      <c r="A71" s="256">
        <v>15</v>
      </c>
      <c r="B71" s="256" t="s">
        <v>29</v>
      </c>
      <c r="C71" s="257">
        <f t="shared" si="3"/>
        <v>113215253.50047955</v>
      </c>
      <c r="D71" s="257">
        <f t="shared" si="4"/>
        <v>365683592.82935256</v>
      </c>
      <c r="E71" s="257">
        <f t="shared" si="5"/>
        <v>138201467.78073481</v>
      </c>
      <c r="F71" s="257">
        <f t="shared" si="6"/>
        <v>139481810.30406201</v>
      </c>
      <c r="G71" s="257">
        <f t="shared" si="7"/>
        <v>17218089.610152587</v>
      </c>
      <c r="H71" s="257">
        <f t="shared" si="8"/>
        <v>47758200.772071935</v>
      </c>
      <c r="I71" s="257">
        <f t="shared" si="9"/>
        <v>9885712.5677942652</v>
      </c>
      <c r="J71" s="257">
        <f t="shared" si="14"/>
        <v>5528325.8521026615</v>
      </c>
      <c r="K71" s="257">
        <f t="shared" si="10"/>
        <v>12871955.381553458</v>
      </c>
      <c r="L71" s="257">
        <f t="shared" si="11"/>
        <v>0</v>
      </c>
      <c r="M71" s="257">
        <f t="shared" si="12"/>
        <v>0</v>
      </c>
      <c r="N71" s="188">
        <f t="shared" si="13"/>
        <v>849844408.59830379</v>
      </c>
    </row>
    <row r="72" spans="1:14" ht="15.75" x14ac:dyDescent="0.25">
      <c r="A72" s="256">
        <v>16</v>
      </c>
      <c r="B72" s="256" t="s">
        <v>30</v>
      </c>
      <c r="C72" s="257">
        <f t="shared" si="3"/>
        <v>42559679.099860035</v>
      </c>
      <c r="D72" s="257">
        <f t="shared" si="4"/>
        <v>151950021.95244026</v>
      </c>
      <c r="E72" s="257">
        <f t="shared" si="5"/>
        <v>62389559.024810866</v>
      </c>
      <c r="F72" s="257">
        <f t="shared" si="6"/>
        <v>73468166.675829142</v>
      </c>
      <c r="G72" s="257">
        <f t="shared" si="7"/>
        <v>3006319.8142331499</v>
      </c>
      <c r="H72" s="257">
        <f t="shared" si="8"/>
        <v>3142998.1627351223</v>
      </c>
      <c r="I72" s="257">
        <f t="shared" si="9"/>
        <v>6705197.667720817</v>
      </c>
      <c r="J72" s="257">
        <f t="shared" si="14"/>
        <v>0</v>
      </c>
      <c r="K72" s="257">
        <f t="shared" si="10"/>
        <v>5175635.6298243701</v>
      </c>
      <c r="L72" s="257">
        <f t="shared" si="11"/>
        <v>0</v>
      </c>
      <c r="M72" s="257">
        <f t="shared" si="12"/>
        <v>0</v>
      </c>
      <c r="N72" s="188">
        <f t="shared" si="13"/>
        <v>348397578.02745366</v>
      </c>
    </row>
    <row r="73" spans="1:14" ht="15.75" x14ac:dyDescent="0.25">
      <c r="A73" s="256">
        <v>17</v>
      </c>
      <c r="B73" s="256" t="s">
        <v>31</v>
      </c>
      <c r="C73" s="257">
        <f t="shared" si="3"/>
        <v>263524100.31877097</v>
      </c>
      <c r="D73" s="257">
        <f t="shared" si="4"/>
        <v>870676857.93192446</v>
      </c>
      <c r="E73" s="257">
        <f t="shared" si="5"/>
        <v>334258071.95953119</v>
      </c>
      <c r="F73" s="257">
        <f t="shared" si="6"/>
        <v>465194382.30076247</v>
      </c>
      <c r="G73" s="257">
        <f t="shared" si="7"/>
        <v>17189617.500491329</v>
      </c>
      <c r="H73" s="257">
        <f t="shared" si="8"/>
        <v>0</v>
      </c>
      <c r="I73" s="257">
        <f t="shared" si="9"/>
        <v>49185065.474758916</v>
      </c>
      <c r="J73" s="257">
        <f t="shared" si="14"/>
        <v>0</v>
      </c>
      <c r="K73" s="257">
        <f t="shared" si="10"/>
        <v>25816486.093374249</v>
      </c>
      <c r="L73" s="257">
        <f t="shared" si="11"/>
        <v>0</v>
      </c>
      <c r="M73" s="257">
        <f t="shared" si="12"/>
        <v>17911527.498569466</v>
      </c>
      <c r="N73" s="188">
        <f t="shared" si="13"/>
        <v>2043756109.0781829</v>
      </c>
    </row>
    <row r="74" spans="1:14" ht="15.75" x14ac:dyDescent="0.25">
      <c r="A74" s="256">
        <v>18</v>
      </c>
      <c r="B74" s="256" t="s">
        <v>32</v>
      </c>
      <c r="C74" s="257">
        <f t="shared" ref="C74:C75" si="15">C48*$B$22</f>
        <v>43628431.597330526</v>
      </c>
      <c r="D74" s="257">
        <f t="shared" ref="D74:D75" si="16">D48*C48*$D$22</f>
        <v>166397817.22815579</v>
      </c>
      <c r="E74" s="257">
        <f t="shared" ref="E74:E75" si="17">E48*C48*$E$22</f>
        <v>79168633.492194816</v>
      </c>
      <c r="F74" s="257">
        <f t="shared" ref="F74:F75" si="18">F48*C48*$F$22</f>
        <v>81279265.382733241</v>
      </c>
      <c r="G74" s="257">
        <f t="shared" si="7"/>
        <v>3785953.1699576797</v>
      </c>
      <c r="H74" s="257">
        <f t="shared" si="8"/>
        <v>0</v>
      </c>
      <c r="I74" s="257">
        <f t="shared" ref="I74:I75" si="19">I48*C48*$I$22</f>
        <v>26973191.845424332</v>
      </c>
      <c r="J74" s="257">
        <f t="shared" si="14"/>
        <v>0</v>
      </c>
      <c r="K74" s="257">
        <f t="shared" si="10"/>
        <v>6866547.5563979512</v>
      </c>
      <c r="L74" s="257">
        <f t="shared" si="11"/>
        <v>0</v>
      </c>
      <c r="M74" s="257">
        <f t="shared" si="12"/>
        <v>0</v>
      </c>
      <c r="N74" s="188">
        <f t="shared" si="13"/>
        <v>408099840.27219439</v>
      </c>
    </row>
    <row r="75" spans="1:14" ht="15.75" x14ac:dyDescent="0.25">
      <c r="A75" s="256">
        <v>19</v>
      </c>
      <c r="B75" s="256" t="s">
        <v>33</v>
      </c>
      <c r="C75" s="257">
        <f t="shared" si="15"/>
        <v>111109275.12788285</v>
      </c>
      <c r="D75" s="257">
        <f t="shared" si="16"/>
        <v>413970122.83259809</v>
      </c>
      <c r="E75" s="257">
        <f t="shared" si="17"/>
        <v>176562534.70252687</v>
      </c>
      <c r="F75" s="257">
        <f t="shared" si="18"/>
        <v>220053237.26519918</v>
      </c>
      <c r="G75" s="257">
        <f t="shared" si="7"/>
        <v>7674070.9686998846</v>
      </c>
      <c r="H75" s="257">
        <f t="shared" si="8"/>
        <v>0</v>
      </c>
      <c r="I75" s="257">
        <f t="shared" si="19"/>
        <v>123856847.16638383</v>
      </c>
      <c r="J75" s="257">
        <f t="shared" si="14"/>
        <v>0</v>
      </c>
      <c r="K75" s="257">
        <f t="shared" si="10"/>
        <v>15019441.289758725</v>
      </c>
      <c r="L75" s="257">
        <f t="shared" si="11"/>
        <v>3604254.3841147553</v>
      </c>
      <c r="M75" s="257">
        <f t="shared" si="12"/>
        <v>0</v>
      </c>
      <c r="N75" s="188">
        <f t="shared" si="13"/>
        <v>1071849783.7371641</v>
      </c>
    </row>
    <row r="76" spans="1:14" ht="15.75" x14ac:dyDescent="0.25">
      <c r="A76" s="256"/>
      <c r="B76" s="261" t="s">
        <v>34</v>
      </c>
      <c r="C76" s="188">
        <f t="shared" ref="C76:L76" si="20">SUM(C54:C75)</f>
        <v>3544881790.3489385</v>
      </c>
      <c r="D76" s="188">
        <f t="shared" si="20"/>
        <v>11919256603.047794</v>
      </c>
      <c r="E76" s="188">
        <f t="shared" si="20"/>
        <v>4552551014.7718811</v>
      </c>
      <c r="F76" s="188">
        <f t="shared" si="20"/>
        <v>5222125333.878046</v>
      </c>
      <c r="G76" s="188">
        <f t="shared" si="20"/>
        <v>538420154.91929662</v>
      </c>
      <c r="H76" s="188">
        <f t="shared" si="20"/>
        <v>134466413.56120437</v>
      </c>
      <c r="I76" s="188">
        <f t="shared" si="20"/>
        <v>403953741.35809219</v>
      </c>
      <c r="J76" s="188">
        <f t="shared" si="20"/>
        <v>30497537.096355624</v>
      </c>
      <c r="K76" s="188">
        <f t="shared" si="20"/>
        <v>404785492.36981118</v>
      </c>
      <c r="L76" s="188">
        <f t="shared" si="20"/>
        <v>3604254.3841147553</v>
      </c>
      <c r="M76" s="188">
        <f t="shared" si="12"/>
        <v>150546933.12110099</v>
      </c>
      <c r="N76" s="188">
        <f t="shared" si="13"/>
        <v>26905089268.856636</v>
      </c>
    </row>
    <row r="77" spans="1:14" ht="15.75" x14ac:dyDescent="0.25">
      <c r="A77" s="256"/>
      <c r="B77" s="261" t="s">
        <v>150</v>
      </c>
      <c r="C77" s="260">
        <f t="shared" ref="C77:M77" si="21">C76/$N$76</f>
        <v>0.13175506518211907</v>
      </c>
      <c r="D77" s="260">
        <f t="shared" si="21"/>
        <v>0.44301122675867327</v>
      </c>
      <c r="E77" s="260">
        <f t="shared" si="21"/>
        <v>0.16920780188756263</v>
      </c>
      <c r="F77" s="260">
        <f t="shared" si="21"/>
        <v>0.19409433217985256</v>
      </c>
      <c r="G77" s="260">
        <f t="shared" si="21"/>
        <v>2.0011833060243085E-2</v>
      </c>
      <c r="H77" s="260">
        <f t="shared" si="21"/>
        <v>4.9978058878567952E-3</v>
      </c>
      <c r="I77" s="260">
        <f t="shared" si="21"/>
        <v>1.5014027172386285E-2</v>
      </c>
      <c r="J77" s="260">
        <f t="shared" si="21"/>
        <v>1.1335229848747368E-3</v>
      </c>
      <c r="K77" s="260">
        <f t="shared" si="21"/>
        <v>1.504494143561015E-2</v>
      </c>
      <c r="L77" s="260">
        <f t="shared" si="21"/>
        <v>1.3396180730337797E-4</v>
      </c>
      <c r="M77" s="260">
        <f t="shared" si="21"/>
        <v>5.5954816435180204E-3</v>
      </c>
      <c r="N77" s="260">
        <f t="shared" si="13"/>
        <v>1.0000000000000002</v>
      </c>
    </row>
    <row r="78" spans="1:14" ht="15.75" x14ac:dyDescent="0.25">
      <c r="A78" s="15"/>
      <c r="B78" s="30"/>
      <c r="C78" s="16"/>
      <c r="D78" s="72"/>
      <c r="E78" s="72"/>
      <c r="F78" s="72"/>
      <c r="G78" s="17"/>
      <c r="H78" s="17"/>
      <c r="I78" s="17"/>
      <c r="J78" s="17"/>
      <c r="K78" s="17"/>
      <c r="L78" s="17"/>
      <c r="M78" s="17"/>
      <c r="N78" s="17"/>
    </row>
    <row r="79" spans="1:14" ht="15.75" x14ac:dyDescent="0.25">
      <c r="A79" s="15"/>
      <c r="B79" s="30"/>
      <c r="C79" s="16"/>
      <c r="D79" s="72"/>
      <c r="E79" s="72"/>
      <c r="F79" s="72"/>
      <c r="G79" s="17"/>
      <c r="H79" s="17"/>
      <c r="I79" s="17"/>
      <c r="J79" s="17"/>
      <c r="K79" s="17"/>
      <c r="L79" s="17"/>
      <c r="M79" s="17"/>
      <c r="N79" s="17"/>
    </row>
    <row r="80" spans="1:14" ht="17.25" thickBot="1" x14ac:dyDescent="0.3">
      <c r="A80" s="91" t="s">
        <v>174</v>
      </c>
      <c r="B80" s="91"/>
      <c r="C80" s="91"/>
      <c r="D80" s="91"/>
      <c r="E80" s="91"/>
      <c r="F80" s="91"/>
      <c r="G80" s="91"/>
      <c r="H80" s="91"/>
      <c r="I80" s="91"/>
      <c r="J80" s="91"/>
      <c r="K80" s="91"/>
      <c r="L80" s="91"/>
      <c r="M80" s="91"/>
      <c r="N80" s="91"/>
    </row>
    <row r="81" spans="1:14" ht="16.5" thickTop="1" x14ac:dyDescent="0.25">
      <c r="A81" s="25" t="s">
        <v>6</v>
      </c>
      <c r="B81" s="25" t="s">
        <v>7</v>
      </c>
      <c r="C81" s="399" t="s">
        <v>135</v>
      </c>
      <c r="D81" s="400" t="s">
        <v>136</v>
      </c>
      <c r="E81" s="400" t="s">
        <v>137</v>
      </c>
      <c r="F81" s="26" t="s">
        <v>138</v>
      </c>
      <c r="G81" s="27" t="s">
        <v>139</v>
      </c>
      <c r="H81" s="25" t="s">
        <v>140</v>
      </c>
      <c r="I81" s="25" t="s">
        <v>12</v>
      </c>
      <c r="J81" s="25" t="s">
        <v>141</v>
      </c>
      <c r="K81" s="25" t="s">
        <v>142</v>
      </c>
      <c r="L81" s="28" t="s">
        <v>143</v>
      </c>
      <c r="M81" s="28" t="s">
        <v>156</v>
      </c>
      <c r="N81" s="40" t="s">
        <v>182</v>
      </c>
    </row>
    <row r="82" spans="1:14" ht="15.75" x14ac:dyDescent="0.25">
      <c r="A82" s="255">
        <v>31</v>
      </c>
      <c r="B82" s="256" t="s">
        <v>13</v>
      </c>
      <c r="C82" s="257">
        <f t="shared" ref="C82:C104" si="22">C54/C28</f>
        <v>630.5324468852416</v>
      </c>
      <c r="D82" s="257">
        <f t="shared" ref="D82:D104" si="23">D54/C28</f>
        <v>1968.0101768551556</v>
      </c>
      <c r="E82" s="257">
        <f t="shared" ref="E82:E104" si="24">E54/C28</f>
        <v>669.31488798440955</v>
      </c>
      <c r="F82" s="257">
        <f t="shared" ref="F82:F104" si="25">F54/C28</f>
        <v>786.53933945921335</v>
      </c>
      <c r="G82" s="257">
        <f t="shared" ref="G82:G104" si="26">G54/C28</f>
        <v>177.85866997409241</v>
      </c>
      <c r="H82" s="257">
        <f t="shared" ref="H82:H104" si="27">H54/C28</f>
        <v>29.111633204390376</v>
      </c>
      <c r="I82" s="257">
        <f t="shared" ref="I82:I104" si="28">I54/C28</f>
        <v>0.41264161925820797</v>
      </c>
      <c r="J82" s="257">
        <f t="shared" ref="J82:J104" si="29">J54/C28</f>
        <v>0</v>
      </c>
      <c r="K82" s="257">
        <f t="shared" ref="K82:K104" si="30">K54/C28</f>
        <v>71.357355577480178</v>
      </c>
      <c r="L82" s="257">
        <f t="shared" ref="L82:L104" si="31">L54/C28</f>
        <v>0</v>
      </c>
      <c r="M82" s="257">
        <f t="shared" ref="M82:M104" si="32">M54/C28</f>
        <v>42.856798476738149</v>
      </c>
      <c r="N82" s="188">
        <f t="shared" ref="N82:N104" si="33">SUM(C82:M82)</f>
        <v>4375.9939500359787</v>
      </c>
    </row>
    <row r="83" spans="1:14" ht="15.75" x14ac:dyDescent="0.25">
      <c r="A83" s="255">
        <v>32</v>
      </c>
      <c r="B83" s="256" t="s">
        <v>39</v>
      </c>
      <c r="C83" s="257">
        <f t="shared" si="22"/>
        <v>630.5324468852416</v>
      </c>
      <c r="D83" s="257">
        <f t="shared" si="23"/>
        <v>2025.3177881170498</v>
      </c>
      <c r="E83" s="257">
        <f t="shared" si="24"/>
        <v>570.37858043197195</v>
      </c>
      <c r="F83" s="257">
        <f t="shared" si="25"/>
        <v>854.25883203283092</v>
      </c>
      <c r="G83" s="257">
        <f t="shared" si="26"/>
        <v>237.43163431045107</v>
      </c>
      <c r="H83" s="257">
        <f t="shared" si="27"/>
        <v>10.610643582438069</v>
      </c>
      <c r="I83" s="257">
        <f t="shared" si="28"/>
        <v>1.2314549743399472</v>
      </c>
      <c r="J83" s="257">
        <f t="shared" si="29"/>
        <v>0</v>
      </c>
      <c r="K83" s="257">
        <f t="shared" si="30"/>
        <v>52.669088401068848</v>
      </c>
      <c r="L83" s="257">
        <f t="shared" si="31"/>
        <v>0</v>
      </c>
      <c r="M83" s="257">
        <f t="shared" si="32"/>
        <v>42.856798476738149</v>
      </c>
      <c r="N83" s="188">
        <f t="shared" si="33"/>
        <v>4425.2872672121293</v>
      </c>
    </row>
    <row r="84" spans="1:14" ht="15.75" x14ac:dyDescent="0.25">
      <c r="A84" s="255">
        <v>33</v>
      </c>
      <c r="B84" s="256" t="s">
        <v>14</v>
      </c>
      <c r="C84" s="257">
        <f t="shared" si="22"/>
        <v>630.5324468852416</v>
      </c>
      <c r="D84" s="257">
        <f t="shared" si="23"/>
        <v>1773.5836356041914</v>
      </c>
      <c r="E84" s="257">
        <f t="shared" si="24"/>
        <v>515.96617107990096</v>
      </c>
      <c r="F84" s="257">
        <f t="shared" si="25"/>
        <v>680.8890974735375</v>
      </c>
      <c r="G84" s="257">
        <f t="shared" si="26"/>
        <v>165.71714332868586</v>
      </c>
      <c r="H84" s="257">
        <f t="shared" si="27"/>
        <v>59.719835800842006</v>
      </c>
      <c r="I84" s="257">
        <f t="shared" si="28"/>
        <v>11.216970644814447</v>
      </c>
      <c r="J84" s="257">
        <f t="shared" si="29"/>
        <v>1.1173944192934759</v>
      </c>
      <c r="K84" s="257">
        <f t="shared" si="30"/>
        <v>70.821221873989643</v>
      </c>
      <c r="L84" s="257">
        <f t="shared" si="31"/>
        <v>0</v>
      </c>
      <c r="M84" s="257">
        <f t="shared" si="32"/>
        <v>42.856798476738156</v>
      </c>
      <c r="N84" s="188">
        <f t="shared" si="33"/>
        <v>3952.420715587235</v>
      </c>
    </row>
    <row r="85" spans="1:14" ht="15.75" x14ac:dyDescent="0.25">
      <c r="A85" s="255">
        <v>34</v>
      </c>
      <c r="B85" s="256" t="s">
        <v>15</v>
      </c>
      <c r="C85" s="257">
        <f t="shared" si="22"/>
        <v>630.5324468852416</v>
      </c>
      <c r="D85" s="257">
        <f t="shared" si="23"/>
        <v>2029.9741372020701</v>
      </c>
      <c r="E85" s="257">
        <f t="shared" si="24"/>
        <v>736.31411029033995</v>
      </c>
      <c r="F85" s="257">
        <f t="shared" si="25"/>
        <v>745.23902375453542</v>
      </c>
      <c r="G85" s="257">
        <f t="shared" si="26"/>
        <v>69.274428501822982</v>
      </c>
      <c r="H85" s="257">
        <f t="shared" si="27"/>
        <v>145.64276345480283</v>
      </c>
      <c r="I85" s="257">
        <f t="shared" si="28"/>
        <v>36.253454830161559</v>
      </c>
      <c r="J85" s="257">
        <f t="shared" si="29"/>
        <v>18.345606007549346</v>
      </c>
      <c r="K85" s="257">
        <f t="shared" si="30"/>
        <v>82.427719406164698</v>
      </c>
      <c r="L85" s="257">
        <f t="shared" si="31"/>
        <v>0</v>
      </c>
      <c r="M85" s="257">
        <f t="shared" si="32"/>
        <v>42.856798476738142</v>
      </c>
      <c r="N85" s="188">
        <f t="shared" si="33"/>
        <v>4536.8604888094278</v>
      </c>
    </row>
    <row r="86" spans="1:14" ht="15.75" x14ac:dyDescent="0.25">
      <c r="A86" s="255">
        <v>35</v>
      </c>
      <c r="B86" s="256" t="s">
        <v>16</v>
      </c>
      <c r="C86" s="257">
        <f t="shared" si="22"/>
        <v>630.5324468852416</v>
      </c>
      <c r="D86" s="257">
        <f t="shared" si="23"/>
        <v>1961.0993618186546</v>
      </c>
      <c r="E86" s="257">
        <f t="shared" si="24"/>
        <v>604.15879650143563</v>
      </c>
      <c r="F86" s="257">
        <f t="shared" si="25"/>
        <v>772.34063035706345</v>
      </c>
      <c r="G86" s="257">
        <f t="shared" si="26"/>
        <v>72.229973122962406</v>
      </c>
      <c r="H86" s="257">
        <f t="shared" si="27"/>
        <v>0</v>
      </c>
      <c r="I86" s="257">
        <f t="shared" si="28"/>
        <v>10.742548320216788</v>
      </c>
      <c r="J86" s="257">
        <f t="shared" si="29"/>
        <v>0</v>
      </c>
      <c r="K86" s="257">
        <f t="shared" si="30"/>
        <v>57.36781849304775</v>
      </c>
      <c r="L86" s="257">
        <f t="shared" si="31"/>
        <v>0</v>
      </c>
      <c r="M86" s="257">
        <f t="shared" si="32"/>
        <v>42.856798476738149</v>
      </c>
      <c r="N86" s="188">
        <f t="shared" si="33"/>
        <v>4151.3283739753597</v>
      </c>
    </row>
    <row r="87" spans="1:14" ht="15.75" x14ac:dyDescent="0.25">
      <c r="A87" s="256">
        <v>2</v>
      </c>
      <c r="B87" s="256" t="s">
        <v>17</v>
      </c>
      <c r="C87" s="257">
        <f t="shared" si="22"/>
        <v>630.5324468852416</v>
      </c>
      <c r="D87" s="257">
        <f t="shared" si="23"/>
        <v>2198.661539157009</v>
      </c>
      <c r="E87" s="257">
        <f t="shared" si="24"/>
        <v>873.37212951371828</v>
      </c>
      <c r="F87" s="257">
        <f t="shared" si="25"/>
        <v>947.31720782784578</v>
      </c>
      <c r="G87" s="257">
        <f t="shared" si="26"/>
        <v>98.940463316656079</v>
      </c>
      <c r="H87" s="257">
        <f t="shared" si="27"/>
        <v>29.923845196043938</v>
      </c>
      <c r="I87" s="257">
        <f t="shared" si="28"/>
        <v>28.640889917927201</v>
      </c>
      <c r="J87" s="257">
        <f t="shared" si="29"/>
        <v>36.592737374135744</v>
      </c>
      <c r="K87" s="257">
        <f t="shared" si="30"/>
        <v>57.743075067106702</v>
      </c>
      <c r="L87" s="257">
        <f t="shared" si="31"/>
        <v>0</v>
      </c>
      <c r="M87" s="257">
        <f t="shared" si="32"/>
        <v>42.856798476738149</v>
      </c>
      <c r="N87" s="188">
        <f t="shared" si="33"/>
        <v>4944.5811327324218</v>
      </c>
    </row>
    <row r="88" spans="1:14" ht="15.75" x14ac:dyDescent="0.25">
      <c r="A88" s="256">
        <v>4</v>
      </c>
      <c r="B88" s="256" t="s">
        <v>18</v>
      </c>
      <c r="C88" s="257">
        <f t="shared" si="22"/>
        <v>630.5324468852416</v>
      </c>
      <c r="D88" s="257">
        <f t="shared" si="23"/>
        <v>2169.2161817986439</v>
      </c>
      <c r="E88" s="257">
        <f t="shared" si="24"/>
        <v>938.53129821811763</v>
      </c>
      <c r="F88" s="257">
        <f t="shared" si="25"/>
        <v>1001.8606065823027</v>
      </c>
      <c r="G88" s="257">
        <f t="shared" si="26"/>
        <v>52.944242726035121</v>
      </c>
      <c r="H88" s="257">
        <f t="shared" si="27"/>
        <v>0</v>
      </c>
      <c r="I88" s="257">
        <f t="shared" si="28"/>
        <v>49.725256068192586</v>
      </c>
      <c r="J88" s="257">
        <f t="shared" si="29"/>
        <v>0</v>
      </c>
      <c r="K88" s="257">
        <f t="shared" si="30"/>
        <v>69.621486804477797</v>
      </c>
      <c r="L88" s="257">
        <f t="shared" si="31"/>
        <v>0</v>
      </c>
      <c r="M88" s="257">
        <f t="shared" si="32"/>
        <v>0</v>
      </c>
      <c r="N88" s="188">
        <f t="shared" si="33"/>
        <v>4912.4315190830121</v>
      </c>
    </row>
    <row r="89" spans="1:14" ht="15.75" x14ac:dyDescent="0.25">
      <c r="A89" s="256">
        <v>5</v>
      </c>
      <c r="B89" s="256" t="s">
        <v>19</v>
      </c>
      <c r="C89" s="257">
        <f t="shared" si="22"/>
        <v>630.5324468852416</v>
      </c>
      <c r="D89" s="257">
        <f t="shared" si="23"/>
        <v>2184.5148851517688</v>
      </c>
      <c r="E89" s="257">
        <f t="shared" si="24"/>
        <v>883.16112222488846</v>
      </c>
      <c r="F89" s="257">
        <f t="shared" si="25"/>
        <v>930.85828512834041</v>
      </c>
      <c r="G89" s="257">
        <f t="shared" si="26"/>
        <v>57.979725927033911</v>
      </c>
      <c r="H89" s="257">
        <f t="shared" si="27"/>
        <v>0</v>
      </c>
      <c r="I89" s="257">
        <f t="shared" si="28"/>
        <v>41.098392718560937</v>
      </c>
      <c r="J89" s="257">
        <f t="shared" si="29"/>
        <v>0</v>
      </c>
      <c r="K89" s="257">
        <f t="shared" si="30"/>
        <v>96.461378602608249</v>
      </c>
      <c r="L89" s="257">
        <f t="shared" si="31"/>
        <v>0</v>
      </c>
      <c r="M89" s="257">
        <f t="shared" si="32"/>
        <v>0</v>
      </c>
      <c r="N89" s="188">
        <f t="shared" si="33"/>
        <v>4824.6062366384413</v>
      </c>
    </row>
    <row r="90" spans="1:14" ht="15.75" x14ac:dyDescent="0.25">
      <c r="A90" s="256">
        <v>6</v>
      </c>
      <c r="B90" s="256" t="s">
        <v>20</v>
      </c>
      <c r="C90" s="257">
        <f t="shared" si="22"/>
        <v>630.5324468852416</v>
      </c>
      <c r="D90" s="257">
        <f t="shared" si="23"/>
        <v>2119.2519127024298</v>
      </c>
      <c r="E90" s="257">
        <f t="shared" si="24"/>
        <v>767.2749347281067</v>
      </c>
      <c r="F90" s="257">
        <f t="shared" si="25"/>
        <v>882.93828014302767</v>
      </c>
      <c r="G90" s="257">
        <f t="shared" si="26"/>
        <v>65.301618177019108</v>
      </c>
      <c r="H90" s="257">
        <f t="shared" si="27"/>
        <v>0</v>
      </c>
      <c r="I90" s="257">
        <f t="shared" si="28"/>
        <v>32.231191044739774</v>
      </c>
      <c r="J90" s="257">
        <f t="shared" si="29"/>
        <v>0</v>
      </c>
      <c r="K90" s="257">
        <f t="shared" si="30"/>
        <v>72.303326183682174</v>
      </c>
      <c r="L90" s="257">
        <f t="shared" si="31"/>
        <v>0</v>
      </c>
      <c r="M90" s="257">
        <f t="shared" si="32"/>
        <v>42.856798476738149</v>
      </c>
      <c r="N90" s="188">
        <f t="shared" si="33"/>
        <v>4612.6905083409838</v>
      </c>
    </row>
    <row r="91" spans="1:14" ht="15.75" x14ac:dyDescent="0.25">
      <c r="A91" s="256">
        <v>7</v>
      </c>
      <c r="B91" s="256" t="s">
        <v>21</v>
      </c>
      <c r="C91" s="257">
        <f t="shared" si="22"/>
        <v>630.5324468852416</v>
      </c>
      <c r="D91" s="257">
        <f t="shared" si="23"/>
        <v>2253.1891408365182</v>
      </c>
      <c r="E91" s="257">
        <f t="shared" si="24"/>
        <v>929.35576284614717</v>
      </c>
      <c r="F91" s="257">
        <f t="shared" si="25"/>
        <v>972.8896134702934</v>
      </c>
      <c r="G91" s="257">
        <f t="shared" si="26"/>
        <v>70.212457579898512</v>
      </c>
      <c r="H91" s="257">
        <f t="shared" si="27"/>
        <v>0</v>
      </c>
      <c r="I91" s="257">
        <f t="shared" si="28"/>
        <v>37.317633278950858</v>
      </c>
      <c r="J91" s="257">
        <f t="shared" si="29"/>
        <v>0</v>
      </c>
      <c r="K91" s="257">
        <f t="shared" si="30"/>
        <v>82.631686160844723</v>
      </c>
      <c r="L91" s="257">
        <f t="shared" si="31"/>
        <v>0</v>
      </c>
      <c r="M91" s="257">
        <f t="shared" si="32"/>
        <v>0</v>
      </c>
      <c r="N91" s="188">
        <f t="shared" si="33"/>
        <v>4976.1287410578943</v>
      </c>
    </row>
    <row r="92" spans="1:14" ht="15.75" x14ac:dyDescent="0.25">
      <c r="A92" s="256">
        <v>8</v>
      </c>
      <c r="B92" s="256" t="s">
        <v>22</v>
      </c>
      <c r="C92" s="257">
        <f t="shared" si="22"/>
        <v>630.5324468852416</v>
      </c>
      <c r="D92" s="257">
        <f t="shared" si="23"/>
        <v>2340.1144010680546</v>
      </c>
      <c r="E92" s="257">
        <f t="shared" si="24"/>
        <v>1122.4423529946941</v>
      </c>
      <c r="F92" s="257">
        <f t="shared" si="25"/>
        <v>1068.3308377881608</v>
      </c>
      <c r="G92" s="257">
        <f t="shared" si="26"/>
        <v>69.658593359402161</v>
      </c>
      <c r="H92" s="257">
        <f t="shared" si="27"/>
        <v>3.9328980977116355</v>
      </c>
      <c r="I92" s="257">
        <f t="shared" si="28"/>
        <v>38.994091704523619</v>
      </c>
      <c r="J92" s="257">
        <f t="shared" si="29"/>
        <v>0</v>
      </c>
      <c r="K92" s="257">
        <f t="shared" si="30"/>
        <v>64.855212194438181</v>
      </c>
      <c r="L92" s="257">
        <f t="shared" si="31"/>
        <v>0</v>
      </c>
      <c r="M92" s="257">
        <f t="shared" si="32"/>
        <v>0</v>
      </c>
      <c r="N92" s="188">
        <f t="shared" si="33"/>
        <v>5338.8608340922265</v>
      </c>
    </row>
    <row r="93" spans="1:14" ht="15.75" x14ac:dyDescent="0.25">
      <c r="A93" s="256">
        <v>9</v>
      </c>
      <c r="B93" s="256" t="s">
        <v>23</v>
      </c>
      <c r="C93" s="257">
        <f t="shared" si="22"/>
        <v>630.5324468852416</v>
      </c>
      <c r="D93" s="257">
        <f t="shared" si="23"/>
        <v>2085.767025963456</v>
      </c>
      <c r="E93" s="257">
        <f t="shared" si="24"/>
        <v>928.44346247264332</v>
      </c>
      <c r="F93" s="257">
        <f t="shared" si="25"/>
        <v>874.03003920878166</v>
      </c>
      <c r="G93" s="257">
        <f t="shared" si="26"/>
        <v>83.446269069521108</v>
      </c>
      <c r="H93" s="257">
        <f t="shared" si="27"/>
        <v>0</v>
      </c>
      <c r="I93" s="257">
        <f t="shared" si="28"/>
        <v>57.265003968215936</v>
      </c>
      <c r="J93" s="257">
        <f t="shared" si="29"/>
        <v>0</v>
      </c>
      <c r="K93" s="257">
        <f t="shared" si="30"/>
        <v>67.75362222373839</v>
      </c>
      <c r="L93" s="257">
        <f t="shared" si="31"/>
        <v>0</v>
      </c>
      <c r="M93" s="257">
        <f t="shared" si="32"/>
        <v>0</v>
      </c>
      <c r="N93" s="188">
        <f t="shared" si="33"/>
        <v>4727.2378697915974</v>
      </c>
    </row>
    <row r="94" spans="1:14" ht="15.75" x14ac:dyDescent="0.25">
      <c r="A94" s="256">
        <v>10</v>
      </c>
      <c r="B94" s="256" t="s">
        <v>24</v>
      </c>
      <c r="C94" s="257">
        <f t="shared" si="22"/>
        <v>630.5324468852416</v>
      </c>
      <c r="D94" s="257">
        <f t="shared" si="23"/>
        <v>2495.9184284305056</v>
      </c>
      <c r="E94" s="257">
        <f t="shared" si="24"/>
        <v>1209.416273017755</v>
      </c>
      <c r="F94" s="257">
        <f t="shared" si="25"/>
        <v>1114.8680259580906</v>
      </c>
      <c r="G94" s="257">
        <f t="shared" si="26"/>
        <v>53.684637151600434</v>
      </c>
      <c r="H94" s="257">
        <f t="shared" si="27"/>
        <v>0</v>
      </c>
      <c r="I94" s="257">
        <f t="shared" si="28"/>
        <v>131.85046601919393</v>
      </c>
      <c r="J94" s="257">
        <f t="shared" si="29"/>
        <v>34.028847875085738</v>
      </c>
      <c r="K94" s="257">
        <f t="shared" si="30"/>
        <v>114.87648139886001</v>
      </c>
      <c r="L94" s="257">
        <f t="shared" si="31"/>
        <v>0</v>
      </c>
      <c r="M94" s="257">
        <f t="shared" si="32"/>
        <v>0</v>
      </c>
      <c r="N94" s="188">
        <f t="shared" si="33"/>
        <v>5785.1756067363322</v>
      </c>
    </row>
    <row r="95" spans="1:14" ht="15.75" x14ac:dyDescent="0.25">
      <c r="A95" s="256">
        <v>11</v>
      </c>
      <c r="B95" s="256" t="s">
        <v>25</v>
      </c>
      <c r="C95" s="257">
        <f t="shared" si="22"/>
        <v>630.5324468852416</v>
      </c>
      <c r="D95" s="257">
        <f t="shared" si="23"/>
        <v>2293.6354366186551</v>
      </c>
      <c r="E95" s="257">
        <f t="shared" si="24"/>
        <v>947.65445601134047</v>
      </c>
      <c r="F95" s="257">
        <f t="shared" si="25"/>
        <v>1105.1170662100817</v>
      </c>
      <c r="G95" s="257">
        <f t="shared" si="26"/>
        <v>47.812907600583699</v>
      </c>
      <c r="H95" s="257">
        <f t="shared" si="27"/>
        <v>0</v>
      </c>
      <c r="I95" s="257">
        <f t="shared" si="28"/>
        <v>93.206936897325406</v>
      </c>
      <c r="J95" s="257">
        <f t="shared" si="29"/>
        <v>0</v>
      </c>
      <c r="K95" s="257">
        <f t="shared" si="30"/>
        <v>83.631255086166817</v>
      </c>
      <c r="L95" s="257">
        <f t="shared" si="31"/>
        <v>0</v>
      </c>
      <c r="M95" s="257">
        <f t="shared" si="32"/>
        <v>42.856798476738149</v>
      </c>
      <c r="N95" s="188">
        <f t="shared" si="33"/>
        <v>5244.4473037861326</v>
      </c>
    </row>
    <row r="96" spans="1:14" ht="15.75" x14ac:dyDescent="0.25">
      <c r="A96" s="256">
        <v>12</v>
      </c>
      <c r="B96" s="256" t="s">
        <v>26</v>
      </c>
      <c r="C96" s="257">
        <f t="shared" si="22"/>
        <v>630.5324468852416</v>
      </c>
      <c r="D96" s="257">
        <f t="shared" si="23"/>
        <v>2553.4835062681568</v>
      </c>
      <c r="E96" s="257">
        <f t="shared" si="24"/>
        <v>1076.7392431462936</v>
      </c>
      <c r="F96" s="257">
        <f t="shared" si="25"/>
        <v>1183.065339399596</v>
      </c>
      <c r="G96" s="257">
        <f t="shared" si="26"/>
        <v>59.525577046460498</v>
      </c>
      <c r="H96" s="257">
        <f t="shared" si="27"/>
        <v>0</v>
      </c>
      <c r="I96" s="257">
        <f t="shared" si="28"/>
        <v>155.47633953671263</v>
      </c>
      <c r="J96" s="257">
        <f t="shared" si="29"/>
        <v>0</v>
      </c>
      <c r="K96" s="257">
        <f t="shared" si="30"/>
        <v>64.495386749297026</v>
      </c>
      <c r="L96" s="257">
        <f t="shared" si="31"/>
        <v>0</v>
      </c>
      <c r="M96" s="257">
        <f t="shared" si="32"/>
        <v>0</v>
      </c>
      <c r="N96" s="188">
        <f t="shared" si="33"/>
        <v>5723.3178390317571</v>
      </c>
    </row>
    <row r="97" spans="1:14" ht="15.75" x14ac:dyDescent="0.25">
      <c r="A97" s="256">
        <v>13</v>
      </c>
      <c r="B97" s="256" t="s">
        <v>27</v>
      </c>
      <c r="C97" s="257">
        <f t="shared" si="22"/>
        <v>630.5324468852416</v>
      </c>
      <c r="D97" s="257">
        <f t="shared" si="23"/>
        <v>2060.0811457412087</v>
      </c>
      <c r="E97" s="257">
        <f t="shared" si="24"/>
        <v>828.03776658294532</v>
      </c>
      <c r="F97" s="257">
        <f t="shared" si="25"/>
        <v>957.90201892772552</v>
      </c>
      <c r="G97" s="257">
        <f t="shared" si="26"/>
        <v>48.853363250425694</v>
      </c>
      <c r="H97" s="257">
        <f t="shared" si="27"/>
        <v>0</v>
      </c>
      <c r="I97" s="257">
        <f t="shared" si="28"/>
        <v>78.260579226526346</v>
      </c>
      <c r="J97" s="257">
        <f t="shared" si="29"/>
        <v>0</v>
      </c>
      <c r="K97" s="257">
        <f t="shared" si="30"/>
        <v>81.724761126383015</v>
      </c>
      <c r="L97" s="257">
        <f t="shared" si="31"/>
        <v>0</v>
      </c>
      <c r="M97" s="257">
        <f t="shared" si="32"/>
        <v>0</v>
      </c>
      <c r="N97" s="188">
        <f t="shared" si="33"/>
        <v>4685.3920817404569</v>
      </c>
    </row>
    <row r="98" spans="1:14" ht="15.75" x14ac:dyDescent="0.25">
      <c r="A98" s="256">
        <v>14</v>
      </c>
      <c r="B98" s="256" t="s">
        <v>28</v>
      </c>
      <c r="C98" s="257">
        <f t="shared" si="22"/>
        <v>630.5324468852416</v>
      </c>
      <c r="D98" s="257">
        <f t="shared" si="23"/>
        <v>2384.7649344093047</v>
      </c>
      <c r="E98" s="257">
        <f t="shared" si="24"/>
        <v>1038.5750429965601</v>
      </c>
      <c r="F98" s="257">
        <f t="shared" si="25"/>
        <v>1049.5194850515234</v>
      </c>
      <c r="G98" s="257">
        <f t="shared" si="26"/>
        <v>40.13514004310251</v>
      </c>
      <c r="H98" s="257">
        <f t="shared" si="27"/>
        <v>0</v>
      </c>
      <c r="I98" s="257">
        <f t="shared" si="28"/>
        <v>97.244719950456513</v>
      </c>
      <c r="J98" s="257">
        <f t="shared" si="29"/>
        <v>0</v>
      </c>
      <c r="K98" s="257">
        <f t="shared" si="30"/>
        <v>79.436508738833723</v>
      </c>
      <c r="L98" s="257">
        <f t="shared" si="31"/>
        <v>0</v>
      </c>
      <c r="M98" s="257">
        <f t="shared" si="32"/>
        <v>0</v>
      </c>
      <c r="N98" s="188">
        <f t="shared" si="33"/>
        <v>5320.2082780750234</v>
      </c>
    </row>
    <row r="99" spans="1:14" ht="15.75" x14ac:dyDescent="0.25">
      <c r="A99" s="256">
        <v>15</v>
      </c>
      <c r="B99" s="256" t="s">
        <v>29</v>
      </c>
      <c r="C99" s="257">
        <f t="shared" si="22"/>
        <v>630.5324468852416</v>
      </c>
      <c r="D99" s="257">
        <f t="shared" si="23"/>
        <v>2036.6104693790346</v>
      </c>
      <c r="E99" s="257">
        <f t="shared" si="24"/>
        <v>769.68877380599156</v>
      </c>
      <c r="F99" s="257">
        <f t="shared" si="25"/>
        <v>776.81941635745045</v>
      </c>
      <c r="G99" s="257">
        <f t="shared" si="26"/>
        <v>95.893122498134758</v>
      </c>
      <c r="H99" s="257">
        <f t="shared" si="27"/>
        <v>265.98090151804149</v>
      </c>
      <c r="I99" s="257">
        <f t="shared" si="28"/>
        <v>55.056737867473842</v>
      </c>
      <c r="J99" s="257">
        <f t="shared" si="29"/>
        <v>30.789038746359953</v>
      </c>
      <c r="K99" s="257">
        <f t="shared" si="30"/>
        <v>71.688092125273357</v>
      </c>
      <c r="L99" s="257">
        <f t="shared" si="31"/>
        <v>0</v>
      </c>
      <c r="M99" s="257">
        <f t="shared" si="32"/>
        <v>0</v>
      </c>
      <c r="N99" s="188">
        <f t="shared" si="33"/>
        <v>4733.0589991830029</v>
      </c>
    </row>
    <row r="100" spans="1:14" ht="15.75" x14ac:dyDescent="0.25">
      <c r="A100" s="256">
        <v>16</v>
      </c>
      <c r="B100" s="256" t="s">
        <v>30</v>
      </c>
      <c r="C100" s="257">
        <f t="shared" si="22"/>
        <v>630.5324468852416</v>
      </c>
      <c r="D100" s="257">
        <f t="shared" si="23"/>
        <v>2251.1781379069048</v>
      </c>
      <c r="E100" s="257">
        <f t="shared" si="24"/>
        <v>924.31715050536116</v>
      </c>
      <c r="F100" s="257">
        <f t="shared" si="25"/>
        <v>1088.4495344429338</v>
      </c>
      <c r="G100" s="257">
        <f t="shared" si="26"/>
        <v>44.539391007632076</v>
      </c>
      <c r="H100" s="257">
        <f t="shared" si="27"/>
        <v>46.564315427644111</v>
      </c>
      <c r="I100" s="257">
        <f t="shared" si="28"/>
        <v>99.339205127867743</v>
      </c>
      <c r="J100" s="257">
        <f t="shared" si="29"/>
        <v>0</v>
      </c>
      <c r="K100" s="257">
        <f t="shared" si="30"/>
        <v>76.678355356075286</v>
      </c>
      <c r="L100" s="257">
        <f t="shared" si="31"/>
        <v>0</v>
      </c>
      <c r="M100" s="257">
        <f t="shared" si="32"/>
        <v>0</v>
      </c>
      <c r="N100" s="188">
        <f t="shared" si="33"/>
        <v>5161.5985366596606</v>
      </c>
    </row>
    <row r="101" spans="1:14" ht="15.75" x14ac:dyDescent="0.25">
      <c r="A101" s="256">
        <v>17</v>
      </c>
      <c r="B101" s="256" t="s">
        <v>31</v>
      </c>
      <c r="C101" s="257">
        <f t="shared" si="22"/>
        <v>630.5324468852416</v>
      </c>
      <c r="D101" s="257">
        <f t="shared" si="23"/>
        <v>2083.2630071180829</v>
      </c>
      <c r="E101" s="257">
        <f t="shared" si="24"/>
        <v>799.77717312701418</v>
      </c>
      <c r="F101" s="257">
        <f t="shared" si="25"/>
        <v>1113.0676541331688</v>
      </c>
      <c r="G101" s="257">
        <f t="shared" si="26"/>
        <v>41.129488993588367</v>
      </c>
      <c r="H101" s="257">
        <f t="shared" si="27"/>
        <v>0</v>
      </c>
      <c r="I101" s="257">
        <f t="shared" si="28"/>
        <v>117.68479484986784</v>
      </c>
      <c r="J101" s="257">
        <f t="shared" si="29"/>
        <v>0</v>
      </c>
      <c r="K101" s="257">
        <f t="shared" si="30"/>
        <v>61.770942872941383</v>
      </c>
      <c r="L101" s="257">
        <f t="shared" si="31"/>
        <v>0</v>
      </c>
      <c r="M101" s="257">
        <f t="shared" si="32"/>
        <v>42.856798476738149</v>
      </c>
      <c r="N101" s="188">
        <f t="shared" si="33"/>
        <v>4890.0823064566421</v>
      </c>
    </row>
    <row r="102" spans="1:14" ht="15.75" x14ac:dyDescent="0.25">
      <c r="A102" s="256">
        <v>18</v>
      </c>
      <c r="B102" s="256" t="s">
        <v>32</v>
      </c>
      <c r="C102" s="257">
        <f t="shared" si="22"/>
        <v>630.5324468852416</v>
      </c>
      <c r="D102" s="257">
        <f t="shared" si="23"/>
        <v>2404.8359982679722</v>
      </c>
      <c r="E102" s="257">
        <f t="shared" si="24"/>
        <v>1144.1711371409654</v>
      </c>
      <c r="F102" s="257">
        <f t="shared" si="25"/>
        <v>1174.6746836057584</v>
      </c>
      <c r="G102" s="257">
        <f t="shared" si="26"/>
        <v>54.715840763627533</v>
      </c>
      <c r="H102" s="257">
        <f t="shared" si="27"/>
        <v>0</v>
      </c>
      <c r="I102" s="257">
        <f t="shared" si="28"/>
        <v>389.82544253644636</v>
      </c>
      <c r="J102" s="257">
        <f t="shared" si="29"/>
        <v>0</v>
      </c>
      <c r="K102" s="257">
        <f t="shared" si="30"/>
        <v>99.237604329888157</v>
      </c>
      <c r="L102" s="257">
        <f t="shared" si="31"/>
        <v>0</v>
      </c>
      <c r="M102" s="257">
        <f t="shared" si="32"/>
        <v>0</v>
      </c>
      <c r="N102" s="188">
        <f t="shared" si="33"/>
        <v>5897.9931535299002</v>
      </c>
    </row>
    <row r="103" spans="1:14" ht="15.75" x14ac:dyDescent="0.25">
      <c r="A103" s="256">
        <v>19</v>
      </c>
      <c r="B103" s="256" t="s">
        <v>33</v>
      </c>
      <c r="C103" s="257">
        <f t="shared" si="22"/>
        <v>630.5324468852416</v>
      </c>
      <c r="D103" s="257">
        <f t="shared" si="23"/>
        <v>2349.2331687574729</v>
      </c>
      <c r="E103" s="257">
        <f t="shared" si="24"/>
        <v>1001.9722197459176</v>
      </c>
      <c r="F103" s="257">
        <f t="shared" si="25"/>
        <v>1248.7769898430847</v>
      </c>
      <c r="G103" s="257">
        <f t="shared" si="26"/>
        <v>43.549476314161019</v>
      </c>
      <c r="H103" s="257">
        <f t="shared" si="27"/>
        <v>0</v>
      </c>
      <c r="I103" s="257">
        <f t="shared" si="28"/>
        <v>702.8734623407986</v>
      </c>
      <c r="J103" s="257">
        <f t="shared" si="29"/>
        <v>0</v>
      </c>
      <c r="K103" s="257">
        <f t="shared" si="30"/>
        <v>85.233613992899151</v>
      </c>
      <c r="L103" s="257">
        <f t="shared" si="31"/>
        <v>20.453731998494767</v>
      </c>
      <c r="M103" s="257">
        <f t="shared" si="32"/>
        <v>0</v>
      </c>
      <c r="N103" s="188">
        <f t="shared" si="33"/>
        <v>6082.6251098780713</v>
      </c>
    </row>
    <row r="104" spans="1:14" ht="15.75" x14ac:dyDescent="0.25">
      <c r="A104" s="261"/>
      <c r="B104" s="261" t="s">
        <v>34</v>
      </c>
      <c r="C104" s="188">
        <f t="shared" si="22"/>
        <v>630.53244688524171</v>
      </c>
      <c r="D104" s="188">
        <f t="shared" si="23"/>
        <v>2120.0927070216967</v>
      </c>
      <c r="E104" s="188">
        <f t="shared" si="24"/>
        <v>809.76780064405057</v>
      </c>
      <c r="F104" s="188">
        <f t="shared" si="25"/>
        <v>928.86580130149196</v>
      </c>
      <c r="G104" s="188">
        <f t="shared" si="26"/>
        <v>95.769449536475889</v>
      </c>
      <c r="H104" s="188">
        <f t="shared" si="27"/>
        <v>23.917704956328947</v>
      </c>
      <c r="I104" s="188">
        <f t="shared" si="28"/>
        <v>71.851744580146942</v>
      </c>
      <c r="J104" s="188">
        <f t="shared" si="29"/>
        <v>5.4246341138065644</v>
      </c>
      <c r="K104" s="188">
        <f t="shared" si="30"/>
        <v>71.99968914688715</v>
      </c>
      <c r="L104" s="188">
        <f t="shared" si="31"/>
        <v>0.64109312254077566</v>
      </c>
      <c r="M104" s="188">
        <f t="shared" si="32"/>
        <v>26.777966579972411</v>
      </c>
      <c r="N104" s="188">
        <f t="shared" si="33"/>
        <v>4785.6410378886403</v>
      </c>
    </row>
    <row r="105" spans="1:14" ht="15.75" x14ac:dyDescent="0.25">
      <c r="A105" s="256"/>
      <c r="B105" s="261" t="s">
        <v>150</v>
      </c>
      <c r="C105" s="262">
        <f t="shared" ref="C105:N105" si="34">C104/$N$104</f>
        <v>0.13175506518211905</v>
      </c>
      <c r="D105" s="262">
        <f t="shared" si="34"/>
        <v>0.44301122675867322</v>
      </c>
      <c r="E105" s="262">
        <f t="shared" si="34"/>
        <v>0.1692078018875626</v>
      </c>
      <c r="F105" s="262">
        <f t="shared" si="34"/>
        <v>0.19409433217985253</v>
      </c>
      <c r="G105" s="262">
        <f t="shared" si="34"/>
        <v>2.0011833060243078E-2</v>
      </c>
      <c r="H105" s="262">
        <f t="shared" si="34"/>
        <v>4.9978058878567943E-3</v>
      </c>
      <c r="I105" s="262">
        <f t="shared" si="34"/>
        <v>1.5014027172386283E-2</v>
      </c>
      <c r="J105" s="262">
        <f t="shared" si="34"/>
        <v>1.1335229848747368E-3</v>
      </c>
      <c r="K105" s="262">
        <f t="shared" si="34"/>
        <v>1.5044941435610146E-2</v>
      </c>
      <c r="L105" s="262">
        <f t="shared" si="34"/>
        <v>1.3396180730337794E-4</v>
      </c>
      <c r="M105" s="262">
        <f t="shared" si="34"/>
        <v>5.5954816435180195E-3</v>
      </c>
      <c r="N105" s="262">
        <f t="shared" si="34"/>
        <v>1</v>
      </c>
    </row>
  </sheetData>
  <mergeCells count="1">
    <mergeCell ref="A3:C3"/>
  </mergeCells>
  <phoneticPr fontId="41" type="noConversion"/>
  <pageMargins left="0.7" right="0.7" top="0.75" bottom="0.75" header="0.3" footer="0.3"/>
  <pageSetup paperSize="9" orientation="portrait" r:id="rId1"/>
  <ignoredErrors>
    <ignoredError sqref="C23 K22" formula="1"/>
    <ignoredError sqref="M105" calculatedColumn="1"/>
  </ignoredErrors>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H98"/>
  <sheetViews>
    <sheetView zoomScaleNormal="100" workbookViewId="0"/>
  </sheetViews>
  <sheetFormatPr defaultRowHeight="14.25" x14ac:dyDescent="0.2"/>
  <cols>
    <col min="1" max="1" width="51.125" style="111" customWidth="1"/>
    <col min="2" max="2" width="25.375" style="111" customWidth="1"/>
    <col min="3" max="3" width="25.5" style="111" customWidth="1"/>
    <col min="4" max="4" width="21.75" style="111" customWidth="1"/>
    <col min="5" max="5" width="17.875" style="111" customWidth="1"/>
    <col min="6" max="6" width="18.375" style="111" customWidth="1"/>
    <col min="7" max="7" width="21.25" style="111" customWidth="1"/>
    <col min="8" max="8" width="14" style="111" customWidth="1"/>
    <col min="9" max="9" width="13.125" style="111" bestFit="1" customWidth="1"/>
    <col min="10" max="10" width="13.125" style="111" customWidth="1"/>
    <col min="11" max="11" width="9" style="111"/>
    <col min="12" max="12" width="14.75" style="111" bestFit="1" customWidth="1"/>
    <col min="13" max="13" width="11.875" style="111" bestFit="1" customWidth="1"/>
    <col min="14" max="14" width="14.75" style="111" bestFit="1" customWidth="1"/>
    <col min="15" max="16384" width="9" style="111"/>
  </cols>
  <sheetData>
    <row r="1" spans="1:6" ht="20.25" x14ac:dyDescent="0.3">
      <c r="A1" s="95" t="s">
        <v>151</v>
      </c>
      <c r="B1" s="1"/>
      <c r="C1" s="1"/>
      <c r="D1" s="1"/>
      <c r="E1" s="1"/>
      <c r="F1" s="1"/>
    </row>
    <row r="2" spans="1:6" ht="15" x14ac:dyDescent="0.2">
      <c r="A2" s="1" t="str">
        <f>INFO!A2</f>
        <v>VM/HVO 30.4.2026</v>
      </c>
      <c r="B2" s="18"/>
      <c r="C2" s="18"/>
      <c r="D2" s="18"/>
      <c r="E2" s="18"/>
      <c r="F2" s="18"/>
    </row>
    <row r="3" spans="1:6" ht="63" customHeight="1" x14ac:dyDescent="0.2">
      <c r="A3" s="407" t="s">
        <v>481</v>
      </c>
      <c r="B3" s="407"/>
      <c r="C3" s="407"/>
      <c r="D3" s="407"/>
      <c r="E3" s="18"/>
      <c r="F3" s="18"/>
    </row>
    <row r="4" spans="1:6" ht="15" x14ac:dyDescent="0.2">
      <c r="A4" s="18"/>
      <c r="B4" s="18"/>
      <c r="C4" s="18"/>
      <c r="D4" s="18"/>
      <c r="E4" s="18"/>
      <c r="F4" s="18"/>
    </row>
    <row r="5" spans="1:6" ht="16.5" x14ac:dyDescent="0.25">
      <c r="A5" s="189" t="s">
        <v>151</v>
      </c>
      <c r="B5" s="24"/>
      <c r="C5" s="18"/>
      <c r="D5" s="18"/>
      <c r="E5" s="18"/>
      <c r="F5" s="18"/>
    </row>
    <row r="6" spans="1:6" ht="15.75" x14ac:dyDescent="0.25">
      <c r="A6" s="89" t="s">
        <v>235</v>
      </c>
      <c r="B6" s="90" t="s">
        <v>0</v>
      </c>
      <c r="C6" s="18"/>
      <c r="D6" s="18"/>
      <c r="E6" s="18"/>
      <c r="F6" s="18"/>
    </row>
    <row r="7" spans="1:6" ht="15.75" x14ac:dyDescent="0.25">
      <c r="A7" s="78" t="s">
        <v>35</v>
      </c>
      <c r="B7" s="116">
        <f>Määräytymistekijät!C29</f>
        <v>5622045</v>
      </c>
      <c r="C7" s="18"/>
      <c r="D7" s="18"/>
      <c r="E7" s="18"/>
      <c r="F7" s="18"/>
    </row>
    <row r="8" spans="1:6" ht="15.75" x14ac:dyDescent="0.25">
      <c r="A8" s="78" t="s">
        <v>295</v>
      </c>
      <c r="B8" s="79">
        <f>'Rahoituksen taso 2027'!B9+'Rahoituksen taso 2027'!B14+'Rahoituksen taso 2027'!B21</f>
        <v>614983403.86936688</v>
      </c>
      <c r="C8" s="18"/>
      <c r="D8" s="18"/>
      <c r="E8" s="18"/>
      <c r="F8" s="18"/>
    </row>
    <row r="9" spans="1:6" ht="15.75" x14ac:dyDescent="0.25">
      <c r="A9" s="82" t="s">
        <v>288</v>
      </c>
      <c r="B9" s="190" t="s">
        <v>0</v>
      </c>
      <c r="C9" s="18"/>
      <c r="D9" s="18"/>
      <c r="E9" s="18"/>
      <c r="F9" s="18"/>
    </row>
    <row r="10" spans="1:6" ht="15.75" x14ac:dyDescent="0.25">
      <c r="A10" s="169" t="s">
        <v>4</v>
      </c>
      <c r="B10" s="169">
        <v>0</v>
      </c>
      <c r="C10" s="18"/>
      <c r="D10" s="18"/>
      <c r="E10" s="18"/>
      <c r="F10" s="18"/>
    </row>
    <row r="11" spans="1:6" ht="15.75" x14ac:dyDescent="0.25">
      <c r="A11" s="263" t="s">
        <v>296</v>
      </c>
      <c r="B11" s="191">
        <f>B8+B10</f>
        <v>614983403.86936688</v>
      </c>
      <c r="C11" s="18"/>
      <c r="D11" s="18"/>
      <c r="E11" s="18"/>
      <c r="F11" s="18"/>
    </row>
    <row r="12" spans="1:6" ht="36" customHeight="1" x14ac:dyDescent="0.2">
      <c r="A12" s="18"/>
      <c r="B12" s="18"/>
      <c r="C12" s="18"/>
      <c r="D12" s="18"/>
      <c r="E12" s="18"/>
      <c r="F12" s="18"/>
    </row>
    <row r="13" spans="1:6" ht="17.25" thickBot="1" x14ac:dyDescent="0.3">
      <c r="A13" s="92" t="s">
        <v>144</v>
      </c>
      <c r="B13" s="91"/>
      <c r="C13" s="91"/>
      <c r="D13" s="91"/>
      <c r="E13" s="91"/>
      <c r="F13" s="41"/>
    </row>
    <row r="14" spans="1:6" ht="16.5" thickTop="1" x14ac:dyDescent="0.25">
      <c r="A14" s="23" t="s">
        <v>152</v>
      </c>
      <c r="B14" s="101" t="s">
        <v>135</v>
      </c>
      <c r="C14" s="101" t="s">
        <v>12</v>
      </c>
      <c r="D14" s="101" t="s">
        <v>153</v>
      </c>
      <c r="E14" s="102" t="s">
        <v>4</v>
      </c>
      <c r="F14" s="41"/>
    </row>
    <row r="15" spans="1:6" ht="15" x14ac:dyDescent="0.2">
      <c r="A15" s="171" t="s">
        <v>291</v>
      </c>
      <c r="B15" s="322">
        <v>0.64998103566473686</v>
      </c>
      <c r="C15" s="323">
        <v>4.9873168493366517E-2</v>
      </c>
      <c r="D15" s="323">
        <v>0.30014579584189666</v>
      </c>
      <c r="E15" s="323">
        <f>SUM(B15:D15)</f>
        <v>1</v>
      </c>
      <c r="F15" s="56"/>
    </row>
    <row r="16" spans="1:6" ht="30" x14ac:dyDescent="0.2">
      <c r="A16" s="105" t="s">
        <v>297</v>
      </c>
      <c r="B16" s="42">
        <f>B15*$B$8</f>
        <v>399727549.76363623</v>
      </c>
      <c r="C16" s="42">
        <f t="shared" ref="C16:D16" si="0">C15*$B$8</f>
        <v>30671170.921801005</v>
      </c>
      <c r="D16" s="42">
        <f t="shared" si="0"/>
        <v>184584683.18392968</v>
      </c>
      <c r="E16" s="43">
        <f>SUM(B16:D16)</f>
        <v>614983403.86936688</v>
      </c>
      <c r="F16" s="41"/>
    </row>
    <row r="17" spans="1:8" ht="15.75" x14ac:dyDescent="0.25">
      <c r="A17" s="44" t="s">
        <v>293</v>
      </c>
      <c r="B17" s="106">
        <f>B16/B7</f>
        <v>71.100026727576221</v>
      </c>
      <c r="C17" s="106">
        <f>C16/B7</f>
        <v>5.455518574077761</v>
      </c>
      <c r="D17" s="106">
        <f>D16/B7</f>
        <v>32.832302691267977</v>
      </c>
      <c r="E17" s="107"/>
      <c r="F17" s="41"/>
    </row>
    <row r="18" spans="1:8" ht="17.25" customHeight="1" x14ac:dyDescent="0.2">
      <c r="A18" s="192" t="s">
        <v>298</v>
      </c>
      <c r="B18" s="324">
        <f>B16/$B$11</f>
        <v>0.64998103566473686</v>
      </c>
      <c r="C18" s="324">
        <f>C16/$B$11</f>
        <v>4.9873168493366517E-2</v>
      </c>
      <c r="D18" s="324">
        <f>D16/$B$11</f>
        <v>0.30014579584189666</v>
      </c>
      <c r="E18" s="324">
        <f>B18+C18+D18</f>
        <v>1</v>
      </c>
      <c r="F18" s="41"/>
    </row>
    <row r="19" spans="1:8" ht="15" x14ac:dyDescent="0.2">
      <c r="A19" s="18"/>
      <c r="B19" s="18"/>
      <c r="C19" s="18"/>
      <c r="D19" s="18"/>
      <c r="E19" s="18"/>
      <c r="F19" s="18"/>
      <c r="G19" s="18"/>
    </row>
    <row r="20" spans="1:8" ht="17.25" thickBot="1" x14ac:dyDescent="0.3">
      <c r="A20" s="91" t="s">
        <v>183</v>
      </c>
      <c r="B20" s="91"/>
      <c r="C20" s="91"/>
      <c r="D20" s="91"/>
      <c r="E20" s="91"/>
      <c r="F20" s="41"/>
    </row>
    <row r="21" spans="1:8" ht="16.5" thickTop="1" x14ac:dyDescent="0.25">
      <c r="A21" s="94" t="s">
        <v>6</v>
      </c>
      <c r="B21" s="94" t="s">
        <v>7</v>
      </c>
      <c r="C21" s="94" t="s">
        <v>35</v>
      </c>
      <c r="D21" s="94" t="s">
        <v>36</v>
      </c>
      <c r="E21" s="94" t="s">
        <v>38</v>
      </c>
      <c r="F21" s="41"/>
    </row>
    <row r="22" spans="1:8" ht="15" x14ac:dyDescent="0.2">
      <c r="A22" s="41">
        <v>31</v>
      </c>
      <c r="B22" s="41" t="s">
        <v>13</v>
      </c>
      <c r="C22" s="43">
        <f>Määräytymistekijät!C7</f>
        <v>694392</v>
      </c>
      <c r="D22" s="46">
        <f>Määräytymistekijät!F35</f>
        <v>1.5341594590833885E-2</v>
      </c>
      <c r="E22" s="46">
        <f>Määräytymistekijät!L35</f>
        <v>0.39639443019941273</v>
      </c>
      <c r="F22" s="56"/>
    </row>
    <row r="23" spans="1:8" ht="15" x14ac:dyDescent="0.2">
      <c r="A23" s="41">
        <v>32</v>
      </c>
      <c r="B23" s="41" t="s">
        <v>39</v>
      </c>
      <c r="C23" s="43">
        <f>Määräytymistekijät!C8</f>
        <v>291723</v>
      </c>
      <c r="D23" s="46">
        <f>Määräytymistekijät!F36</f>
        <v>1.3838553132841828E-2</v>
      </c>
      <c r="E23" s="46">
        <f>Määräytymistekijät!L36</f>
        <v>0.73596334370798278</v>
      </c>
      <c r="F23" s="41"/>
    </row>
    <row r="24" spans="1:8" ht="15" x14ac:dyDescent="0.2">
      <c r="A24" s="41">
        <v>33</v>
      </c>
      <c r="B24" s="41" t="s">
        <v>14</v>
      </c>
      <c r="C24" s="43">
        <f>Määräytymistekijät!C9</f>
        <v>506379</v>
      </c>
      <c r="D24" s="46">
        <f>Määräytymistekijät!F37</f>
        <v>0.23104311869178534</v>
      </c>
      <c r="E24" s="46">
        <f>Määräytymistekijät!L37</f>
        <v>0.80448561124976614</v>
      </c>
      <c r="F24" s="41"/>
    </row>
    <row r="25" spans="1:8" ht="15" x14ac:dyDescent="0.2">
      <c r="A25" s="41">
        <v>34</v>
      </c>
      <c r="B25" s="41" t="s">
        <v>15</v>
      </c>
      <c r="C25" s="43">
        <f>Määräytymistekijät!C10</f>
        <v>99584</v>
      </c>
      <c r="D25" s="46">
        <f>Määräytymistekijät!F38</f>
        <v>0.82228759743906288</v>
      </c>
      <c r="E25" s="46">
        <f>Määräytymistekijät!L38</f>
        <v>1.1608924214081866</v>
      </c>
      <c r="F25" s="41"/>
    </row>
    <row r="26" spans="1:8" ht="15" x14ac:dyDescent="0.2">
      <c r="A26" s="41">
        <v>35</v>
      </c>
      <c r="B26" s="41" t="s">
        <v>16</v>
      </c>
      <c r="C26" s="43">
        <f>Määräytymistekijät!C11</f>
        <v>207551</v>
      </c>
      <c r="D26" s="46">
        <f>Määräytymistekijät!F39</f>
        <v>0.12307789298543367</v>
      </c>
      <c r="E26" s="46">
        <f>Määräytymistekijät!L39</f>
        <v>0.98801535658897244</v>
      </c>
      <c r="F26" s="41"/>
    </row>
    <row r="27" spans="1:8" ht="15" x14ac:dyDescent="0.2">
      <c r="A27" s="41">
        <v>2</v>
      </c>
      <c r="B27" s="41" t="s">
        <v>17</v>
      </c>
      <c r="C27" s="43">
        <f>Määräytymistekijät!C12</f>
        <v>497800</v>
      </c>
      <c r="D27" s="46">
        <f>Määräytymistekijät!F40</f>
        <v>0.61429995645254754</v>
      </c>
      <c r="E27" s="46">
        <f>Määräytymistekijät!L40</f>
        <v>1.0478197360921715</v>
      </c>
      <c r="F27" s="41"/>
    </row>
    <row r="28" spans="1:8" ht="15" x14ac:dyDescent="0.2">
      <c r="A28" s="41">
        <v>4</v>
      </c>
      <c r="B28" s="41" t="s">
        <v>18</v>
      </c>
      <c r="C28" s="43">
        <f>Määräytymistekijät!C13</f>
        <v>210112</v>
      </c>
      <c r="D28" s="46">
        <f>Määräytymistekijät!F41</f>
        <v>0.81445428102280237</v>
      </c>
      <c r="E28" s="46">
        <f>Määräytymistekijät!L41</f>
        <v>1.5065350353682094</v>
      </c>
      <c r="F28" s="41"/>
    </row>
    <row r="29" spans="1:8" ht="15" x14ac:dyDescent="0.2">
      <c r="A29" s="41">
        <v>5</v>
      </c>
      <c r="B29" s="41" t="s">
        <v>19</v>
      </c>
      <c r="C29" s="43">
        <f>Määräytymistekijät!C14</f>
        <v>168957</v>
      </c>
      <c r="D29" s="46">
        <f>Määräytymistekijät!F42</f>
        <v>0.50299469536771868</v>
      </c>
      <c r="E29" s="46">
        <f>Määräytymistekijät!L42</f>
        <v>1.0833722520013693</v>
      </c>
      <c r="F29" s="41"/>
    </row>
    <row r="30" spans="1:8" ht="15" x14ac:dyDescent="0.2">
      <c r="A30" s="41">
        <v>6</v>
      </c>
      <c r="B30" s="41" t="s">
        <v>20</v>
      </c>
      <c r="C30" s="43">
        <f>Määräytymistekijät!C15</f>
        <v>548910</v>
      </c>
      <c r="D30" s="46">
        <f>Määräytymistekijät!F43</f>
        <v>0.42179406537238606</v>
      </c>
      <c r="E30" s="46">
        <f>Määräytymistekijät!L43</f>
        <v>0.85748635880071844</v>
      </c>
      <c r="F30" s="41"/>
      <c r="H30" s="18"/>
    </row>
    <row r="31" spans="1:8" ht="15" x14ac:dyDescent="0.2">
      <c r="A31" s="41">
        <v>7</v>
      </c>
      <c r="B31" s="41" t="s">
        <v>21</v>
      </c>
      <c r="C31" s="43">
        <f>Määräytymistekijät!C16</f>
        <v>204522</v>
      </c>
      <c r="D31" s="46">
        <f>Määräytymistekijät!F44</f>
        <v>0.50537088488278692</v>
      </c>
      <c r="E31" s="46">
        <f>Määräytymistekijät!L44</f>
        <v>1.0901273611238633</v>
      </c>
      <c r="F31" s="41"/>
    </row>
    <row r="32" spans="1:8" ht="15" x14ac:dyDescent="0.2">
      <c r="A32" s="41">
        <v>8</v>
      </c>
      <c r="B32" s="41" t="s">
        <v>22</v>
      </c>
      <c r="C32" s="43">
        <f>Määräytymistekijät!C17</f>
        <v>156198</v>
      </c>
      <c r="D32" s="46">
        <f>Määräytymistekijät!F45</f>
        <v>0.64521139726845744</v>
      </c>
      <c r="E32" s="46">
        <f>Määräytymistekijät!L45</f>
        <v>1.5683637296622059</v>
      </c>
      <c r="F32" s="41"/>
    </row>
    <row r="33" spans="1:8" ht="15" x14ac:dyDescent="0.2">
      <c r="A33" s="41">
        <v>9</v>
      </c>
      <c r="B33" s="41" t="s">
        <v>23</v>
      </c>
      <c r="C33" s="43">
        <f>Määräytymistekijät!C18</f>
        <v>124238</v>
      </c>
      <c r="D33" s="46">
        <f>Määräytymistekijät!F46</f>
        <v>0.82360706917787951</v>
      </c>
      <c r="E33" s="46">
        <f>Määräytymistekijät!L46</f>
        <v>1.4068620868505965</v>
      </c>
      <c r="F33" s="41"/>
    </row>
    <row r="34" spans="1:8" ht="15" x14ac:dyDescent="0.2">
      <c r="A34" s="41">
        <v>10</v>
      </c>
      <c r="B34" s="41" t="s">
        <v>24</v>
      </c>
      <c r="C34" s="43">
        <f>Määräytymistekijät!C19</f>
        <v>128144</v>
      </c>
      <c r="D34" s="46">
        <f>Määräytymistekijät!F47</f>
        <v>1.9868117810319053</v>
      </c>
      <c r="E34" s="46">
        <f>Määräytymistekijät!L47</f>
        <v>1.4498989948272696</v>
      </c>
      <c r="F34" s="41"/>
    </row>
    <row r="35" spans="1:8" ht="15" x14ac:dyDescent="0.2">
      <c r="A35" s="41">
        <v>11</v>
      </c>
      <c r="B35" s="41" t="s">
        <v>25</v>
      </c>
      <c r="C35" s="43">
        <f>Määräytymistekijät!C20</f>
        <v>248512</v>
      </c>
      <c r="D35" s="46">
        <f>Määräytymistekijät!F48</f>
        <v>1.2628860612481687</v>
      </c>
      <c r="E35" s="46">
        <f>Määräytymistekijät!L48</f>
        <v>1.0245345781568025</v>
      </c>
      <c r="F35" s="41"/>
    </row>
    <row r="36" spans="1:8" ht="15" x14ac:dyDescent="0.2">
      <c r="A36" s="41">
        <v>12</v>
      </c>
      <c r="B36" s="41" t="s">
        <v>26</v>
      </c>
      <c r="C36" s="43">
        <f>Määräytymistekijät!C21</f>
        <v>161418</v>
      </c>
      <c r="D36" s="46">
        <f>Määräytymistekijät!F49</f>
        <v>2.1126521018850819</v>
      </c>
      <c r="E36" s="46">
        <f>Määräytymistekijät!L49</f>
        <v>1.2703885271493749</v>
      </c>
      <c r="F36" s="41"/>
    </row>
    <row r="37" spans="1:8" ht="15" x14ac:dyDescent="0.2">
      <c r="A37" s="41">
        <v>13</v>
      </c>
      <c r="B37" s="41" t="s">
        <v>27</v>
      </c>
      <c r="C37" s="43">
        <f>Määräytymistekijät!C22</f>
        <v>273731</v>
      </c>
      <c r="D37" s="46">
        <f>Määräytymistekijät!F50</f>
        <v>1.0341629503252736</v>
      </c>
      <c r="E37" s="46">
        <f>Määräytymistekijät!L50</f>
        <v>1.0306996620931002</v>
      </c>
      <c r="F37" s="41"/>
    </row>
    <row r="38" spans="1:8" ht="15" x14ac:dyDescent="0.2">
      <c r="A38" s="41">
        <v>14</v>
      </c>
      <c r="B38" s="41" t="s">
        <v>28</v>
      </c>
      <c r="C38" s="43">
        <f>Määräytymistekijät!C23</f>
        <v>189474</v>
      </c>
      <c r="D38" s="46">
        <f>Määräytymistekijät!F51</f>
        <v>1.1281205428345551</v>
      </c>
      <c r="E38" s="46">
        <f>Määräytymistekijät!L51</f>
        <v>1.358295429972733</v>
      </c>
      <c r="F38" s="41"/>
    </row>
    <row r="39" spans="1:8" ht="15" x14ac:dyDescent="0.2">
      <c r="A39" s="41">
        <v>15</v>
      </c>
      <c r="B39" s="41" t="s">
        <v>29</v>
      </c>
      <c r="C39" s="43">
        <f>Määräytymistekijät!C24</f>
        <v>179555</v>
      </c>
      <c r="D39" s="46">
        <f>Määräytymistekijät!F52</f>
        <v>1.478894634428463</v>
      </c>
      <c r="E39" s="46">
        <f>Määräytymistekijät!L52</f>
        <v>1.2187142175609107</v>
      </c>
      <c r="F39" s="41"/>
    </row>
    <row r="40" spans="1:8" ht="15" x14ac:dyDescent="0.2">
      <c r="A40" s="41">
        <v>16</v>
      </c>
      <c r="B40" s="41" t="s">
        <v>30</v>
      </c>
      <c r="C40" s="43">
        <f>Määräytymistekijät!C25</f>
        <v>67498</v>
      </c>
      <c r="D40" s="46">
        <f>Määräytymistekijät!F53</f>
        <v>1.4257228083759348</v>
      </c>
      <c r="E40" s="46">
        <f>Määräytymistekijät!L53</f>
        <v>1.223383453620984</v>
      </c>
      <c r="F40" s="41"/>
    </row>
    <row r="41" spans="1:8" ht="15" x14ac:dyDescent="0.2">
      <c r="A41" s="41">
        <v>17</v>
      </c>
      <c r="B41" s="41" t="s">
        <v>31</v>
      </c>
      <c r="C41" s="43">
        <f>Määräytymistekijät!C26</f>
        <v>417939</v>
      </c>
      <c r="D41" s="46">
        <f>Määräytymistekijät!F54</f>
        <v>1.6335384319048771</v>
      </c>
      <c r="E41" s="46">
        <f>Määräytymistekijät!L54</f>
        <v>1.0669261693777072</v>
      </c>
      <c r="F41" s="41"/>
    </row>
    <row r="42" spans="1:8" ht="15" x14ac:dyDescent="0.2">
      <c r="A42" s="41">
        <v>18</v>
      </c>
      <c r="B42" s="41" t="s">
        <v>32</v>
      </c>
      <c r="C42" s="43">
        <f>Määräytymistekijät!C27</f>
        <v>69193</v>
      </c>
      <c r="D42" s="46">
        <f>Määräytymistekijät!F55</f>
        <v>4.8821996843734397</v>
      </c>
      <c r="E42" s="46">
        <f>Määräytymistekijät!L55</f>
        <v>1.4320975188676748</v>
      </c>
      <c r="F42" s="41"/>
    </row>
    <row r="43" spans="1:8" ht="15" x14ac:dyDescent="0.2">
      <c r="A43" s="41">
        <v>19</v>
      </c>
      <c r="B43" s="41" t="s">
        <v>33</v>
      </c>
      <c r="C43" s="43">
        <f>Määräytymistekijät!C28</f>
        <v>176215</v>
      </c>
      <c r="D43" s="46">
        <f>Määräytymistekijät!F56</f>
        <v>8.4806944976268852</v>
      </c>
      <c r="E43" s="46">
        <f>Määräytymistekijät!L56</f>
        <v>1.3511559731941178</v>
      </c>
      <c r="F43" s="41"/>
    </row>
    <row r="44" spans="1:8" ht="15.75" x14ac:dyDescent="0.25">
      <c r="A44" s="45"/>
      <c r="B44" s="41" t="s">
        <v>34</v>
      </c>
      <c r="C44" s="47">
        <f>Määräytymistekijät!C29</f>
        <v>5622045</v>
      </c>
      <c r="D44" s="48">
        <f>Määräytymistekijät!F57</f>
        <v>1</v>
      </c>
      <c r="E44" s="48">
        <f>Määräytymistekijät!L57</f>
        <v>1</v>
      </c>
      <c r="F44" s="41"/>
    </row>
    <row r="45" spans="1:8" ht="15" x14ac:dyDescent="0.2">
      <c r="A45" s="18"/>
      <c r="B45" s="18"/>
      <c r="C45" s="18"/>
      <c r="D45" s="18"/>
      <c r="E45" s="18"/>
      <c r="F45" s="18"/>
      <c r="G45" s="18"/>
      <c r="H45" s="18"/>
    </row>
    <row r="46" spans="1:8" ht="17.25" thickBot="1" x14ac:dyDescent="0.3">
      <c r="A46" s="91" t="s">
        <v>170</v>
      </c>
      <c r="B46" s="91"/>
      <c r="C46" s="91"/>
      <c r="D46" s="91"/>
      <c r="E46" s="91"/>
      <c r="F46" s="91"/>
    </row>
    <row r="47" spans="1:8" ht="16.5" thickTop="1" x14ac:dyDescent="0.25">
      <c r="A47" s="88" t="s">
        <v>6</v>
      </c>
      <c r="B47" s="88" t="s">
        <v>7</v>
      </c>
      <c r="C47" s="88" t="s">
        <v>135</v>
      </c>
      <c r="D47" s="88" t="s">
        <v>12</v>
      </c>
      <c r="E47" s="88" t="s">
        <v>153</v>
      </c>
      <c r="F47" s="88" t="s">
        <v>168</v>
      </c>
    </row>
    <row r="48" spans="1:8" ht="15.75" x14ac:dyDescent="0.25">
      <c r="A48" s="85">
        <v>31</v>
      </c>
      <c r="B48" s="85" t="s">
        <v>13</v>
      </c>
      <c r="C48" s="265">
        <f>C22*$B$17</f>
        <v>49371289.759415105</v>
      </c>
      <c r="D48" s="265">
        <f>D22*C22*$C$17</f>
        <v>58118.078817772563</v>
      </c>
      <c r="E48" s="265">
        <f>E22*C22*$D$17</f>
        <v>9037193.7911348678</v>
      </c>
      <c r="F48" s="136">
        <f>SUM(C48:E48)</f>
        <v>58466601.629367739</v>
      </c>
    </row>
    <row r="49" spans="1:6" ht="15.75" x14ac:dyDescent="0.25">
      <c r="A49" s="85">
        <v>32</v>
      </c>
      <c r="B49" s="85" t="s">
        <v>39</v>
      </c>
      <c r="C49" s="265">
        <f t="shared" ref="C49:C70" si="1">C23*$B$17</f>
        <v>20741513.097048718</v>
      </c>
      <c r="D49" s="265">
        <f t="shared" ref="D49:D70" si="2">D23*C23*$C$17</f>
        <v>22024.06070116521</v>
      </c>
      <c r="E49" s="265">
        <f t="shared" ref="E49:E70" si="3">E23*C23*$D$17</f>
        <v>7049011.1570851961</v>
      </c>
      <c r="F49" s="136">
        <f t="shared" ref="F49:F70" si="4">SUM(C49:E49)</f>
        <v>27812548.314835079</v>
      </c>
    </row>
    <row r="50" spans="1:6" ht="15.75" x14ac:dyDescent="0.25">
      <c r="A50" s="85">
        <v>33</v>
      </c>
      <c r="B50" s="85" t="s">
        <v>14</v>
      </c>
      <c r="C50" s="265">
        <f t="shared" si="1"/>
        <v>36003560.434283316</v>
      </c>
      <c r="D50" s="265">
        <f t="shared" si="2"/>
        <v>638270.48722019931</v>
      </c>
      <c r="E50" s="265">
        <f t="shared" si="3"/>
        <v>13375046.810879605</v>
      </c>
      <c r="F50" s="136">
        <f t="shared" si="4"/>
        <v>50016877.732383117</v>
      </c>
    </row>
    <row r="51" spans="1:6" ht="15.75" x14ac:dyDescent="0.25">
      <c r="A51" s="85">
        <v>34</v>
      </c>
      <c r="B51" s="85" t="s">
        <v>15</v>
      </c>
      <c r="C51" s="265">
        <f t="shared" si="1"/>
        <v>7080425.0616389504</v>
      </c>
      <c r="D51" s="265">
        <f t="shared" si="2"/>
        <v>446734.34791765636</v>
      </c>
      <c r="E51" s="265">
        <f t="shared" si="3"/>
        <v>3795621.3922766447</v>
      </c>
      <c r="F51" s="136">
        <f t="shared" si="4"/>
        <v>11322780.801833251</v>
      </c>
    </row>
    <row r="52" spans="1:6" ht="15.75" x14ac:dyDescent="0.25">
      <c r="A52" s="85">
        <v>35</v>
      </c>
      <c r="B52" s="85" t="s">
        <v>16</v>
      </c>
      <c r="C52" s="265">
        <f t="shared" si="1"/>
        <v>14756881.647335172</v>
      </c>
      <c r="D52" s="265">
        <f t="shared" si="2"/>
        <v>139360.89337267383</v>
      </c>
      <c r="E52" s="265">
        <f t="shared" si="3"/>
        <v>6732709.3743954776</v>
      </c>
      <c r="F52" s="136">
        <f t="shared" si="4"/>
        <v>21628951.915103324</v>
      </c>
    </row>
    <row r="53" spans="1:6" ht="15.75" x14ac:dyDescent="0.25">
      <c r="A53" s="85">
        <v>2</v>
      </c>
      <c r="B53" s="85" t="s">
        <v>17</v>
      </c>
      <c r="C53" s="265">
        <f t="shared" si="1"/>
        <v>35393593.304987445</v>
      </c>
      <c r="D53" s="265">
        <f t="shared" si="2"/>
        <v>1668289.496631556</v>
      </c>
      <c r="E53" s="265">
        <f t="shared" si="3"/>
        <v>17125482.234200574</v>
      </c>
      <c r="F53" s="136">
        <f t="shared" si="4"/>
        <v>54187365.035819575</v>
      </c>
    </row>
    <row r="54" spans="1:6" ht="15.75" x14ac:dyDescent="0.25">
      <c r="A54" s="85">
        <v>4</v>
      </c>
      <c r="B54" s="85" t="s">
        <v>18</v>
      </c>
      <c r="C54" s="265">
        <f t="shared" si="1"/>
        <v>14938968.815784495</v>
      </c>
      <c r="D54" s="265">
        <f t="shared" si="2"/>
        <v>933584.44244125986</v>
      </c>
      <c r="E54" s="265">
        <f t="shared" si="3"/>
        <v>10392772.859805098</v>
      </c>
      <c r="F54" s="136">
        <f t="shared" si="4"/>
        <v>26265326.118030854</v>
      </c>
    </row>
    <row r="55" spans="1:6" ht="15.75" x14ac:dyDescent="0.25">
      <c r="A55" s="85">
        <v>5</v>
      </c>
      <c r="B55" s="85" t="s">
        <v>19</v>
      </c>
      <c r="C55" s="265">
        <f t="shared" si="1"/>
        <v>12012847.215811096</v>
      </c>
      <c r="D55" s="265">
        <f t="shared" si="2"/>
        <v>463634.38048091909</v>
      </c>
      <c r="E55" s="265">
        <f t="shared" si="3"/>
        <v>6009733.8711046875</v>
      </c>
      <c r="F55" s="136">
        <f t="shared" si="4"/>
        <v>18486215.467396703</v>
      </c>
    </row>
    <row r="56" spans="1:6" ht="15.75" x14ac:dyDescent="0.25">
      <c r="A56" s="85">
        <v>6</v>
      </c>
      <c r="B56" s="85" t="s">
        <v>20</v>
      </c>
      <c r="C56" s="265">
        <f t="shared" si="1"/>
        <v>39027515.671033867</v>
      </c>
      <c r="D56" s="265">
        <f t="shared" si="2"/>
        <v>1263099.7421008502</v>
      </c>
      <c r="E56" s="265">
        <f t="shared" si="3"/>
        <v>15453601.382840624</v>
      </c>
      <c r="F56" s="136">
        <f t="shared" si="4"/>
        <v>55744216.795975342</v>
      </c>
    </row>
    <row r="57" spans="1:6" ht="15.75" x14ac:dyDescent="0.25">
      <c r="A57" s="85">
        <v>7</v>
      </c>
      <c r="B57" s="85" t="s">
        <v>21</v>
      </c>
      <c r="C57" s="265">
        <f t="shared" si="1"/>
        <v>14541519.666377343</v>
      </c>
      <c r="D57" s="265">
        <f t="shared" si="2"/>
        <v>563879.47630245832</v>
      </c>
      <c r="E57" s="265">
        <f t="shared" si="3"/>
        <v>7320126.9708192423</v>
      </c>
      <c r="F57" s="136">
        <f t="shared" si="4"/>
        <v>22425526.113499045</v>
      </c>
    </row>
    <row r="58" spans="1:6" ht="15.75" x14ac:dyDescent="0.25">
      <c r="A58" s="85">
        <v>8</v>
      </c>
      <c r="B58" s="85" t="s">
        <v>22</v>
      </c>
      <c r="C58" s="265">
        <f t="shared" si="1"/>
        <v>11105681.97479395</v>
      </c>
      <c r="D58" s="265">
        <f t="shared" si="2"/>
        <v>549811.1434996156</v>
      </c>
      <c r="E58" s="265">
        <f t="shared" si="3"/>
        <v>8043102.4741100324</v>
      </c>
      <c r="F58" s="136">
        <f t="shared" si="4"/>
        <v>19698595.592403598</v>
      </c>
    </row>
    <row r="59" spans="1:6" ht="15.75" x14ac:dyDescent="0.25">
      <c r="A59" s="85">
        <v>9</v>
      </c>
      <c r="B59" s="85" t="s">
        <v>23</v>
      </c>
      <c r="C59" s="265">
        <f t="shared" si="1"/>
        <v>8833325.1205806155</v>
      </c>
      <c r="D59" s="265">
        <f t="shared" si="2"/>
        <v>558226.63676351367</v>
      </c>
      <c r="E59" s="265">
        <f t="shared" si="3"/>
        <v>5738618.0573706413</v>
      </c>
      <c r="F59" s="136">
        <f t="shared" si="4"/>
        <v>15130169.814714771</v>
      </c>
    </row>
    <row r="60" spans="1:6" ht="15.75" x14ac:dyDescent="0.25">
      <c r="A60" s="85">
        <v>10</v>
      </c>
      <c r="B60" s="85" t="s">
        <v>24</v>
      </c>
      <c r="C60" s="265">
        <f t="shared" si="1"/>
        <v>9111041.8249785267</v>
      </c>
      <c r="D60" s="265">
        <f t="shared" si="2"/>
        <v>1388964.1663056025</v>
      </c>
      <c r="E60" s="265">
        <f t="shared" si="3"/>
        <v>6100105.8090160349</v>
      </c>
      <c r="F60" s="136">
        <f t="shared" si="4"/>
        <v>16600111.800300162</v>
      </c>
    </row>
    <row r="61" spans="1:6" ht="15.75" x14ac:dyDescent="0.25">
      <c r="A61" s="85">
        <v>11</v>
      </c>
      <c r="B61" s="85" t="s">
        <v>25</v>
      </c>
      <c r="C61" s="265">
        <f t="shared" si="1"/>
        <v>17669209.842123423</v>
      </c>
      <c r="D61" s="265">
        <f t="shared" si="2"/>
        <v>1712172.7198550664</v>
      </c>
      <c r="E61" s="265">
        <f t="shared" si="3"/>
        <v>8359404.2567997519</v>
      </c>
      <c r="F61" s="136">
        <f t="shared" si="4"/>
        <v>27740786.818778239</v>
      </c>
    </row>
    <row r="62" spans="1:6" ht="15.75" x14ac:dyDescent="0.25">
      <c r="A62" s="85">
        <v>12</v>
      </c>
      <c r="B62" s="85" t="s">
        <v>26</v>
      </c>
      <c r="C62" s="265">
        <f t="shared" si="1"/>
        <v>11476824.114311898</v>
      </c>
      <c r="D62" s="265">
        <f t="shared" si="2"/>
        <v>1860441.364109199</v>
      </c>
      <c r="E62" s="265">
        <f t="shared" si="3"/>
        <v>6732709.3743954767</v>
      </c>
      <c r="F62" s="136">
        <f t="shared" si="4"/>
        <v>20069974.852816574</v>
      </c>
    </row>
    <row r="63" spans="1:6" ht="15.75" x14ac:dyDescent="0.25">
      <c r="A63" s="85">
        <v>13</v>
      </c>
      <c r="B63" s="85" t="s">
        <v>27</v>
      </c>
      <c r="C63" s="265">
        <f t="shared" si="1"/>
        <v>19462281.416166168</v>
      </c>
      <c r="D63" s="265">
        <f t="shared" si="2"/>
        <v>1544361.6106450597</v>
      </c>
      <c r="E63" s="265">
        <f t="shared" si="3"/>
        <v>9263123.6359132417</v>
      </c>
      <c r="F63" s="136">
        <f t="shared" si="4"/>
        <v>30269766.662724469</v>
      </c>
    </row>
    <row r="64" spans="1:6" ht="15.75" x14ac:dyDescent="0.25">
      <c r="A64" s="85">
        <v>14</v>
      </c>
      <c r="B64" s="85" t="s">
        <v>28</v>
      </c>
      <c r="C64" s="265">
        <f t="shared" si="1"/>
        <v>13471606.464180777</v>
      </c>
      <c r="D64" s="265">
        <f t="shared" si="2"/>
        <v>1166114.431459622</v>
      </c>
      <c r="E64" s="265">
        <f t="shared" si="3"/>
        <v>8449776.1947111022</v>
      </c>
      <c r="F64" s="136">
        <f t="shared" si="4"/>
        <v>23087497.0903515</v>
      </c>
    </row>
    <row r="65" spans="1:6" ht="15.75" x14ac:dyDescent="0.25">
      <c r="A65" s="85">
        <v>15</v>
      </c>
      <c r="B65" s="85" t="s">
        <v>29</v>
      </c>
      <c r="C65" s="265">
        <f t="shared" si="1"/>
        <v>12766365.299069948</v>
      </c>
      <c r="D65" s="265">
        <f t="shared" si="2"/>
        <v>1448674.3654705989</v>
      </c>
      <c r="E65" s="265">
        <f t="shared" si="3"/>
        <v>7184569.0639522197</v>
      </c>
      <c r="F65" s="136">
        <f t="shared" si="4"/>
        <v>21399608.728492767</v>
      </c>
    </row>
    <row r="66" spans="1:6" ht="15.75" x14ac:dyDescent="0.25">
      <c r="A66" s="85">
        <v>16</v>
      </c>
      <c r="B66" s="85" t="s">
        <v>30</v>
      </c>
      <c r="C66" s="265">
        <f t="shared" si="1"/>
        <v>4799109.6040579397</v>
      </c>
      <c r="D66" s="265">
        <f t="shared" si="2"/>
        <v>525003.30910970725</v>
      </c>
      <c r="E66" s="265">
        <f t="shared" si="3"/>
        <v>2711158.13734046</v>
      </c>
      <c r="F66" s="136">
        <f t="shared" si="4"/>
        <v>8035271.0505081071</v>
      </c>
    </row>
    <row r="67" spans="1:6" ht="15.75" x14ac:dyDescent="0.25">
      <c r="A67" s="85">
        <v>17</v>
      </c>
      <c r="B67" s="85" t="s">
        <v>31</v>
      </c>
      <c r="C67" s="265">
        <f t="shared" si="1"/>
        <v>29715474.070496477</v>
      </c>
      <c r="D67" s="265">
        <f t="shared" si="2"/>
        <v>3724588.4695571908</v>
      </c>
      <c r="E67" s="265">
        <f t="shared" si="3"/>
        <v>14640253.941638485</v>
      </c>
      <c r="F67" s="136">
        <f t="shared" si="4"/>
        <v>48080316.48169215</v>
      </c>
    </row>
    <row r="68" spans="1:6" ht="15.75" x14ac:dyDescent="0.25">
      <c r="A68" s="85">
        <v>18</v>
      </c>
      <c r="B68" s="85" t="s">
        <v>32</v>
      </c>
      <c r="C68" s="265">
        <f t="shared" si="1"/>
        <v>4919624.1493611811</v>
      </c>
      <c r="D68" s="265">
        <f t="shared" si="2"/>
        <v>1842950.7848661237</v>
      </c>
      <c r="E68" s="265">
        <f t="shared" si="3"/>
        <v>3253389.7648085523</v>
      </c>
      <c r="F68" s="136">
        <f t="shared" si="4"/>
        <v>10015964.699035857</v>
      </c>
    </row>
    <row r="69" spans="1:6" ht="15.75" x14ac:dyDescent="0.25">
      <c r="A69" s="85">
        <v>19</v>
      </c>
      <c r="B69" s="85" t="s">
        <v>33</v>
      </c>
      <c r="C69" s="265">
        <f t="shared" si="1"/>
        <v>12528891.209799843</v>
      </c>
      <c r="D69" s="265">
        <f t="shared" si="2"/>
        <v>8152866.5141731957</v>
      </c>
      <c r="E69" s="265">
        <f t="shared" si="3"/>
        <v>7817172.6293316605</v>
      </c>
      <c r="F69" s="136">
        <f t="shared" si="4"/>
        <v>28498930.353304699</v>
      </c>
    </row>
    <row r="70" spans="1:6" ht="15.75" x14ac:dyDescent="0.25">
      <c r="A70" s="85"/>
      <c r="B70" s="86" t="s">
        <v>34</v>
      </c>
      <c r="C70" s="266">
        <f t="shared" si="1"/>
        <v>399727549.76363623</v>
      </c>
      <c r="D70" s="266">
        <f t="shared" si="2"/>
        <v>30671170.921801005</v>
      </c>
      <c r="E70" s="266">
        <f t="shared" si="3"/>
        <v>184584683.18392968</v>
      </c>
      <c r="F70" s="136">
        <f t="shared" si="4"/>
        <v>614983403.86936688</v>
      </c>
    </row>
    <row r="71" spans="1:6" ht="15.75" x14ac:dyDescent="0.25">
      <c r="A71" s="85"/>
      <c r="B71" s="256" t="s">
        <v>154</v>
      </c>
      <c r="C71" s="267">
        <f>C70/$F$70</f>
        <v>0.64998103566473686</v>
      </c>
      <c r="D71" s="267">
        <f t="shared" ref="D71:E71" si="5">D70/$F$70</f>
        <v>4.9873168493366517E-2</v>
      </c>
      <c r="E71" s="267">
        <f t="shared" si="5"/>
        <v>0.30014579584189666</v>
      </c>
      <c r="F71" s="113">
        <f>SUM(C71:E71)</f>
        <v>1</v>
      </c>
    </row>
    <row r="72" spans="1:6" ht="15.75" x14ac:dyDescent="0.25">
      <c r="A72" s="85"/>
      <c r="B72" s="86"/>
      <c r="C72" s="87"/>
      <c r="D72" s="87"/>
      <c r="E72" s="87"/>
      <c r="F72" s="136"/>
    </row>
    <row r="73" spans="1:6" ht="17.25" thickBot="1" x14ac:dyDescent="0.3">
      <c r="A73" s="91" t="s">
        <v>171</v>
      </c>
      <c r="B73" s="91"/>
      <c r="C73" s="91"/>
      <c r="D73" s="91"/>
      <c r="E73" s="91"/>
      <c r="F73" s="91"/>
    </row>
    <row r="74" spans="1:6" ht="16.5" thickTop="1" x14ac:dyDescent="0.25">
      <c r="A74" s="94" t="s">
        <v>6</v>
      </c>
      <c r="B74" s="94" t="s">
        <v>7</v>
      </c>
      <c r="C74" s="94" t="s">
        <v>135</v>
      </c>
      <c r="D74" s="94" t="s">
        <v>12</v>
      </c>
      <c r="E74" s="94" t="s">
        <v>153</v>
      </c>
      <c r="F74" s="94" t="s">
        <v>182</v>
      </c>
    </row>
    <row r="75" spans="1:6" ht="15.75" x14ac:dyDescent="0.25">
      <c r="A75" s="41">
        <v>31</v>
      </c>
      <c r="B75" s="41" t="s">
        <v>13</v>
      </c>
      <c r="C75" s="43">
        <f>C48/C22</f>
        <v>71.100026727576221</v>
      </c>
      <c r="D75" s="43">
        <f>D48/C22</f>
        <v>8.3696354246265162E-2</v>
      </c>
      <c r="E75" s="43">
        <f>E48/C22</f>
        <v>13.014541917439814</v>
      </c>
      <c r="F75" s="47">
        <f>SUM(C75:E75)</f>
        <v>84.198264999262307</v>
      </c>
    </row>
    <row r="76" spans="1:6" ht="15.75" x14ac:dyDescent="0.25">
      <c r="A76" s="41">
        <v>32</v>
      </c>
      <c r="B76" s="41" t="s">
        <v>39</v>
      </c>
      <c r="C76" s="43">
        <f t="shared" ref="C76:C97" si="6">C49/C23</f>
        <v>71.100026727576221</v>
      </c>
      <c r="D76" s="43">
        <f t="shared" ref="D76:D97" si="7">D49/C23</f>
        <v>7.5496483654580573E-2</v>
      </c>
      <c r="E76" s="43">
        <f t="shared" ref="E76:E97" si="8">E49/C23</f>
        <v>24.163371270298182</v>
      </c>
      <c r="F76" s="47">
        <f t="shared" ref="F76:F97" si="9">SUM(C76:E76)</f>
        <v>95.338894481528982</v>
      </c>
    </row>
    <row r="77" spans="1:6" ht="15.75" x14ac:dyDescent="0.25">
      <c r="A77" s="41">
        <v>33</v>
      </c>
      <c r="B77" s="41" t="s">
        <v>14</v>
      </c>
      <c r="C77" s="43">
        <f t="shared" si="6"/>
        <v>71.100026727576221</v>
      </c>
      <c r="D77" s="43">
        <f t="shared" si="7"/>
        <v>1.2604600254358875</v>
      </c>
      <c r="E77" s="43">
        <f t="shared" si="8"/>
        <v>26.413115099322059</v>
      </c>
      <c r="F77" s="47">
        <f t="shared" si="9"/>
        <v>98.773601852334167</v>
      </c>
    </row>
    <row r="78" spans="1:6" ht="15.75" x14ac:dyDescent="0.25">
      <c r="A78" s="41">
        <v>34</v>
      </c>
      <c r="B78" s="41" t="s">
        <v>15</v>
      </c>
      <c r="C78" s="43">
        <f t="shared" si="6"/>
        <v>71.100026727576221</v>
      </c>
      <c r="D78" s="43">
        <f t="shared" si="7"/>
        <v>4.4860052610625836</v>
      </c>
      <c r="E78" s="43">
        <f t="shared" si="8"/>
        <v>38.114771371672603</v>
      </c>
      <c r="F78" s="47">
        <f t="shared" si="9"/>
        <v>113.70080336031141</v>
      </c>
    </row>
    <row r="79" spans="1:6" ht="15.75" x14ac:dyDescent="0.25">
      <c r="A79" s="41">
        <v>35</v>
      </c>
      <c r="B79" s="41" t="s">
        <v>16</v>
      </c>
      <c r="C79" s="43">
        <f t="shared" si="6"/>
        <v>71.100026727576221</v>
      </c>
      <c r="D79" s="43">
        <f t="shared" si="7"/>
        <v>0.67145373124038832</v>
      </c>
      <c r="E79" s="43">
        <f t="shared" si="8"/>
        <v>32.438819251150214</v>
      </c>
      <c r="F79" s="47">
        <f t="shared" si="9"/>
        <v>104.21029970996682</v>
      </c>
    </row>
    <row r="80" spans="1:6" ht="15.75" x14ac:dyDescent="0.25">
      <c r="A80" s="41">
        <v>2</v>
      </c>
      <c r="B80" s="41" t="s">
        <v>17</v>
      </c>
      <c r="C80" s="43">
        <f t="shared" si="6"/>
        <v>71.100026727576221</v>
      </c>
      <c r="D80" s="43">
        <f t="shared" si="7"/>
        <v>3.3513248224820327</v>
      </c>
      <c r="E80" s="43">
        <f t="shared" si="8"/>
        <v>34.402334741262706</v>
      </c>
      <c r="F80" s="47">
        <f t="shared" si="9"/>
        <v>108.85368629132095</v>
      </c>
    </row>
    <row r="81" spans="1:6" ht="15.75" x14ac:dyDescent="0.25">
      <c r="A81" s="41">
        <v>4</v>
      </c>
      <c r="B81" s="41" t="s">
        <v>18</v>
      </c>
      <c r="C81" s="43">
        <f t="shared" si="6"/>
        <v>71.100026727576221</v>
      </c>
      <c r="D81" s="43">
        <f t="shared" si="7"/>
        <v>4.4432704578570474</v>
      </c>
      <c r="E81" s="43">
        <f t="shared" si="8"/>
        <v>49.463014296209153</v>
      </c>
      <c r="F81" s="47">
        <f t="shared" si="9"/>
        <v>125.00631148164243</v>
      </c>
    </row>
    <row r="82" spans="1:6" ht="15.75" x14ac:dyDescent="0.25">
      <c r="A82" s="41">
        <v>5</v>
      </c>
      <c r="B82" s="41" t="s">
        <v>19</v>
      </c>
      <c r="C82" s="43">
        <f t="shared" si="6"/>
        <v>71.100026727576221</v>
      </c>
      <c r="D82" s="43">
        <f t="shared" si="7"/>
        <v>2.7440969032411742</v>
      </c>
      <c r="E82" s="43">
        <f t="shared" si="8"/>
        <v>35.569605705029609</v>
      </c>
      <c r="F82" s="47">
        <f t="shared" si="9"/>
        <v>109.41372933584699</v>
      </c>
    </row>
    <row r="83" spans="1:6" ht="15.75" x14ac:dyDescent="0.25">
      <c r="A83" s="41">
        <v>6</v>
      </c>
      <c r="B83" s="41" t="s">
        <v>20</v>
      </c>
      <c r="C83" s="43">
        <f t="shared" si="6"/>
        <v>71.100026727576221</v>
      </c>
      <c r="D83" s="43">
        <f t="shared" si="7"/>
        <v>2.3011053580748215</v>
      </c>
      <c r="E83" s="43">
        <f t="shared" si="8"/>
        <v>28.153251685778404</v>
      </c>
      <c r="F83" s="47">
        <f t="shared" si="9"/>
        <v>101.55438377142944</v>
      </c>
    </row>
    <row r="84" spans="1:6" ht="15.75" x14ac:dyDescent="0.25">
      <c r="A84" s="41">
        <v>7</v>
      </c>
      <c r="B84" s="41" t="s">
        <v>21</v>
      </c>
      <c r="C84" s="43">
        <f t="shared" si="6"/>
        <v>71.100026727576221</v>
      </c>
      <c r="D84" s="43">
        <f t="shared" si="7"/>
        <v>2.7570602492761576</v>
      </c>
      <c r="E84" s="43">
        <f t="shared" si="8"/>
        <v>35.791391492451872</v>
      </c>
      <c r="F84" s="47">
        <f t="shared" si="9"/>
        <v>109.64847846930425</v>
      </c>
    </row>
    <row r="85" spans="1:6" ht="15.75" x14ac:dyDescent="0.25">
      <c r="A85" s="41">
        <v>8</v>
      </c>
      <c r="B85" s="41" t="s">
        <v>22</v>
      </c>
      <c r="C85" s="43">
        <f t="shared" si="6"/>
        <v>71.100026727576221</v>
      </c>
      <c r="D85" s="43">
        <f t="shared" si="7"/>
        <v>3.5199627620047349</v>
      </c>
      <c r="E85" s="43">
        <f t="shared" si="8"/>
        <v>51.492992702275522</v>
      </c>
      <c r="F85" s="47">
        <f t="shared" si="9"/>
        <v>126.11298219185647</v>
      </c>
    </row>
    <row r="86" spans="1:6" ht="15.75" x14ac:dyDescent="0.25">
      <c r="A86" s="41">
        <v>9</v>
      </c>
      <c r="B86" s="41" t="s">
        <v>23</v>
      </c>
      <c r="C86" s="43">
        <f t="shared" si="6"/>
        <v>71.100026727576235</v>
      </c>
      <c r="D86" s="43">
        <f t="shared" si="7"/>
        <v>4.493203663641669</v>
      </c>
      <c r="E86" s="43">
        <f t="shared" si="8"/>
        <v>46.190521880347731</v>
      </c>
      <c r="F86" s="47">
        <f t="shared" si="9"/>
        <v>121.78375227156563</v>
      </c>
    </row>
    <row r="87" spans="1:6" ht="15.75" x14ac:dyDescent="0.25">
      <c r="A87" s="41">
        <v>10</v>
      </c>
      <c r="B87" s="41" t="s">
        <v>24</v>
      </c>
      <c r="C87" s="43">
        <f t="shared" si="6"/>
        <v>71.100026727576221</v>
      </c>
      <c r="D87" s="43">
        <f t="shared" si="7"/>
        <v>10.839088574616076</v>
      </c>
      <c r="E87" s="43">
        <f t="shared" si="8"/>
        <v>47.603522669934094</v>
      </c>
      <c r="F87" s="47">
        <f t="shared" si="9"/>
        <v>129.54263797212639</v>
      </c>
    </row>
    <row r="88" spans="1:6" ht="15.75" x14ac:dyDescent="0.25">
      <c r="A88" s="41">
        <v>11</v>
      </c>
      <c r="B88" s="41" t="s">
        <v>25</v>
      </c>
      <c r="C88" s="43">
        <f t="shared" si="6"/>
        <v>71.100026727576221</v>
      </c>
      <c r="D88" s="43">
        <f t="shared" si="7"/>
        <v>6.889698364083289</v>
      </c>
      <c r="E88" s="43">
        <f t="shared" si="8"/>
        <v>33.637829387714689</v>
      </c>
      <c r="F88" s="47">
        <f t="shared" si="9"/>
        <v>111.6275544793742</v>
      </c>
    </row>
    <row r="89" spans="1:6" ht="15.75" x14ac:dyDescent="0.25">
      <c r="A89" s="41">
        <v>12</v>
      </c>
      <c r="B89" s="41" t="s">
        <v>26</v>
      </c>
      <c r="C89" s="43">
        <f t="shared" si="6"/>
        <v>71.100026727576221</v>
      </c>
      <c r="D89" s="43">
        <f t="shared" si="7"/>
        <v>11.525612782398488</v>
      </c>
      <c r="E89" s="43">
        <f t="shared" si="8"/>
        <v>41.709780658882387</v>
      </c>
      <c r="F89" s="47">
        <f t="shared" si="9"/>
        <v>124.3354201688571</v>
      </c>
    </row>
    <row r="90" spans="1:6" ht="15.75" x14ac:dyDescent="0.25">
      <c r="A90" s="41">
        <v>13</v>
      </c>
      <c r="B90" s="41" t="s">
        <v>27</v>
      </c>
      <c r="C90" s="43">
        <f t="shared" si="6"/>
        <v>71.100026727576221</v>
      </c>
      <c r="D90" s="43">
        <f t="shared" si="7"/>
        <v>5.6418951841225864</v>
      </c>
      <c r="E90" s="43">
        <f t="shared" si="8"/>
        <v>33.84024328962829</v>
      </c>
      <c r="F90" s="47">
        <f t="shared" si="9"/>
        <v>110.5821652013271</v>
      </c>
    </row>
    <row r="91" spans="1:6" ht="15.75" x14ac:dyDescent="0.25">
      <c r="A91" s="41">
        <v>14</v>
      </c>
      <c r="B91" s="41" t="s">
        <v>28</v>
      </c>
      <c r="C91" s="43">
        <f t="shared" si="6"/>
        <v>71.100026727576221</v>
      </c>
      <c r="D91" s="43">
        <f t="shared" si="7"/>
        <v>6.1544825752326018</v>
      </c>
      <c r="E91" s="43">
        <f t="shared" si="8"/>
        <v>44.595966701030761</v>
      </c>
      <c r="F91" s="47">
        <f t="shared" si="9"/>
        <v>121.85047600383959</v>
      </c>
    </row>
    <row r="92" spans="1:6" ht="15.75" x14ac:dyDescent="0.25">
      <c r="A92" s="41">
        <v>15</v>
      </c>
      <c r="B92" s="41" t="s">
        <v>29</v>
      </c>
      <c r="C92" s="43">
        <f t="shared" si="6"/>
        <v>71.100026727576221</v>
      </c>
      <c r="D92" s="43">
        <f t="shared" si="7"/>
        <v>8.0681371472284198</v>
      </c>
      <c r="E92" s="43">
        <f t="shared" si="8"/>
        <v>40.013194085111635</v>
      </c>
      <c r="F92" s="47">
        <f t="shared" si="9"/>
        <v>119.18135795991627</v>
      </c>
    </row>
    <row r="93" spans="1:6" ht="15.75" x14ac:dyDescent="0.25">
      <c r="A93" s="41">
        <v>16</v>
      </c>
      <c r="B93" s="41" t="s">
        <v>30</v>
      </c>
      <c r="C93" s="43">
        <f t="shared" si="6"/>
        <v>71.100026727576221</v>
      </c>
      <c r="D93" s="43">
        <f t="shared" si="7"/>
        <v>7.7780572625812212</v>
      </c>
      <c r="E93" s="43">
        <f t="shared" si="8"/>
        <v>40.16649585677294</v>
      </c>
      <c r="F93" s="47">
        <f t="shared" si="9"/>
        <v>119.04457984693039</v>
      </c>
    </row>
    <row r="94" spans="1:6" ht="15.75" x14ac:dyDescent="0.25">
      <c r="A94" s="41">
        <v>17</v>
      </c>
      <c r="B94" s="41" t="s">
        <v>31</v>
      </c>
      <c r="C94" s="43">
        <f t="shared" si="6"/>
        <v>71.100026727576221</v>
      </c>
      <c r="D94" s="43">
        <f t="shared" si="7"/>
        <v>8.9117992567269173</v>
      </c>
      <c r="E94" s="43">
        <f t="shared" si="8"/>
        <v>35.029642942243925</v>
      </c>
      <c r="F94" s="47">
        <f t="shared" si="9"/>
        <v>115.04146892654707</v>
      </c>
    </row>
    <row r="95" spans="1:6" ht="15.75" x14ac:dyDescent="0.25">
      <c r="A95" s="41">
        <v>18</v>
      </c>
      <c r="B95" s="41" t="s">
        <v>32</v>
      </c>
      <c r="C95" s="43">
        <f t="shared" si="6"/>
        <v>71.100026727576221</v>
      </c>
      <c r="D95" s="43">
        <f t="shared" si="7"/>
        <v>26.63493106045588</v>
      </c>
      <c r="E95" s="43">
        <f t="shared" si="8"/>
        <v>47.019059222877345</v>
      </c>
      <c r="F95" s="47">
        <f t="shared" si="9"/>
        <v>144.75401701090945</v>
      </c>
    </row>
    <row r="96" spans="1:6" ht="15.75" x14ac:dyDescent="0.25">
      <c r="A96" s="41">
        <v>19</v>
      </c>
      <c r="B96" s="41" t="s">
        <v>33</v>
      </c>
      <c r="C96" s="43">
        <f t="shared" si="6"/>
        <v>71.100026727576221</v>
      </c>
      <c r="D96" s="43">
        <f t="shared" si="7"/>
        <v>46.266586352882534</v>
      </c>
      <c r="E96" s="43">
        <f t="shared" si="8"/>
        <v>44.361561895024039</v>
      </c>
      <c r="F96" s="47">
        <f t="shared" si="9"/>
        <v>161.7281749754828</v>
      </c>
    </row>
    <row r="97" spans="1:6" ht="15.75" x14ac:dyDescent="0.25">
      <c r="A97" s="41"/>
      <c r="B97" s="45" t="s">
        <v>34</v>
      </c>
      <c r="C97" s="47">
        <f t="shared" si="6"/>
        <v>71.100026727576221</v>
      </c>
      <c r="D97" s="47">
        <f t="shared" si="7"/>
        <v>5.455518574077761</v>
      </c>
      <c r="E97" s="47">
        <f t="shared" si="8"/>
        <v>32.832302691267977</v>
      </c>
      <c r="F97" s="47">
        <f t="shared" si="9"/>
        <v>109.38784799292196</v>
      </c>
    </row>
    <row r="98" spans="1:6" ht="15.75" x14ac:dyDescent="0.25">
      <c r="A98" s="41"/>
      <c r="B98" s="261" t="s">
        <v>154</v>
      </c>
      <c r="C98" s="113">
        <f>C97/$F$97</f>
        <v>0.64998103566473686</v>
      </c>
      <c r="D98" s="113">
        <f t="shared" ref="D98:E98" si="10">D97/$F$97</f>
        <v>4.987316849336651E-2</v>
      </c>
      <c r="E98" s="113">
        <f t="shared" si="10"/>
        <v>0.3001457958418966</v>
      </c>
      <c r="F98" s="113">
        <f>SUM(C98:E98)</f>
        <v>1</v>
      </c>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B1B2-3B79-4400-A386-C2C4183AAA6B}">
  <sheetPr>
    <tabColor theme="8"/>
  </sheetPr>
  <dimension ref="A1:AR142"/>
  <sheetViews>
    <sheetView zoomScaleNormal="100" workbookViewId="0"/>
  </sheetViews>
  <sheetFormatPr defaultColWidth="22.25" defaultRowHeight="14.25" x14ac:dyDescent="0.2"/>
  <cols>
    <col min="1" max="8" width="22.25" style="9"/>
    <col min="9" max="9" width="20.75" style="9" customWidth="1"/>
    <col min="10" max="10" width="22.25" style="9"/>
    <col min="11" max="11" width="20" style="9" customWidth="1"/>
    <col min="12" max="44" width="22.25" style="111"/>
    <col min="45" max="16384" width="22.25" style="9"/>
  </cols>
  <sheetData>
    <row r="1" spans="1:44" ht="20.25" x14ac:dyDescent="0.3">
      <c r="A1" s="95" t="s">
        <v>343</v>
      </c>
      <c r="D1" s="341"/>
    </row>
    <row r="2" spans="1:44" x14ac:dyDescent="0.2">
      <c r="A2" s="9" t="str">
        <f>INFO!A2</f>
        <v>VM/HVO 30.4.2026</v>
      </c>
    </row>
    <row r="3" spans="1:44" s="350" customFormat="1" ht="67.5" customHeight="1" x14ac:dyDescent="0.2">
      <c r="A3" s="408" t="s">
        <v>484</v>
      </c>
      <c r="B3" s="408"/>
      <c r="C3" s="408"/>
      <c r="D3" s="408"/>
      <c r="E3" s="408"/>
      <c r="F3" s="408"/>
      <c r="G3" s="408"/>
      <c r="H3" s="408"/>
      <c r="I3" s="408"/>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row>
    <row r="4" spans="1:44" ht="73.150000000000006" customHeight="1" x14ac:dyDescent="0.2">
      <c r="A4" s="408" t="s">
        <v>492</v>
      </c>
      <c r="B4" s="408"/>
      <c r="C4" s="408"/>
      <c r="D4" s="408"/>
      <c r="E4" s="408"/>
      <c r="F4" s="408"/>
      <c r="G4" s="408"/>
      <c r="H4" s="408"/>
      <c r="I4" s="408"/>
    </row>
    <row r="5" spans="1:44" ht="17.45" customHeight="1" x14ac:dyDescent="0.2">
      <c r="A5" s="363"/>
      <c r="B5" s="363"/>
      <c r="C5" s="363"/>
      <c r="D5" s="363"/>
      <c r="E5" s="363"/>
      <c r="F5" s="363"/>
      <c r="G5" s="363"/>
      <c r="H5" s="363"/>
      <c r="I5" s="363"/>
    </row>
    <row r="6" spans="1:44" ht="17.45" customHeight="1" thickBot="1" x14ac:dyDescent="0.3">
      <c r="A6" s="92" t="s">
        <v>351</v>
      </c>
      <c r="B6" s="92"/>
      <c r="C6" s="92"/>
      <c r="D6" s="92"/>
      <c r="E6" s="92"/>
      <c r="F6" s="92"/>
      <c r="G6" s="92"/>
      <c r="H6" s="92"/>
      <c r="I6" s="92"/>
      <c r="J6" s="92"/>
      <c r="K6" s="92"/>
    </row>
    <row r="7" spans="1:44" ht="45.75" thickTop="1" x14ac:dyDescent="0.25">
      <c r="A7" s="325" t="s">
        <v>6</v>
      </c>
      <c r="B7" s="326" t="s">
        <v>7</v>
      </c>
      <c r="C7" s="343" t="s">
        <v>311</v>
      </c>
      <c r="D7" s="327" t="s">
        <v>260</v>
      </c>
      <c r="E7" s="368" t="s">
        <v>262</v>
      </c>
      <c r="F7" s="327" t="s">
        <v>263</v>
      </c>
      <c r="G7" s="100" t="s">
        <v>264</v>
      </c>
      <c r="H7" s="100" t="s">
        <v>344</v>
      </c>
      <c r="I7" s="343" t="s">
        <v>345</v>
      </c>
      <c r="J7" s="366" t="s">
        <v>471</v>
      </c>
      <c r="K7" s="366" t="s">
        <v>472</v>
      </c>
    </row>
    <row r="8" spans="1:44" ht="15" x14ac:dyDescent="0.25">
      <c r="A8" s="328">
        <v>31</v>
      </c>
      <c r="B8" s="329" t="s">
        <v>13</v>
      </c>
      <c r="C8" s="344">
        <f>Määräytymistekijät!C7</f>
        <v>694392</v>
      </c>
      <c r="D8" s="344">
        <v>3087972688.1315613</v>
      </c>
      <c r="E8" s="342">
        <f>'SOTE laskennallinen rahoitus'!N54+'PELA laskennallinen rahoitus'!F48</f>
        <v>3097121792.5827518</v>
      </c>
      <c r="F8" s="342">
        <v>99817558.637165055</v>
      </c>
      <c r="G8" s="345">
        <f t="shared" ref="G8:G28" si="0">E8+F8</f>
        <v>3196939351.2199168</v>
      </c>
      <c r="H8" s="346">
        <f t="shared" ref="H8:H28" si="1">G8-D8</f>
        <v>108966663.08835554</v>
      </c>
      <c r="I8" s="347">
        <f t="shared" ref="I8:I29" si="2">G8/D8-1</f>
        <v>3.5287443929527651E-2</v>
      </c>
      <c r="J8" s="344">
        <f t="shared" ref="J8:J30" si="3">J36</f>
        <v>3185582389.5026617</v>
      </c>
      <c r="K8" s="367">
        <f t="shared" ref="K8:K30" si="4">K36</f>
        <v>3.1609638824286801E-2</v>
      </c>
    </row>
    <row r="9" spans="1:44" ht="15" x14ac:dyDescent="0.25">
      <c r="A9" s="328">
        <v>32</v>
      </c>
      <c r="B9" s="329" t="s">
        <v>39</v>
      </c>
      <c r="C9" s="330">
        <f>Määräytymistekijät!C8</f>
        <v>291723</v>
      </c>
      <c r="D9" s="330">
        <v>1263353018.8375609</v>
      </c>
      <c r="E9" s="331">
        <f>'SOTE laskennallinen rahoitus'!N55+'PELA laskennallinen rahoitus'!F49</f>
        <v>1318770625.7677593</v>
      </c>
      <c r="F9" s="331">
        <v>0</v>
      </c>
      <c r="G9" s="337">
        <f t="shared" si="0"/>
        <v>1318770625.7677593</v>
      </c>
      <c r="H9" s="338">
        <f t="shared" si="1"/>
        <v>55417606.930198431</v>
      </c>
      <c r="I9" s="347">
        <f t="shared" si="2"/>
        <v>4.3865496107484914E-2</v>
      </c>
      <c r="J9" s="330">
        <f t="shared" si="3"/>
        <v>1313999420.248337</v>
      </c>
      <c r="K9" s="367">
        <f t="shared" si="4"/>
        <v>4.0088875124846046E-2</v>
      </c>
    </row>
    <row r="10" spans="1:44" ht="15" x14ac:dyDescent="0.25">
      <c r="A10" s="328">
        <v>33</v>
      </c>
      <c r="B10" s="329" t="s">
        <v>14</v>
      </c>
      <c r="C10" s="330">
        <f>Määräytymistekijät!C9</f>
        <v>506379</v>
      </c>
      <c r="D10" s="330">
        <v>2034511719.162456</v>
      </c>
      <c r="E10" s="331">
        <f>'SOTE laskennallinen rahoitus'!N56+'PELA laskennallinen rahoitus'!F50</f>
        <v>2051439727.2707314</v>
      </c>
      <c r="F10" s="331">
        <v>0</v>
      </c>
      <c r="G10" s="337">
        <f t="shared" si="0"/>
        <v>2051439727.2707314</v>
      </c>
      <c r="H10" s="338">
        <f t="shared" si="1"/>
        <v>16928008.108275414</v>
      </c>
      <c r="I10" s="347">
        <f t="shared" si="2"/>
        <v>8.3204279183233254E-3</v>
      </c>
      <c r="J10" s="330">
        <f t="shared" si="3"/>
        <v>2051439727.2707314</v>
      </c>
      <c r="K10" s="367">
        <f t="shared" si="4"/>
        <v>8.3204279183233254E-3</v>
      </c>
    </row>
    <row r="11" spans="1:44" ht="15" x14ac:dyDescent="0.25">
      <c r="A11" s="328">
        <v>34</v>
      </c>
      <c r="B11" s="329" t="s">
        <v>15</v>
      </c>
      <c r="C11" s="330">
        <f>Määräytymistekijät!C10</f>
        <v>99584</v>
      </c>
      <c r="D11" s="330">
        <v>437740462.35895199</v>
      </c>
      <c r="E11" s="331">
        <f>'SOTE laskennallinen rahoitus'!N57+'PELA laskennallinen rahoitus'!F51</f>
        <v>463121495.71943122</v>
      </c>
      <c r="F11" s="331">
        <v>-17370243.995929066</v>
      </c>
      <c r="G11" s="337">
        <f t="shared" si="0"/>
        <v>445751251.72350216</v>
      </c>
      <c r="H11" s="338">
        <f t="shared" si="1"/>
        <v>8010789.3645501733</v>
      </c>
      <c r="I11" s="347">
        <f t="shared" si="2"/>
        <v>1.8300317319035475E-2</v>
      </c>
      <c r="J11" s="330">
        <f t="shared" si="3"/>
        <v>444122529.50946295</v>
      </c>
      <c r="K11" s="367">
        <f t="shared" si="4"/>
        <v>1.4579568715485935E-2</v>
      </c>
    </row>
    <row r="12" spans="1:44" ht="15" x14ac:dyDescent="0.25">
      <c r="A12" s="328">
        <v>35</v>
      </c>
      <c r="B12" s="329" t="s">
        <v>16</v>
      </c>
      <c r="C12" s="330">
        <f>Määräytymistekijät!C11</f>
        <v>207551</v>
      </c>
      <c r="D12" s="330">
        <v>878977061.7432971</v>
      </c>
      <c r="E12" s="331">
        <f>'SOTE laskennallinen rahoitus'!N58+'PELA laskennallinen rahoitus'!F52</f>
        <v>883241307.26206338</v>
      </c>
      <c r="F12" s="331">
        <v>13039731.026091814</v>
      </c>
      <c r="G12" s="337">
        <f t="shared" si="0"/>
        <v>896281038.2881552</v>
      </c>
      <c r="H12" s="338">
        <f t="shared" si="1"/>
        <v>17303976.544858098</v>
      </c>
      <c r="I12" s="347">
        <f t="shared" si="2"/>
        <v>1.968649387793886E-2</v>
      </c>
      <c r="J12" s="330">
        <f t="shared" si="3"/>
        <v>892886487.71531165</v>
      </c>
      <c r="K12" s="367">
        <f t="shared" si="4"/>
        <v>1.5824560818945121E-2</v>
      </c>
    </row>
    <row r="13" spans="1:44" ht="15" x14ac:dyDescent="0.25">
      <c r="A13" s="334">
        <v>2</v>
      </c>
      <c r="B13" s="329" t="s">
        <v>17</v>
      </c>
      <c r="C13" s="330">
        <f>Määräytymistekijät!C12</f>
        <v>497800</v>
      </c>
      <c r="D13" s="330">
        <v>2432515178.2568226</v>
      </c>
      <c r="E13" s="331">
        <f>'SOTE laskennallinen rahoitus'!N59+'PELA laskennallinen rahoitus'!F53</f>
        <v>2515599852.9100194</v>
      </c>
      <c r="F13" s="331">
        <v>-52306701.399128668</v>
      </c>
      <c r="G13" s="337">
        <f t="shared" si="0"/>
        <v>2463293151.510891</v>
      </c>
      <c r="H13" s="338">
        <f t="shared" si="1"/>
        <v>30777973.254068375</v>
      </c>
      <c r="I13" s="347">
        <f t="shared" si="2"/>
        <v>1.2652736364886508E-2</v>
      </c>
      <c r="J13" s="330">
        <f t="shared" si="3"/>
        <v>2462937939.7533755</v>
      </c>
      <c r="K13" s="367">
        <f t="shared" si="4"/>
        <v>1.2506709832065477E-2</v>
      </c>
    </row>
    <row r="14" spans="1:44" ht="15" x14ac:dyDescent="0.25">
      <c r="A14" s="334">
        <v>4</v>
      </c>
      <c r="B14" s="329" t="s">
        <v>18</v>
      </c>
      <c r="C14" s="330">
        <f>Määräytymistekijät!C13</f>
        <v>210112</v>
      </c>
      <c r="D14" s="330">
        <v>1086939426.6398733</v>
      </c>
      <c r="E14" s="331">
        <f>'SOTE laskennallinen rahoitus'!N60+'PELA laskennallinen rahoitus'!F54</f>
        <v>1058426137.4556007</v>
      </c>
      <c r="F14" s="331">
        <v>14622794.288122892</v>
      </c>
      <c r="G14" s="337">
        <f t="shared" si="0"/>
        <v>1073048931.7437236</v>
      </c>
      <c r="H14" s="338">
        <f t="shared" si="1"/>
        <v>-13890494.896149635</v>
      </c>
      <c r="I14" s="347">
        <f t="shared" si="2"/>
        <v>-1.2779456293245506E-2</v>
      </c>
      <c r="J14" s="330">
        <f t="shared" si="3"/>
        <v>1086939426.6398733</v>
      </c>
      <c r="K14" s="367">
        <f t="shared" si="4"/>
        <v>0</v>
      </c>
    </row>
    <row r="15" spans="1:44" ht="15" x14ac:dyDescent="0.25">
      <c r="A15" s="334">
        <v>5</v>
      </c>
      <c r="B15" s="329" t="s">
        <v>19</v>
      </c>
      <c r="C15" s="330">
        <f>Määräytymistekijät!C14</f>
        <v>168957</v>
      </c>
      <c r="D15" s="330">
        <v>828385921.53369272</v>
      </c>
      <c r="E15" s="331">
        <f>'SOTE laskennallinen rahoitus'!N61+'PELA laskennallinen rahoitus'!F55</f>
        <v>833637211.39111817</v>
      </c>
      <c r="F15" s="331">
        <v>-940901.35390305403</v>
      </c>
      <c r="G15" s="337">
        <f t="shared" si="0"/>
        <v>832696310.03721511</v>
      </c>
      <c r="H15" s="338">
        <f t="shared" si="1"/>
        <v>4310388.5035223961</v>
      </c>
      <c r="I15" s="347">
        <f t="shared" si="2"/>
        <v>5.2033579898871363E-3</v>
      </c>
      <c r="J15" s="330">
        <f t="shared" si="3"/>
        <v>832696310.03721511</v>
      </c>
      <c r="K15" s="367">
        <f t="shared" si="4"/>
        <v>5.2033579898871363E-3</v>
      </c>
    </row>
    <row r="16" spans="1:44" ht="15" x14ac:dyDescent="0.25">
      <c r="A16" s="334">
        <v>6</v>
      </c>
      <c r="B16" s="329" t="s">
        <v>20</v>
      </c>
      <c r="C16" s="330">
        <f>Määräytymistekijät!C15</f>
        <v>548910</v>
      </c>
      <c r="D16" s="330">
        <v>2582609832.1290555</v>
      </c>
      <c r="E16" s="331">
        <f>'SOTE laskennallinen rahoitus'!N62+'PELA laskennallinen rahoitus'!F56</f>
        <v>2587696163.7294254</v>
      </c>
      <c r="F16" s="331">
        <v>0</v>
      </c>
      <c r="G16" s="337">
        <f t="shared" si="0"/>
        <v>2587696163.7294254</v>
      </c>
      <c r="H16" s="338">
        <f t="shared" si="1"/>
        <v>5086331.6003699303</v>
      </c>
      <c r="I16" s="347">
        <f t="shared" si="2"/>
        <v>1.9694541301180646E-3</v>
      </c>
      <c r="J16" s="330">
        <f t="shared" si="3"/>
        <v>2587696163.7294254</v>
      </c>
      <c r="K16" s="367">
        <f t="shared" si="4"/>
        <v>1.9694541301180646E-3</v>
      </c>
    </row>
    <row r="17" spans="1:11" ht="15" x14ac:dyDescent="0.25">
      <c r="A17" s="334">
        <v>7</v>
      </c>
      <c r="B17" s="329" t="s">
        <v>21</v>
      </c>
      <c r="C17" s="330">
        <f>Määräytymistekijät!C16</f>
        <v>204522</v>
      </c>
      <c r="D17" s="330">
        <v>996294251.87638068</v>
      </c>
      <c r="E17" s="331">
        <f>'SOTE laskennallinen rahoitus'!N63+'PELA laskennallinen rahoitus'!F57</f>
        <v>1040153328.4921417</v>
      </c>
      <c r="F17" s="331">
        <v>-33254487.665901065</v>
      </c>
      <c r="G17" s="337">
        <f t="shared" si="0"/>
        <v>1006898840.8262407</v>
      </c>
      <c r="H17" s="338">
        <f t="shared" si="1"/>
        <v>10604588.949859977</v>
      </c>
      <c r="I17" s="347">
        <f t="shared" si="2"/>
        <v>1.0644033055382751E-2</v>
      </c>
      <c r="J17" s="330">
        <f t="shared" si="3"/>
        <v>1006898840.8262407</v>
      </c>
      <c r="K17" s="367">
        <f t="shared" si="4"/>
        <v>1.0644033055382751E-2</v>
      </c>
    </row>
    <row r="18" spans="1:11" ht="15" x14ac:dyDescent="0.25">
      <c r="A18" s="334">
        <v>8</v>
      </c>
      <c r="B18" s="329" t="s">
        <v>22</v>
      </c>
      <c r="C18" s="330">
        <f>Määräytymistekijät!C17</f>
        <v>156198</v>
      </c>
      <c r="D18" s="330">
        <v>904018461.30425584</v>
      </c>
      <c r="E18" s="331">
        <f>'SOTE laskennallinen rahoitus'!N64+'PELA laskennallinen rahoitus'!F58</f>
        <v>853617980.15594125</v>
      </c>
      <c r="F18" s="331">
        <v>37929158.261614442</v>
      </c>
      <c r="G18" s="337">
        <f t="shared" si="0"/>
        <v>891547138.41755569</v>
      </c>
      <c r="H18" s="338">
        <f t="shared" si="1"/>
        <v>-12471322.886700153</v>
      </c>
      <c r="I18" s="347">
        <f t="shared" si="2"/>
        <v>-1.3795429430398354E-2</v>
      </c>
      <c r="J18" s="330">
        <f t="shared" si="3"/>
        <v>904018461.30425584</v>
      </c>
      <c r="K18" s="367">
        <f t="shared" si="4"/>
        <v>0</v>
      </c>
    </row>
    <row r="19" spans="1:11" ht="15" x14ac:dyDescent="0.25">
      <c r="A19" s="334">
        <v>9</v>
      </c>
      <c r="B19" s="329" t="s">
        <v>23</v>
      </c>
      <c r="C19" s="330">
        <f>Määräytymistekijät!C18</f>
        <v>124238</v>
      </c>
      <c r="D19" s="330">
        <v>613543402.20651472</v>
      </c>
      <c r="E19" s="331">
        <f>'SOTE laskennallinen rahoitus'!N65+'PELA laskennallinen rahoitus'!F59</f>
        <v>602432748.28188336</v>
      </c>
      <c r="F19" s="331">
        <v>0</v>
      </c>
      <c r="G19" s="337">
        <f t="shared" si="0"/>
        <v>602432748.28188336</v>
      </c>
      <c r="H19" s="338">
        <f t="shared" si="1"/>
        <v>-11110653.924631357</v>
      </c>
      <c r="I19" s="347">
        <f t="shared" si="2"/>
        <v>-1.8108994220577657E-2</v>
      </c>
      <c r="J19" s="330">
        <f t="shared" si="3"/>
        <v>613543402.20651472</v>
      </c>
      <c r="K19" s="367">
        <f t="shared" si="4"/>
        <v>0</v>
      </c>
    </row>
    <row r="20" spans="1:11" ht="15" x14ac:dyDescent="0.25">
      <c r="A20" s="334">
        <v>10</v>
      </c>
      <c r="B20" s="329" t="s">
        <v>24</v>
      </c>
      <c r="C20" s="330">
        <f>Määräytymistekijät!C19</f>
        <v>128144</v>
      </c>
      <c r="D20" s="330">
        <v>783434949.51861668</v>
      </c>
      <c r="E20" s="331">
        <f>'SOTE laskennallinen rahoitus'!N66+'PELA laskennallinen rahoitus'!F60</f>
        <v>757935654.74992085</v>
      </c>
      <c r="F20" s="331">
        <v>30679764.959971186</v>
      </c>
      <c r="G20" s="337">
        <f t="shared" si="0"/>
        <v>788615419.70989203</v>
      </c>
      <c r="H20" s="338">
        <f t="shared" si="1"/>
        <v>5180470.1912753582</v>
      </c>
      <c r="I20" s="347">
        <f t="shared" si="2"/>
        <v>6.6125084085901786E-3</v>
      </c>
      <c r="J20" s="330">
        <f t="shared" si="3"/>
        <v>788615419.70989203</v>
      </c>
      <c r="K20" s="367">
        <f t="shared" si="4"/>
        <v>6.6125084085901786E-3</v>
      </c>
    </row>
    <row r="21" spans="1:11" ht="15" x14ac:dyDescent="0.25">
      <c r="A21" s="334">
        <v>11</v>
      </c>
      <c r="B21" s="329" t="s">
        <v>25</v>
      </c>
      <c r="C21" s="330">
        <f>Määräytymistekijät!C20</f>
        <v>248512</v>
      </c>
      <c r="D21" s="330">
        <v>1331700508.4349513</v>
      </c>
      <c r="E21" s="331">
        <f>'SOTE laskennallinen rahoitus'!N67+'PELA laskennallinen rahoitus'!F61</f>
        <v>1331048875.1772778</v>
      </c>
      <c r="F21" s="331">
        <v>0</v>
      </c>
      <c r="G21" s="337">
        <f t="shared" si="0"/>
        <v>1331048875.1772778</v>
      </c>
      <c r="H21" s="338">
        <f t="shared" si="1"/>
        <v>-651633.25767350197</v>
      </c>
      <c r="I21" s="347">
        <f t="shared" si="2"/>
        <v>-4.8932417878200241E-4</v>
      </c>
      <c r="J21" s="330">
        <f t="shared" si="3"/>
        <v>1331700508.4349513</v>
      </c>
      <c r="K21" s="367">
        <f t="shared" si="4"/>
        <v>0</v>
      </c>
    </row>
    <row r="22" spans="1:11" ht="15" x14ac:dyDescent="0.25">
      <c r="A22" s="334">
        <v>12</v>
      </c>
      <c r="B22" s="329" t="s">
        <v>26</v>
      </c>
      <c r="C22" s="330">
        <f>Määräytymistekijät!C21</f>
        <v>161418</v>
      </c>
      <c r="D22" s="330">
        <v>880663214.96120441</v>
      </c>
      <c r="E22" s="331">
        <f>'SOTE laskennallinen rahoitus'!N68+'PELA laskennallinen rahoitus'!F62</f>
        <v>943916493.79364502</v>
      </c>
      <c r="F22" s="331">
        <v>-48489187.798103213</v>
      </c>
      <c r="G22" s="337">
        <f t="shared" si="0"/>
        <v>895427305.99554181</v>
      </c>
      <c r="H22" s="338">
        <f t="shared" si="1"/>
        <v>14764091.034337401</v>
      </c>
      <c r="I22" s="347">
        <f t="shared" si="2"/>
        <v>1.6764741371635195E-2</v>
      </c>
      <c r="J22" s="330">
        <f t="shared" si="3"/>
        <v>892787272.63329709</v>
      </c>
      <c r="K22" s="367">
        <f t="shared" si="4"/>
        <v>1.3766962745942246E-2</v>
      </c>
    </row>
    <row r="23" spans="1:11" ht="15" x14ac:dyDescent="0.25">
      <c r="A23" s="334">
        <v>13</v>
      </c>
      <c r="B23" s="329" t="s">
        <v>27</v>
      </c>
      <c r="C23" s="330">
        <f>Määräytymistekijät!C22</f>
        <v>273731</v>
      </c>
      <c r="D23" s="330">
        <v>1310331045.2925272</v>
      </c>
      <c r="E23" s="331">
        <f>'SOTE laskennallinen rahoitus'!N69+'PELA laskennallinen rahoitus'!F63</f>
        <v>1312806826.5896213</v>
      </c>
      <c r="F23" s="331">
        <v>9401588.090139389</v>
      </c>
      <c r="G23" s="337">
        <f t="shared" si="0"/>
        <v>1322208414.6797607</v>
      </c>
      <c r="H23" s="338">
        <f t="shared" si="1"/>
        <v>11877369.387233496</v>
      </c>
      <c r="I23" s="347">
        <f t="shared" si="2"/>
        <v>9.0644035565698999E-3</v>
      </c>
      <c r="J23" s="330">
        <f t="shared" si="3"/>
        <v>1322208414.6797607</v>
      </c>
      <c r="K23" s="367">
        <f t="shared" si="4"/>
        <v>9.0644035565698999E-3</v>
      </c>
    </row>
    <row r="24" spans="1:11" ht="15" x14ac:dyDescent="0.25">
      <c r="A24" s="334">
        <v>14</v>
      </c>
      <c r="B24" s="329" t="s">
        <v>28</v>
      </c>
      <c r="C24" s="330">
        <f>Määräytymistekijät!C23</f>
        <v>189474</v>
      </c>
      <c r="D24" s="330">
        <v>1014477957.6732956</v>
      </c>
      <c r="E24" s="331">
        <f>'SOTE laskennallinen rahoitus'!N70+'PELA laskennallinen rahoitus'!F64</f>
        <v>1031128640.3703383</v>
      </c>
      <c r="F24" s="331">
        <v>0</v>
      </c>
      <c r="G24" s="337">
        <f t="shared" si="0"/>
        <v>1031128640.3703383</v>
      </c>
      <c r="H24" s="338">
        <f t="shared" si="1"/>
        <v>16650682.697042704</v>
      </c>
      <c r="I24" s="347">
        <f t="shared" si="2"/>
        <v>1.6413055178873481E-2</v>
      </c>
      <c r="J24" s="330">
        <f t="shared" si="3"/>
        <v>1028029743.832914</v>
      </c>
      <c r="K24" s="367">
        <f t="shared" si="4"/>
        <v>1.3358384040890625E-2</v>
      </c>
    </row>
    <row r="25" spans="1:11" ht="15" x14ac:dyDescent="0.25">
      <c r="A25" s="334">
        <v>15</v>
      </c>
      <c r="B25" s="329" t="s">
        <v>29</v>
      </c>
      <c r="C25" s="330">
        <f>Määräytymistekijät!C24</f>
        <v>179555</v>
      </c>
      <c r="D25" s="330">
        <v>862910936.29623485</v>
      </c>
      <c r="E25" s="331">
        <f>'SOTE laskennallinen rahoitus'!N71+'PELA laskennallinen rahoitus'!F65</f>
        <v>871244017.32679653</v>
      </c>
      <c r="F25" s="331">
        <v>8076024.928301096</v>
      </c>
      <c r="G25" s="337">
        <f t="shared" si="0"/>
        <v>879320042.25509763</v>
      </c>
      <c r="H25" s="338">
        <f t="shared" si="1"/>
        <v>16409105.958862782</v>
      </c>
      <c r="I25" s="347">
        <f t="shared" si="2"/>
        <v>1.9015990258848259E-2</v>
      </c>
      <c r="J25" s="330">
        <f t="shared" si="3"/>
        <v>876383373.54183233</v>
      </c>
      <c r="K25" s="367">
        <f t="shared" si="4"/>
        <v>1.5612778421169926E-2</v>
      </c>
    </row>
    <row r="26" spans="1:11" ht="15" x14ac:dyDescent="0.25">
      <c r="A26" s="334">
        <v>16</v>
      </c>
      <c r="B26" s="329" t="s">
        <v>30</v>
      </c>
      <c r="C26" s="330">
        <f>Määräytymistekijät!C25</f>
        <v>67498</v>
      </c>
      <c r="D26" s="330">
        <v>343861420.9720608</v>
      </c>
      <c r="E26" s="331">
        <f>'SOTE laskennallinen rahoitus'!N72+'PELA laskennallinen rahoitus'!F66</f>
        <v>356432849.07796174</v>
      </c>
      <c r="F26" s="331">
        <v>-11603586.953637004</v>
      </c>
      <c r="G26" s="337">
        <f t="shared" si="0"/>
        <v>344829262.12432474</v>
      </c>
      <c r="H26" s="338">
        <f t="shared" si="1"/>
        <v>967841.15226393938</v>
      </c>
      <c r="I26" s="347">
        <f t="shared" si="2"/>
        <v>2.814625582387098E-3</v>
      </c>
      <c r="J26" s="330">
        <f t="shared" si="3"/>
        <v>344829262.12432474</v>
      </c>
      <c r="K26" s="367">
        <f t="shared" si="4"/>
        <v>2.814625582387098E-3</v>
      </c>
    </row>
    <row r="27" spans="1:11" ht="15" x14ac:dyDescent="0.25">
      <c r="A27" s="334">
        <v>17</v>
      </c>
      <c r="B27" s="329" t="s">
        <v>31</v>
      </c>
      <c r="C27" s="330">
        <f>Määräytymistekijät!C26</f>
        <v>417939</v>
      </c>
      <c r="D27" s="330">
        <v>2051875414.3732989</v>
      </c>
      <c r="E27" s="331">
        <f>'SOTE laskennallinen rahoitus'!N73+'PELA laskennallinen rahoitus'!F67</f>
        <v>2091836425.559875</v>
      </c>
      <c r="F27" s="331">
        <v>-1318725.2460839753</v>
      </c>
      <c r="G27" s="337">
        <f t="shared" si="0"/>
        <v>2090517700.313791</v>
      </c>
      <c r="H27" s="338">
        <f t="shared" si="1"/>
        <v>38642285.940492153</v>
      </c>
      <c r="I27" s="347">
        <f t="shared" si="2"/>
        <v>1.8832666773920481E-2</v>
      </c>
      <c r="J27" s="330">
        <f t="shared" si="3"/>
        <v>2083682199.2954214</v>
      </c>
      <c r="K27" s="367">
        <f t="shared" si="4"/>
        <v>1.5501323666786693E-2</v>
      </c>
    </row>
    <row r="28" spans="1:11" ht="15" x14ac:dyDescent="0.25">
      <c r="A28" s="334">
        <v>18</v>
      </c>
      <c r="B28" s="329" t="s">
        <v>32</v>
      </c>
      <c r="C28" s="330">
        <f>Määräytymistekijät!C27</f>
        <v>69193</v>
      </c>
      <c r="D28" s="330">
        <v>416043808.2569328</v>
      </c>
      <c r="E28" s="331">
        <f>'SOTE laskennallinen rahoitus'!N74+'PELA laskennallinen rahoitus'!F68</f>
        <v>418115804.97123027</v>
      </c>
      <c r="F28" s="331">
        <v>0</v>
      </c>
      <c r="G28" s="337">
        <f t="shared" si="0"/>
        <v>418115804.97123027</v>
      </c>
      <c r="H28" s="338">
        <f t="shared" si="1"/>
        <v>2071996.7142974734</v>
      </c>
      <c r="I28" s="347">
        <f t="shared" si="2"/>
        <v>4.9802368721176826E-3</v>
      </c>
      <c r="J28" s="330">
        <f t="shared" si="3"/>
        <v>418115804.97123027</v>
      </c>
      <c r="K28" s="367">
        <f t="shared" si="4"/>
        <v>4.9802368721176826E-3</v>
      </c>
    </row>
    <row r="29" spans="1:11" ht="15" x14ac:dyDescent="0.25">
      <c r="A29" s="334">
        <v>19</v>
      </c>
      <c r="B29" s="329" t="s">
        <v>33</v>
      </c>
      <c r="C29" s="330">
        <f>Määräytymistekijät!C28</f>
        <v>176215</v>
      </c>
      <c r="D29" s="330">
        <v>1047590800.1009375</v>
      </c>
      <c r="E29" s="331">
        <f>'SOTE laskennallinen rahoitus'!N75+'PELA laskennallinen rahoitus'!F69</f>
        <v>1100348714.0904689</v>
      </c>
      <c r="F29" s="331">
        <v>-38549646.277152658</v>
      </c>
      <c r="G29" s="337">
        <f>E29+F29</f>
        <v>1061799067.8133162</v>
      </c>
      <c r="H29" s="338">
        <f>G29-D29</f>
        <v>14208267.71237874</v>
      </c>
      <c r="I29" s="347">
        <f t="shared" si="2"/>
        <v>1.3562803062999063E-2</v>
      </c>
      <c r="J29" s="330">
        <f t="shared" si="3"/>
        <v>1060692714.2605412</v>
      </c>
      <c r="K29" s="367">
        <f t="shared" si="4"/>
        <v>1.2506709832065477E-2</v>
      </c>
    </row>
    <row r="30" spans="1:11" ht="15" x14ac:dyDescent="0.25">
      <c r="A30" s="334"/>
      <c r="B30" s="329" t="s">
        <v>34</v>
      </c>
      <c r="C30" s="335">
        <f>Määräytymistekijät!C29</f>
        <v>5622045</v>
      </c>
      <c r="D30" s="335">
        <v>27189751480.060482</v>
      </c>
      <c r="E30" s="333">
        <f>'SOTE laskennallinen rahoitus'!N76+'PELA laskennallinen rahoitus'!F70</f>
        <v>27520072672.726002</v>
      </c>
      <c r="F30" s="333">
        <v>9733139.50156717</v>
      </c>
      <c r="G30" s="339">
        <f t="shared" ref="G30" si="5">E30+F30</f>
        <v>27529805812.22757</v>
      </c>
      <c r="H30" s="340">
        <f t="shared" ref="H30" si="6">G30-D30</f>
        <v>340054332.16708755</v>
      </c>
      <c r="I30" s="348">
        <f t="shared" ref="I30" si="7">G30/D30-1</f>
        <v>1.2506709832065477E-2</v>
      </c>
      <c r="J30" s="335">
        <f t="shared" si="3"/>
        <v>27529805812.22757</v>
      </c>
      <c r="K30" s="364">
        <f t="shared" si="4"/>
        <v>1.2506709832065477E-2</v>
      </c>
    </row>
    <row r="31" spans="1:11" ht="15" x14ac:dyDescent="0.25">
      <c r="A31" s="334"/>
      <c r="B31" s="329"/>
      <c r="C31" s="335"/>
      <c r="D31" s="335"/>
      <c r="E31" s="333"/>
      <c r="F31" s="333"/>
      <c r="G31" s="339"/>
      <c r="H31" s="340"/>
      <c r="I31" s="364"/>
    </row>
    <row r="32" spans="1:11" ht="16.5" x14ac:dyDescent="0.25">
      <c r="A32" s="365" t="s">
        <v>352</v>
      </c>
      <c r="B32" s="365"/>
      <c r="C32" s="365"/>
      <c r="D32" s="365"/>
      <c r="E32" s="365"/>
      <c r="F32" s="365"/>
      <c r="G32" s="365"/>
      <c r="H32" s="365"/>
      <c r="I32" s="365"/>
      <c r="J32" s="365"/>
      <c r="K32" s="365"/>
    </row>
    <row r="33" spans="1:11" ht="13.9" customHeight="1" x14ac:dyDescent="0.2">
      <c r="A33" s="409" t="s">
        <v>473</v>
      </c>
      <c r="B33" s="409"/>
      <c r="C33" s="409"/>
      <c r="D33" s="409"/>
      <c r="E33" s="409"/>
      <c r="F33" s="409"/>
      <c r="G33" s="409"/>
      <c r="H33" s="409"/>
      <c r="I33" s="409"/>
      <c r="J33" s="409"/>
      <c r="K33" s="409"/>
    </row>
    <row r="34" spans="1:11" ht="19.5" customHeight="1" x14ac:dyDescent="0.2">
      <c r="A34" s="409"/>
      <c r="B34" s="409"/>
      <c r="C34" s="409"/>
      <c r="D34" s="409"/>
      <c r="E34" s="409"/>
      <c r="F34" s="409"/>
      <c r="G34" s="409"/>
      <c r="H34" s="409"/>
      <c r="I34" s="409"/>
      <c r="J34" s="409"/>
      <c r="K34" s="409"/>
    </row>
    <row r="35" spans="1:11" ht="97.5" customHeight="1" x14ac:dyDescent="0.25">
      <c r="A35" s="325" t="s">
        <v>6</v>
      </c>
      <c r="B35" s="326" t="s">
        <v>7</v>
      </c>
      <c r="C35" s="369" t="s">
        <v>464</v>
      </c>
      <c r="D35" s="370" t="s">
        <v>346</v>
      </c>
      <c r="E35" s="372" t="s">
        <v>468</v>
      </c>
      <c r="F35" s="372" t="s">
        <v>469</v>
      </c>
      <c r="G35" s="372" t="s">
        <v>470</v>
      </c>
      <c r="H35" s="370" t="s">
        <v>348</v>
      </c>
      <c r="I35" s="370" t="s">
        <v>349</v>
      </c>
      <c r="J35" s="370" t="s">
        <v>350</v>
      </c>
      <c r="K35" s="370" t="s">
        <v>347</v>
      </c>
    </row>
    <row r="36" spans="1:11" ht="15" x14ac:dyDescent="0.25">
      <c r="A36" s="328">
        <v>31</v>
      </c>
      <c r="B36" s="329" t="s">
        <v>13</v>
      </c>
      <c r="C36" s="361" t="str">
        <f t="shared" ref="C36:C57" si="8">IF(I8&lt;0,"Alle 0 %",(IF(I8&gt;$I$30,"Yli 1,25 %","0–1,25 %")))</f>
        <v>Yli 1,25 %</v>
      </c>
      <c r="D36" s="371">
        <f t="shared" ref="D36:D57" si="9">IF(C36="Alle 0 %",-H8,0)</f>
        <v>0</v>
      </c>
      <c r="E36" s="371">
        <f t="shared" ref="E36:E57" si="10">IF(C36="Yli 1,25 %",$D$58*C8/SUMIF($C$36:$C$57,"Yli 1,25 %",$C$8:$C$29),0)</f>
        <v>9079644.1326357871</v>
      </c>
      <c r="F36" s="371">
        <f t="shared" ref="F36:F57" si="11">IF(AND(C36="Yli 1,25 %",G8-E36&lt;D8*(1+$I$30)),E36-(G8-D8*(1+$I$30)),0)</f>
        <v>0</v>
      </c>
      <c r="G36" s="371">
        <f t="shared" ref="G36:G57" si="12">IF(AND(E36&gt;0,F36=0),$F$58*C8/SUMIFS($C$8:$C$29,$E$36:$E$57,"&gt;0",$F$36:$F$57,"=0"),0)</f>
        <v>2277317.5846191356</v>
      </c>
      <c r="H36" s="371">
        <f>D36-E36+F36-G36</f>
        <v>-11356961.717254922</v>
      </c>
      <c r="I36" s="371">
        <f t="shared" ref="I36:I58" si="13">H36/C8</f>
        <v>-16.355260022083954</v>
      </c>
      <c r="J36" s="371">
        <f t="shared" ref="J36:J57" si="14">G8+H36</f>
        <v>3185582389.5026617</v>
      </c>
      <c r="K36" s="367">
        <f t="shared" ref="K36:K58" si="15">J36/D8-1</f>
        <v>3.1609638824286801E-2</v>
      </c>
    </row>
    <row r="37" spans="1:11" ht="15" x14ac:dyDescent="0.25">
      <c r="A37" s="328">
        <v>32</v>
      </c>
      <c r="B37" s="329" t="s">
        <v>39</v>
      </c>
      <c r="C37" s="362" t="str">
        <f t="shared" si="8"/>
        <v>Yli 1,25 %</v>
      </c>
      <c r="D37" s="371">
        <f t="shared" si="9"/>
        <v>0</v>
      </c>
      <c r="E37" s="371">
        <f t="shared" si="10"/>
        <v>3814475.1456020656</v>
      </c>
      <c r="F37" s="371">
        <f t="shared" si="11"/>
        <v>0</v>
      </c>
      <c r="G37" s="371">
        <f t="shared" si="12"/>
        <v>956730.37382033211</v>
      </c>
      <c r="H37" s="371">
        <f t="shared" ref="H37:H57" si="16">D37-E37+F37-G37</f>
        <v>-4771205.5194223979</v>
      </c>
      <c r="I37" s="371">
        <f t="shared" si="13"/>
        <v>-16.355260022083957</v>
      </c>
      <c r="J37" s="371">
        <f t="shared" si="14"/>
        <v>1313999420.248337</v>
      </c>
      <c r="K37" s="347">
        <f t="shared" si="15"/>
        <v>4.0088875124846046E-2</v>
      </c>
    </row>
    <row r="38" spans="1:11" ht="15" x14ac:dyDescent="0.25">
      <c r="A38" s="328">
        <v>33</v>
      </c>
      <c r="B38" s="329" t="s">
        <v>14</v>
      </c>
      <c r="C38" s="362" t="str">
        <f t="shared" si="8"/>
        <v>0–1,25 %</v>
      </c>
      <c r="D38" s="371">
        <f t="shared" si="9"/>
        <v>0</v>
      </c>
      <c r="E38" s="371">
        <f t="shared" si="10"/>
        <v>0</v>
      </c>
      <c r="F38" s="371">
        <f t="shared" si="11"/>
        <v>0</v>
      </c>
      <c r="G38" s="371">
        <f t="shared" si="12"/>
        <v>0</v>
      </c>
      <c r="H38" s="371">
        <f t="shared" si="16"/>
        <v>0</v>
      </c>
      <c r="I38" s="371">
        <f t="shared" si="13"/>
        <v>0</v>
      </c>
      <c r="J38" s="371">
        <f t="shared" si="14"/>
        <v>2051439727.2707314</v>
      </c>
      <c r="K38" s="347">
        <f t="shared" si="15"/>
        <v>8.3204279183233254E-3</v>
      </c>
    </row>
    <row r="39" spans="1:11" ht="15" x14ac:dyDescent="0.25">
      <c r="A39" s="328">
        <v>34</v>
      </c>
      <c r="B39" s="329" t="s">
        <v>15</v>
      </c>
      <c r="C39" s="362" t="str">
        <f t="shared" si="8"/>
        <v>Yli 1,25 %</v>
      </c>
      <c r="D39" s="371">
        <f t="shared" si="9"/>
        <v>0</v>
      </c>
      <c r="E39" s="371">
        <f t="shared" si="10"/>
        <v>1302128.0217865445</v>
      </c>
      <c r="F39" s="371">
        <f t="shared" si="11"/>
        <v>0</v>
      </c>
      <c r="G39" s="371">
        <f t="shared" si="12"/>
        <v>326594.19225266419</v>
      </c>
      <c r="H39" s="371">
        <f t="shared" si="16"/>
        <v>-1628722.2140392086</v>
      </c>
      <c r="I39" s="371">
        <f t="shared" si="13"/>
        <v>-16.355260022083954</v>
      </c>
      <c r="J39" s="371">
        <f t="shared" si="14"/>
        <v>444122529.50946295</v>
      </c>
      <c r="K39" s="347">
        <f t="shared" si="15"/>
        <v>1.4579568715485935E-2</v>
      </c>
    </row>
    <row r="40" spans="1:11" ht="15" x14ac:dyDescent="0.25">
      <c r="A40" s="328">
        <v>35</v>
      </c>
      <c r="B40" s="329" t="s">
        <v>16</v>
      </c>
      <c r="C40" s="362" t="str">
        <f t="shared" si="8"/>
        <v>Yli 1,25 %</v>
      </c>
      <c r="D40" s="371">
        <f t="shared" si="9"/>
        <v>0</v>
      </c>
      <c r="E40" s="371">
        <f t="shared" si="10"/>
        <v>2713869.4273158251</v>
      </c>
      <c r="F40" s="371">
        <f t="shared" si="11"/>
        <v>0</v>
      </c>
      <c r="G40" s="371">
        <f t="shared" si="12"/>
        <v>680681.14552772231</v>
      </c>
      <c r="H40" s="371">
        <f t="shared" si="16"/>
        <v>-3394550.5728435474</v>
      </c>
      <c r="I40" s="371">
        <f t="shared" si="13"/>
        <v>-16.355260022083957</v>
      </c>
      <c r="J40" s="371">
        <f t="shared" si="14"/>
        <v>892886487.71531165</v>
      </c>
      <c r="K40" s="347">
        <f t="shared" si="15"/>
        <v>1.5824560818945121E-2</v>
      </c>
    </row>
    <row r="41" spans="1:11" ht="15" x14ac:dyDescent="0.25">
      <c r="A41" s="334">
        <v>2</v>
      </c>
      <c r="B41" s="329" t="s">
        <v>17</v>
      </c>
      <c r="C41" s="362" t="str">
        <f t="shared" si="8"/>
        <v>Yli 1,25 %</v>
      </c>
      <c r="D41" s="371">
        <f t="shared" si="9"/>
        <v>0</v>
      </c>
      <c r="E41" s="371">
        <f t="shared" si="10"/>
        <v>6509071.0279296059</v>
      </c>
      <c r="F41" s="371">
        <f t="shared" si="11"/>
        <v>6153859.2704141755</v>
      </c>
      <c r="G41" s="371">
        <f t="shared" si="12"/>
        <v>0</v>
      </c>
      <c r="H41" s="371">
        <f t="shared" si="16"/>
        <v>-355211.75751543045</v>
      </c>
      <c r="I41" s="371">
        <f t="shared" si="13"/>
        <v>-0.71356319308041471</v>
      </c>
      <c r="J41" s="371">
        <f t="shared" si="14"/>
        <v>2462937939.7533755</v>
      </c>
      <c r="K41" s="347">
        <f t="shared" si="15"/>
        <v>1.2506709832065477E-2</v>
      </c>
    </row>
    <row r="42" spans="1:11" ht="15" x14ac:dyDescent="0.25">
      <c r="A42" s="334">
        <v>4</v>
      </c>
      <c r="B42" s="329" t="s">
        <v>18</v>
      </c>
      <c r="C42" s="362" t="str">
        <f t="shared" si="8"/>
        <v>Alle 0 %</v>
      </c>
      <c r="D42" s="371">
        <f t="shared" si="9"/>
        <v>13890494.896149635</v>
      </c>
      <c r="E42" s="371">
        <f t="shared" si="10"/>
        <v>0</v>
      </c>
      <c r="F42" s="371">
        <f t="shared" si="11"/>
        <v>0</v>
      </c>
      <c r="G42" s="371">
        <f t="shared" si="12"/>
        <v>0</v>
      </c>
      <c r="H42" s="371">
        <f t="shared" si="16"/>
        <v>13890494.896149635</v>
      </c>
      <c r="I42" s="371">
        <f t="shared" si="13"/>
        <v>66.109955148442907</v>
      </c>
      <c r="J42" s="371">
        <f t="shared" si="14"/>
        <v>1086939426.6398733</v>
      </c>
      <c r="K42" s="347">
        <f t="shared" si="15"/>
        <v>0</v>
      </c>
    </row>
    <row r="43" spans="1:11" ht="15" x14ac:dyDescent="0.25">
      <c r="A43" s="334">
        <v>5</v>
      </c>
      <c r="B43" s="329" t="s">
        <v>19</v>
      </c>
      <c r="C43" s="362" t="str">
        <f t="shared" si="8"/>
        <v>0–1,25 %</v>
      </c>
      <c r="D43" s="371">
        <f t="shared" si="9"/>
        <v>0</v>
      </c>
      <c r="E43" s="371">
        <f t="shared" si="10"/>
        <v>0</v>
      </c>
      <c r="F43" s="371">
        <f t="shared" si="11"/>
        <v>0</v>
      </c>
      <c r="G43" s="371">
        <f t="shared" si="12"/>
        <v>0</v>
      </c>
      <c r="H43" s="371">
        <f t="shared" si="16"/>
        <v>0</v>
      </c>
      <c r="I43" s="371">
        <f t="shared" si="13"/>
        <v>0</v>
      </c>
      <c r="J43" s="371">
        <f t="shared" si="14"/>
        <v>832696310.03721511</v>
      </c>
      <c r="K43" s="347">
        <f t="shared" si="15"/>
        <v>5.2033579898871363E-3</v>
      </c>
    </row>
    <row r="44" spans="1:11" ht="15" x14ac:dyDescent="0.25">
      <c r="A44" s="334">
        <v>6</v>
      </c>
      <c r="B44" s="329" t="s">
        <v>20</v>
      </c>
      <c r="C44" s="362" t="str">
        <f t="shared" si="8"/>
        <v>0–1,25 %</v>
      </c>
      <c r="D44" s="371">
        <f t="shared" si="9"/>
        <v>0</v>
      </c>
      <c r="E44" s="371">
        <f t="shared" si="10"/>
        <v>0</v>
      </c>
      <c r="F44" s="371">
        <f t="shared" si="11"/>
        <v>0</v>
      </c>
      <c r="G44" s="371">
        <f t="shared" si="12"/>
        <v>0</v>
      </c>
      <c r="H44" s="371">
        <f t="shared" si="16"/>
        <v>0</v>
      </c>
      <c r="I44" s="371">
        <f t="shared" si="13"/>
        <v>0</v>
      </c>
      <c r="J44" s="371">
        <f t="shared" si="14"/>
        <v>2587696163.7294254</v>
      </c>
      <c r="K44" s="347">
        <f t="shared" si="15"/>
        <v>1.9694541301180646E-3</v>
      </c>
    </row>
    <row r="45" spans="1:11" ht="15" x14ac:dyDescent="0.25">
      <c r="A45" s="334">
        <v>7</v>
      </c>
      <c r="B45" s="329" t="s">
        <v>21</v>
      </c>
      <c r="C45" s="362" t="str">
        <f t="shared" si="8"/>
        <v>0–1,25 %</v>
      </c>
      <c r="D45" s="371">
        <f t="shared" si="9"/>
        <v>0</v>
      </c>
      <c r="E45" s="371">
        <f t="shared" si="10"/>
        <v>0</v>
      </c>
      <c r="F45" s="371">
        <f t="shared" si="11"/>
        <v>0</v>
      </c>
      <c r="G45" s="371">
        <f t="shared" si="12"/>
        <v>0</v>
      </c>
      <c r="H45" s="371">
        <f t="shared" si="16"/>
        <v>0</v>
      </c>
      <c r="I45" s="371">
        <f t="shared" si="13"/>
        <v>0</v>
      </c>
      <c r="J45" s="371">
        <f t="shared" si="14"/>
        <v>1006898840.8262407</v>
      </c>
      <c r="K45" s="347">
        <f t="shared" si="15"/>
        <v>1.0644033055382751E-2</v>
      </c>
    </row>
    <row r="46" spans="1:11" ht="15" x14ac:dyDescent="0.25">
      <c r="A46" s="334">
        <v>8</v>
      </c>
      <c r="B46" s="329" t="s">
        <v>22</v>
      </c>
      <c r="C46" s="362" t="str">
        <f t="shared" si="8"/>
        <v>Alle 0 %</v>
      </c>
      <c r="D46" s="371">
        <f t="shared" si="9"/>
        <v>12471322.886700153</v>
      </c>
      <c r="E46" s="371">
        <f t="shared" si="10"/>
        <v>0</v>
      </c>
      <c r="F46" s="371">
        <f t="shared" si="11"/>
        <v>0</v>
      </c>
      <c r="G46" s="371">
        <f t="shared" si="12"/>
        <v>0</v>
      </c>
      <c r="H46" s="371">
        <f t="shared" si="16"/>
        <v>12471322.886700153</v>
      </c>
      <c r="I46" s="371">
        <f t="shared" si="13"/>
        <v>79.843038238006585</v>
      </c>
      <c r="J46" s="371">
        <f t="shared" si="14"/>
        <v>904018461.30425584</v>
      </c>
      <c r="K46" s="347">
        <f t="shared" si="15"/>
        <v>0</v>
      </c>
    </row>
    <row r="47" spans="1:11" ht="15" x14ac:dyDescent="0.25">
      <c r="A47" s="334">
        <v>9</v>
      </c>
      <c r="B47" s="329" t="s">
        <v>23</v>
      </c>
      <c r="C47" s="362" t="str">
        <f t="shared" si="8"/>
        <v>Alle 0 %</v>
      </c>
      <c r="D47" s="371">
        <f t="shared" si="9"/>
        <v>11110653.924631357</v>
      </c>
      <c r="E47" s="371">
        <f t="shared" si="10"/>
        <v>0</v>
      </c>
      <c r="F47" s="371">
        <f t="shared" si="11"/>
        <v>0</v>
      </c>
      <c r="G47" s="371">
        <f t="shared" si="12"/>
        <v>0</v>
      </c>
      <c r="H47" s="371">
        <f t="shared" si="16"/>
        <v>11110653.924631357</v>
      </c>
      <c r="I47" s="371">
        <f t="shared" si="13"/>
        <v>89.430399110025576</v>
      </c>
      <c r="J47" s="371">
        <f t="shared" si="14"/>
        <v>613543402.20651472</v>
      </c>
      <c r="K47" s="347">
        <f t="shared" si="15"/>
        <v>0</v>
      </c>
    </row>
    <row r="48" spans="1:11" ht="15" x14ac:dyDescent="0.25">
      <c r="A48" s="334">
        <v>10</v>
      </c>
      <c r="B48" s="329" t="s">
        <v>24</v>
      </c>
      <c r="C48" s="362" t="str">
        <f t="shared" si="8"/>
        <v>0–1,25 %</v>
      </c>
      <c r="D48" s="371">
        <f t="shared" si="9"/>
        <v>0</v>
      </c>
      <c r="E48" s="371">
        <f t="shared" si="10"/>
        <v>0</v>
      </c>
      <c r="F48" s="371">
        <f t="shared" si="11"/>
        <v>0</v>
      </c>
      <c r="G48" s="371">
        <f t="shared" si="12"/>
        <v>0</v>
      </c>
      <c r="H48" s="371">
        <f t="shared" si="16"/>
        <v>0</v>
      </c>
      <c r="I48" s="371">
        <f t="shared" si="13"/>
        <v>0</v>
      </c>
      <c r="J48" s="371">
        <f t="shared" si="14"/>
        <v>788615419.70989203</v>
      </c>
      <c r="K48" s="347">
        <f t="shared" si="15"/>
        <v>6.6125084085901786E-3</v>
      </c>
    </row>
    <row r="49" spans="1:11" ht="15" x14ac:dyDescent="0.25">
      <c r="A49" s="334">
        <v>11</v>
      </c>
      <c r="B49" s="329" t="s">
        <v>25</v>
      </c>
      <c r="C49" s="362" t="str">
        <f t="shared" si="8"/>
        <v>Alle 0 %</v>
      </c>
      <c r="D49" s="371">
        <f t="shared" si="9"/>
        <v>651633.25767350197</v>
      </c>
      <c r="E49" s="371">
        <f t="shared" si="10"/>
        <v>0</v>
      </c>
      <c r="F49" s="371">
        <f t="shared" si="11"/>
        <v>0</v>
      </c>
      <c r="G49" s="371">
        <f t="shared" si="12"/>
        <v>0</v>
      </c>
      <c r="H49" s="371">
        <f t="shared" si="16"/>
        <v>651633.25767350197</v>
      </c>
      <c r="I49" s="371">
        <f t="shared" si="13"/>
        <v>2.6221400080217534</v>
      </c>
      <c r="J49" s="371">
        <f t="shared" si="14"/>
        <v>1331700508.4349513</v>
      </c>
      <c r="K49" s="347">
        <f t="shared" si="15"/>
        <v>0</v>
      </c>
    </row>
    <row r="50" spans="1:11" ht="15" x14ac:dyDescent="0.25">
      <c r="A50" s="334">
        <v>12</v>
      </c>
      <c r="B50" s="329" t="s">
        <v>26</v>
      </c>
      <c r="C50" s="362" t="str">
        <f t="shared" si="8"/>
        <v>Yli 1,25 %</v>
      </c>
      <c r="D50" s="371">
        <f t="shared" si="9"/>
        <v>0</v>
      </c>
      <c r="E50" s="371">
        <f t="shared" si="10"/>
        <v>2110649.3113425896</v>
      </c>
      <c r="F50" s="371">
        <f t="shared" si="11"/>
        <v>0</v>
      </c>
      <c r="G50" s="371">
        <f t="shared" si="12"/>
        <v>529384.05090215849</v>
      </c>
      <c r="H50" s="371">
        <f t="shared" si="16"/>
        <v>-2640033.362244748</v>
      </c>
      <c r="I50" s="371">
        <f t="shared" si="13"/>
        <v>-16.355260022083957</v>
      </c>
      <c r="J50" s="371">
        <f t="shared" si="14"/>
        <v>892787272.63329709</v>
      </c>
      <c r="K50" s="347">
        <f t="shared" si="15"/>
        <v>1.3766962745942246E-2</v>
      </c>
    </row>
    <row r="51" spans="1:11" ht="15" x14ac:dyDescent="0.25">
      <c r="A51" s="334">
        <v>13</v>
      </c>
      <c r="B51" s="329" t="s">
        <v>27</v>
      </c>
      <c r="C51" s="362" t="str">
        <f t="shared" si="8"/>
        <v>0–1,25 %</v>
      </c>
      <c r="D51" s="371">
        <f t="shared" si="9"/>
        <v>0</v>
      </c>
      <c r="E51" s="371">
        <f t="shared" si="10"/>
        <v>0</v>
      </c>
      <c r="F51" s="371">
        <f t="shared" si="11"/>
        <v>0</v>
      </c>
      <c r="G51" s="371">
        <f t="shared" si="12"/>
        <v>0</v>
      </c>
      <c r="H51" s="371">
        <f t="shared" si="16"/>
        <v>0</v>
      </c>
      <c r="I51" s="371">
        <f t="shared" si="13"/>
        <v>0</v>
      </c>
      <c r="J51" s="371">
        <f t="shared" si="14"/>
        <v>1322208414.6797607</v>
      </c>
      <c r="K51" s="347">
        <f t="shared" si="15"/>
        <v>9.0644035565698999E-3</v>
      </c>
    </row>
    <row r="52" spans="1:11" ht="15" x14ac:dyDescent="0.25">
      <c r="A52" s="334">
        <v>14</v>
      </c>
      <c r="B52" s="329" t="s">
        <v>28</v>
      </c>
      <c r="C52" s="362" t="str">
        <f t="shared" si="8"/>
        <v>Yli 1,25 %</v>
      </c>
      <c r="D52" s="371">
        <f t="shared" si="9"/>
        <v>0</v>
      </c>
      <c r="E52" s="371">
        <f t="shared" si="10"/>
        <v>2477500.4498713021</v>
      </c>
      <c r="F52" s="371">
        <f t="shared" si="11"/>
        <v>0</v>
      </c>
      <c r="G52" s="371">
        <f t="shared" si="12"/>
        <v>621396.08755303361</v>
      </c>
      <c r="H52" s="371">
        <f t="shared" si="16"/>
        <v>-3098896.5374243357</v>
      </c>
      <c r="I52" s="371">
        <f t="shared" si="13"/>
        <v>-16.355260022083957</v>
      </c>
      <c r="J52" s="371">
        <f t="shared" si="14"/>
        <v>1028029743.832914</v>
      </c>
      <c r="K52" s="347">
        <f t="shared" si="15"/>
        <v>1.3358384040890625E-2</v>
      </c>
    </row>
    <row r="53" spans="1:11" ht="15" x14ac:dyDescent="0.25">
      <c r="A53" s="334">
        <v>15</v>
      </c>
      <c r="B53" s="329" t="s">
        <v>29</v>
      </c>
      <c r="C53" s="362" t="str">
        <f t="shared" si="8"/>
        <v>Yli 1,25 %</v>
      </c>
      <c r="D53" s="371">
        <f t="shared" si="9"/>
        <v>0</v>
      </c>
      <c r="E53" s="371">
        <f t="shared" si="10"/>
        <v>2347802.8292886708</v>
      </c>
      <c r="F53" s="371">
        <f t="shared" si="11"/>
        <v>0</v>
      </c>
      <c r="G53" s="371">
        <f t="shared" si="12"/>
        <v>588865.88397661387</v>
      </c>
      <c r="H53" s="371">
        <f t="shared" si="16"/>
        <v>-2936668.7132652849</v>
      </c>
      <c r="I53" s="371">
        <f t="shared" si="13"/>
        <v>-16.355260022083957</v>
      </c>
      <c r="J53" s="371">
        <f t="shared" si="14"/>
        <v>876383373.54183233</v>
      </c>
      <c r="K53" s="347">
        <f t="shared" si="15"/>
        <v>1.5612778421169926E-2</v>
      </c>
    </row>
    <row r="54" spans="1:11" ht="15" x14ac:dyDescent="0.25">
      <c r="A54" s="334">
        <v>16</v>
      </c>
      <c r="B54" s="329" t="s">
        <v>30</v>
      </c>
      <c r="C54" s="362" t="str">
        <f t="shared" si="8"/>
        <v>0–1,25 %</v>
      </c>
      <c r="D54" s="371">
        <f t="shared" si="9"/>
        <v>0</v>
      </c>
      <c r="E54" s="371">
        <f t="shared" si="10"/>
        <v>0</v>
      </c>
      <c r="F54" s="371">
        <f t="shared" si="11"/>
        <v>0</v>
      </c>
      <c r="G54" s="371">
        <f t="shared" si="12"/>
        <v>0</v>
      </c>
      <c r="H54" s="371">
        <f t="shared" si="16"/>
        <v>0</v>
      </c>
      <c r="I54" s="371">
        <f t="shared" si="13"/>
        <v>0</v>
      </c>
      <c r="J54" s="371">
        <f t="shared" si="14"/>
        <v>344829262.12432474</v>
      </c>
      <c r="K54" s="347">
        <f t="shared" si="15"/>
        <v>2.814625582387098E-3</v>
      </c>
    </row>
    <row r="55" spans="1:11" ht="15" x14ac:dyDescent="0.25">
      <c r="A55" s="334">
        <v>17</v>
      </c>
      <c r="B55" s="329" t="s">
        <v>31</v>
      </c>
      <c r="C55" s="362" t="str">
        <f t="shared" si="8"/>
        <v>Yli 1,25 %</v>
      </c>
      <c r="D55" s="371">
        <f t="shared" si="9"/>
        <v>0</v>
      </c>
      <c r="E55" s="371">
        <f t="shared" si="10"/>
        <v>5464834.5446803365</v>
      </c>
      <c r="F55" s="371">
        <f t="shared" si="11"/>
        <v>0</v>
      </c>
      <c r="G55" s="371">
        <f t="shared" si="12"/>
        <v>1370666.4736894101</v>
      </c>
      <c r="H55" s="371">
        <f t="shared" si="16"/>
        <v>-6835501.0183697464</v>
      </c>
      <c r="I55" s="371">
        <f t="shared" si="13"/>
        <v>-16.355260022083957</v>
      </c>
      <c r="J55" s="371">
        <f t="shared" si="14"/>
        <v>2083682199.2954214</v>
      </c>
      <c r="K55" s="347">
        <f t="shared" si="15"/>
        <v>1.5501323666786693E-2</v>
      </c>
    </row>
    <row r="56" spans="1:11" ht="15" x14ac:dyDescent="0.25">
      <c r="A56" s="334">
        <v>18</v>
      </c>
      <c r="B56" s="329" t="s">
        <v>32</v>
      </c>
      <c r="C56" s="362" t="str">
        <f t="shared" si="8"/>
        <v>0–1,25 %</v>
      </c>
      <c r="D56" s="371">
        <f t="shared" si="9"/>
        <v>0</v>
      </c>
      <c r="E56" s="371">
        <f t="shared" si="10"/>
        <v>0</v>
      </c>
      <c r="F56" s="371">
        <f t="shared" si="11"/>
        <v>0</v>
      </c>
      <c r="G56" s="371">
        <f t="shared" si="12"/>
        <v>0</v>
      </c>
      <c r="H56" s="371">
        <f t="shared" si="16"/>
        <v>0</v>
      </c>
      <c r="I56" s="371">
        <f t="shared" si="13"/>
        <v>0</v>
      </c>
      <c r="J56" s="371">
        <f t="shared" si="14"/>
        <v>418115804.97123027</v>
      </c>
      <c r="K56" s="347">
        <f t="shared" si="15"/>
        <v>4.9802368721176826E-3</v>
      </c>
    </row>
    <row r="57" spans="1:11" ht="15" x14ac:dyDescent="0.25">
      <c r="A57" s="334">
        <v>19</v>
      </c>
      <c r="B57" s="329" t="s">
        <v>33</v>
      </c>
      <c r="C57" s="362" t="str">
        <f t="shared" si="8"/>
        <v>Yli 1,25 %</v>
      </c>
      <c r="D57" s="371">
        <f t="shared" si="9"/>
        <v>0</v>
      </c>
      <c r="E57" s="371">
        <f t="shared" si="10"/>
        <v>2304130.0747019197</v>
      </c>
      <c r="F57" s="371">
        <f t="shared" si="11"/>
        <v>1197776.5219268943</v>
      </c>
      <c r="G57" s="371">
        <f t="shared" si="12"/>
        <v>0</v>
      </c>
      <c r="H57" s="371">
        <f t="shared" si="16"/>
        <v>-1106353.5527750254</v>
      </c>
      <c r="I57" s="371">
        <f t="shared" si="13"/>
        <v>-6.2784300585933401</v>
      </c>
      <c r="J57" s="371">
        <f t="shared" si="14"/>
        <v>1060692714.2605412</v>
      </c>
      <c r="K57" s="347">
        <f t="shared" si="15"/>
        <v>1.2506709832065477E-2</v>
      </c>
    </row>
    <row r="58" spans="1:11" ht="15" x14ac:dyDescent="0.25">
      <c r="A58" s="334"/>
      <c r="B58" s="329" t="s">
        <v>34</v>
      </c>
      <c r="C58" s="362"/>
      <c r="D58" s="349">
        <f>SUM(D36:D57)</f>
        <v>38124104.965154648</v>
      </c>
      <c r="E58" s="349">
        <f>SUM(E36:E57)</f>
        <v>38124104.96515464</v>
      </c>
      <c r="F58" s="349">
        <f>SUM(F36:F57)</f>
        <v>7351635.7923410702</v>
      </c>
      <c r="G58" s="349">
        <f>SUM(G36:G57)</f>
        <v>7351635.7923410693</v>
      </c>
      <c r="H58" s="349">
        <f>SUM(H36:H57)</f>
        <v>0</v>
      </c>
      <c r="I58" s="349">
        <f t="shared" si="13"/>
        <v>0</v>
      </c>
      <c r="J58" s="349">
        <f>SUM(J36:J57)</f>
        <v>27529805812.22757</v>
      </c>
      <c r="K58" s="348">
        <f t="shared" si="15"/>
        <v>1.2506709832065477E-2</v>
      </c>
    </row>
    <row r="59" spans="1:11" s="111" customFormat="1" x14ac:dyDescent="0.2"/>
    <row r="60" spans="1:11" s="111" customFormat="1" x14ac:dyDescent="0.2"/>
    <row r="61" spans="1:11" s="111" customFormat="1" x14ac:dyDescent="0.2"/>
    <row r="62" spans="1:11" s="111" customFormat="1" x14ac:dyDescent="0.2"/>
    <row r="63" spans="1:11" s="111" customFormat="1" x14ac:dyDescent="0.2"/>
    <row r="64" spans="1:11" s="111" customFormat="1" x14ac:dyDescent="0.2"/>
    <row r="65" s="111" customFormat="1" x14ac:dyDescent="0.2"/>
    <row r="66" s="111" customFormat="1" x14ac:dyDescent="0.2"/>
    <row r="67" s="111" customFormat="1" x14ac:dyDescent="0.2"/>
    <row r="68" s="111" customFormat="1" x14ac:dyDescent="0.2"/>
    <row r="69" s="111" customFormat="1" x14ac:dyDescent="0.2"/>
    <row r="70" s="111" customFormat="1" x14ac:dyDescent="0.2"/>
    <row r="71" s="111" customFormat="1" x14ac:dyDescent="0.2"/>
    <row r="72" s="111" customFormat="1" x14ac:dyDescent="0.2"/>
    <row r="73" s="111" customFormat="1" x14ac:dyDescent="0.2"/>
    <row r="74" s="111" customFormat="1" x14ac:dyDescent="0.2"/>
    <row r="75" s="111" customFormat="1" x14ac:dyDescent="0.2"/>
    <row r="76" s="111" customFormat="1" x14ac:dyDescent="0.2"/>
    <row r="77" s="111" customFormat="1" x14ac:dyDescent="0.2"/>
    <row r="78" s="111" customFormat="1" x14ac:dyDescent="0.2"/>
    <row r="79" s="111" customFormat="1" x14ac:dyDescent="0.2"/>
    <row r="80" s="111" customFormat="1" x14ac:dyDescent="0.2"/>
    <row r="81" s="111" customFormat="1" x14ac:dyDescent="0.2"/>
    <row r="82" s="111" customFormat="1" x14ac:dyDescent="0.2"/>
    <row r="83" s="111" customFormat="1" x14ac:dyDescent="0.2"/>
    <row r="84" s="111" customFormat="1" x14ac:dyDescent="0.2"/>
    <row r="85" s="111" customFormat="1" x14ac:dyDescent="0.2"/>
    <row r="86" s="111" customFormat="1" x14ac:dyDescent="0.2"/>
    <row r="87" s="111" customFormat="1" x14ac:dyDescent="0.2"/>
    <row r="88" s="111" customFormat="1" x14ac:dyDescent="0.2"/>
    <row r="89" s="111" customFormat="1" x14ac:dyDescent="0.2"/>
    <row r="90" s="111" customFormat="1" x14ac:dyDescent="0.2"/>
    <row r="91" s="111" customFormat="1" x14ac:dyDescent="0.2"/>
    <row r="92" s="111" customFormat="1" x14ac:dyDescent="0.2"/>
    <row r="93" s="111" customFormat="1" x14ac:dyDescent="0.2"/>
    <row r="94" s="111" customFormat="1" x14ac:dyDescent="0.2"/>
    <row r="95" s="111" customFormat="1" x14ac:dyDescent="0.2"/>
    <row r="96" s="111" customFormat="1" x14ac:dyDescent="0.2"/>
    <row r="97" s="111" customFormat="1" x14ac:dyDescent="0.2"/>
    <row r="98" s="111" customFormat="1" x14ac:dyDescent="0.2"/>
    <row r="99" s="111" customFormat="1" x14ac:dyDescent="0.2"/>
    <row r="100" s="111" customFormat="1" x14ac:dyDescent="0.2"/>
    <row r="101" s="111" customFormat="1" x14ac:dyDescent="0.2"/>
    <row r="102" s="111" customFormat="1" x14ac:dyDescent="0.2"/>
    <row r="103" s="111" customFormat="1" x14ac:dyDescent="0.2"/>
    <row r="104" s="111" customFormat="1" x14ac:dyDescent="0.2"/>
    <row r="105" s="111" customFormat="1" x14ac:dyDescent="0.2"/>
    <row r="106" s="111" customFormat="1" x14ac:dyDescent="0.2"/>
    <row r="107" s="111" customFormat="1" x14ac:dyDescent="0.2"/>
    <row r="108" s="111" customFormat="1" x14ac:dyDescent="0.2"/>
    <row r="109" s="111" customFormat="1" x14ac:dyDescent="0.2"/>
    <row r="110" s="111" customFormat="1" x14ac:dyDescent="0.2"/>
    <row r="111" s="111" customFormat="1" x14ac:dyDescent="0.2"/>
    <row r="112" s="111" customFormat="1" x14ac:dyDescent="0.2"/>
    <row r="113" s="111" customFormat="1" x14ac:dyDescent="0.2"/>
    <row r="114" s="111" customFormat="1" x14ac:dyDescent="0.2"/>
    <row r="115" s="111" customFormat="1" x14ac:dyDescent="0.2"/>
    <row r="116" s="111" customFormat="1" x14ac:dyDescent="0.2"/>
    <row r="117" s="111" customFormat="1" x14ac:dyDescent="0.2"/>
    <row r="118" s="111" customFormat="1" x14ac:dyDescent="0.2"/>
    <row r="119" s="111" customFormat="1" x14ac:dyDescent="0.2"/>
    <row r="120" s="111" customFormat="1" x14ac:dyDescent="0.2"/>
    <row r="121" s="111" customFormat="1" x14ac:dyDescent="0.2"/>
    <row r="122" s="111" customFormat="1" x14ac:dyDescent="0.2"/>
    <row r="123" s="111" customFormat="1" x14ac:dyDescent="0.2"/>
    <row r="124" s="111" customFormat="1" x14ac:dyDescent="0.2"/>
    <row r="125" s="111" customFormat="1" x14ac:dyDescent="0.2"/>
    <row r="126" s="111" customFormat="1" x14ac:dyDescent="0.2"/>
    <row r="127" s="111" customFormat="1" x14ac:dyDescent="0.2"/>
    <row r="128" s="111" customFormat="1" x14ac:dyDescent="0.2"/>
    <row r="129" s="111" customFormat="1" x14ac:dyDescent="0.2"/>
    <row r="130" s="111" customFormat="1" x14ac:dyDescent="0.2"/>
    <row r="131" s="111" customFormat="1" x14ac:dyDescent="0.2"/>
    <row r="132" s="111" customFormat="1" x14ac:dyDescent="0.2"/>
    <row r="133" s="111" customFormat="1" x14ac:dyDescent="0.2"/>
    <row r="134" s="111" customFormat="1" x14ac:dyDescent="0.2"/>
    <row r="135" s="111" customFormat="1" x14ac:dyDescent="0.2"/>
    <row r="136" s="111" customFormat="1" x14ac:dyDescent="0.2"/>
    <row r="137" s="111" customFormat="1" x14ac:dyDescent="0.2"/>
    <row r="138" s="111" customFormat="1" x14ac:dyDescent="0.2"/>
    <row r="139" s="111" customFormat="1" x14ac:dyDescent="0.2"/>
    <row r="140" s="111" customFormat="1" x14ac:dyDescent="0.2"/>
    <row r="141" s="111" customFormat="1" x14ac:dyDescent="0.2"/>
    <row r="142" s="111" customFormat="1" x14ac:dyDescent="0.2"/>
  </sheetData>
  <mergeCells count="3">
    <mergeCell ref="A3:I3"/>
    <mergeCell ref="A4:I4"/>
    <mergeCell ref="A33:K34"/>
  </mergeCells>
  <phoneticPr fontId="41" type="noConversion"/>
  <conditionalFormatting sqref="A1:K2 AS1:XFD31 A3 J3:K5 A6:K6 J7 A7:B29 D7:I31 A32:K32 A33 AS34:XFD58 A35:B57 D35:K58 A143:K1048576 AS143:XFD1048576">
    <cfRule type="cellIs" dxfId="2" priority="3" operator="lessThan">
      <formula>0</formula>
    </cfRule>
  </conditionalFormatting>
  <conditionalFormatting sqref="I8:I29">
    <cfRule type="cellIs" dxfId="1" priority="1" operator="greaterThan">
      <formula>$I$30</formula>
    </cfRule>
  </conditionalFormatting>
  <pageMargins left="0.7" right="0.7" top="0.75" bottom="0.75" header="0.3" footer="0.3"/>
  <ignoredErrors>
    <ignoredError sqref="J58" calculatedColumn="1"/>
  </ignoredErrors>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AF5B-F086-4304-9B3A-DCA7614913F2}">
  <sheetPr>
    <tabColor theme="4"/>
  </sheetPr>
  <dimension ref="A1:P54"/>
  <sheetViews>
    <sheetView zoomScaleNormal="100" workbookViewId="0"/>
  </sheetViews>
  <sheetFormatPr defaultRowHeight="14.25" x14ac:dyDescent="0.2"/>
  <cols>
    <col min="1" max="1" width="23.25" style="111" customWidth="1"/>
    <col min="2" max="2" width="21.875" style="111" customWidth="1"/>
    <col min="3" max="16" width="22.875" style="111" customWidth="1"/>
    <col min="17" max="16384" width="9" style="111"/>
  </cols>
  <sheetData>
    <row r="1" spans="1:7" ht="20.25" x14ac:dyDescent="0.3">
      <c r="A1" s="138" t="s">
        <v>190</v>
      </c>
      <c r="B1" s="125"/>
      <c r="C1" s="125"/>
      <c r="D1" s="125"/>
      <c r="E1" s="125"/>
      <c r="F1" s="125"/>
      <c r="G1" s="125"/>
    </row>
    <row r="2" spans="1:7" ht="15" x14ac:dyDescent="0.2">
      <c r="A2" s="125" t="str">
        <f>INFO!A2</f>
        <v>VM/HVO 30.4.2026</v>
      </c>
      <c r="B2" s="125"/>
      <c r="C2" s="125"/>
      <c r="D2" s="125"/>
      <c r="E2" s="125"/>
      <c r="F2" s="125"/>
      <c r="G2" s="125"/>
    </row>
    <row r="3" spans="1:7" ht="51" customHeight="1" x14ac:dyDescent="0.2">
      <c r="A3" s="410" t="s">
        <v>493</v>
      </c>
      <c r="B3" s="410"/>
      <c r="C3" s="410"/>
      <c r="D3" s="410"/>
      <c r="E3" s="410"/>
      <c r="F3" s="410"/>
      <c r="G3" s="410"/>
    </row>
    <row r="4" spans="1:7" ht="15.6" customHeight="1" x14ac:dyDescent="0.2">
      <c r="A4" s="158"/>
      <c r="B4" s="125"/>
      <c r="C4" s="125"/>
      <c r="D4" s="125"/>
      <c r="E4" s="125"/>
      <c r="F4" s="125"/>
      <c r="G4" s="125"/>
    </row>
    <row r="5" spans="1:7" ht="16.5" x14ac:dyDescent="0.25">
      <c r="A5" s="156" t="s">
        <v>221</v>
      </c>
      <c r="B5" s="162"/>
      <c r="C5" s="162"/>
      <c r="D5" s="162"/>
      <c r="E5" s="162"/>
      <c r="F5" s="162"/>
      <c r="G5" s="162"/>
    </row>
    <row r="6" spans="1:7" ht="45.6" customHeight="1" x14ac:dyDescent="0.25">
      <c r="A6" s="165" t="s">
        <v>6</v>
      </c>
      <c r="B6" s="165" t="s">
        <v>7</v>
      </c>
      <c r="C6" s="166" t="s">
        <v>311</v>
      </c>
      <c r="D6" s="167" t="s">
        <v>217</v>
      </c>
      <c r="E6" s="167" t="s">
        <v>218</v>
      </c>
      <c r="F6" s="167" t="s">
        <v>216</v>
      </c>
      <c r="G6" s="167" t="s">
        <v>220</v>
      </c>
    </row>
    <row r="7" spans="1:7" ht="15.75" x14ac:dyDescent="0.25">
      <c r="A7" s="126">
        <v>31</v>
      </c>
      <c r="B7" s="126" t="s">
        <v>13</v>
      </c>
      <c r="C7" s="127">
        <f>Määräytymistekijät!C7</f>
        <v>694392</v>
      </c>
      <c r="D7" s="128">
        <f>N33</f>
        <v>42.341746766553868</v>
      </c>
      <c r="E7" s="128">
        <f>O33</f>
        <v>45.289524495901375</v>
      </c>
      <c r="F7" s="128">
        <f>(D7+E7)/2</f>
        <v>43.815635631227622</v>
      </c>
      <c r="G7" s="163">
        <f t="shared" ref="G7:G28" si="0">F7/$F$29</f>
        <v>0.99107866190787941</v>
      </c>
    </row>
    <row r="8" spans="1:7" ht="15.75" x14ac:dyDescent="0.25">
      <c r="A8" s="126">
        <v>32</v>
      </c>
      <c r="B8" s="126" t="s">
        <v>39</v>
      </c>
      <c r="C8" s="127">
        <f>Määräytymistekijät!C8</f>
        <v>291723</v>
      </c>
      <c r="D8" s="128">
        <f t="shared" ref="D8:E8" si="1">N34</f>
        <v>42.98931894584279</v>
      </c>
      <c r="E8" s="128">
        <f t="shared" si="1"/>
        <v>21.691597765102447</v>
      </c>
      <c r="F8" s="128">
        <f t="shared" ref="F8:F28" si="2">(D8+E8)/2</f>
        <v>32.34045835547262</v>
      </c>
      <c r="G8" s="163">
        <f t="shared" si="0"/>
        <v>0.73151827494169064</v>
      </c>
    </row>
    <row r="9" spans="1:7" ht="15.75" x14ac:dyDescent="0.25">
      <c r="A9" s="126">
        <v>33</v>
      </c>
      <c r="B9" s="126" t="s">
        <v>14</v>
      </c>
      <c r="C9" s="127">
        <f>Määräytymistekijät!C9</f>
        <v>506379</v>
      </c>
      <c r="D9" s="128">
        <f t="shared" ref="D9:E9" si="3">N35</f>
        <v>28.21031986159247</v>
      </c>
      <c r="E9" s="128">
        <f t="shared" si="3"/>
        <v>58.762545864064123</v>
      </c>
      <c r="F9" s="128">
        <f t="shared" si="2"/>
        <v>43.486432862828295</v>
      </c>
      <c r="G9" s="163">
        <f t="shared" si="0"/>
        <v>0.98363232832167802</v>
      </c>
    </row>
    <row r="10" spans="1:7" ht="15.75" x14ac:dyDescent="0.25">
      <c r="A10" s="126">
        <v>34</v>
      </c>
      <c r="B10" s="126" t="s">
        <v>15</v>
      </c>
      <c r="C10" s="127">
        <f>Määräytymistekijät!C10</f>
        <v>99584</v>
      </c>
      <c r="D10" s="128">
        <f t="shared" ref="D10:E10" si="4">N36</f>
        <v>31.925590862362451</v>
      </c>
      <c r="E10" s="128">
        <f t="shared" si="4"/>
        <v>69.300775787171375</v>
      </c>
      <c r="F10" s="128">
        <f t="shared" si="2"/>
        <v>50.613183324766915</v>
      </c>
      <c r="G10" s="163">
        <f t="shared" si="0"/>
        <v>1.1448343789096542</v>
      </c>
    </row>
    <row r="11" spans="1:7" ht="15.75" x14ac:dyDescent="0.25">
      <c r="A11" s="126">
        <v>35</v>
      </c>
      <c r="B11" s="126" t="s">
        <v>16</v>
      </c>
      <c r="C11" s="127">
        <f>Määräytymistekijät!C11</f>
        <v>207551</v>
      </c>
      <c r="D11" s="128">
        <f t="shared" ref="D11:E11" si="5">N37</f>
        <v>28.991124000586339</v>
      </c>
      <c r="E11" s="128">
        <f t="shared" si="5"/>
        <v>41.46012553655477</v>
      </c>
      <c r="F11" s="128">
        <f t="shared" si="2"/>
        <v>35.225624768570555</v>
      </c>
      <c r="G11" s="163">
        <f t="shared" si="0"/>
        <v>0.79677869686369351</v>
      </c>
    </row>
    <row r="12" spans="1:7" ht="15.75" x14ac:dyDescent="0.25">
      <c r="A12" s="126">
        <v>2</v>
      </c>
      <c r="B12" s="129" t="s">
        <v>17</v>
      </c>
      <c r="C12" s="127">
        <f>Määräytymistekijät!C12</f>
        <v>497800</v>
      </c>
      <c r="D12" s="128">
        <f t="shared" ref="D12:E12" si="6">N38</f>
        <v>38.781114008839168</v>
      </c>
      <c r="E12" s="128">
        <f t="shared" si="6"/>
        <v>32.130973943182305</v>
      </c>
      <c r="F12" s="128">
        <f t="shared" si="2"/>
        <v>35.456043976010733</v>
      </c>
      <c r="G12" s="163">
        <f t="shared" si="0"/>
        <v>0.80199061622758672</v>
      </c>
    </row>
    <row r="13" spans="1:7" ht="15.75" x14ac:dyDescent="0.25">
      <c r="A13" s="126">
        <v>4</v>
      </c>
      <c r="B13" s="129" t="s">
        <v>18</v>
      </c>
      <c r="C13" s="127">
        <f>Määräytymistekijät!C13</f>
        <v>210112</v>
      </c>
      <c r="D13" s="128">
        <f t="shared" ref="D13:E13" si="7">N39</f>
        <v>28.525567539603955</v>
      </c>
      <c r="E13" s="128">
        <f t="shared" si="7"/>
        <v>56.973948894047041</v>
      </c>
      <c r="F13" s="128">
        <f t="shared" si="2"/>
        <v>42.749758216825498</v>
      </c>
      <c r="G13" s="163">
        <f t="shared" si="0"/>
        <v>0.96696926930396132</v>
      </c>
    </row>
    <row r="14" spans="1:7" ht="15.75" x14ac:dyDescent="0.25">
      <c r="A14" s="126">
        <v>5</v>
      </c>
      <c r="B14" s="129" t="s">
        <v>19</v>
      </c>
      <c r="C14" s="127">
        <f>Määräytymistekijät!C14</f>
        <v>168957</v>
      </c>
      <c r="D14" s="128">
        <f t="shared" ref="D14:E14" si="8">N40</f>
        <v>61.540259697954092</v>
      </c>
      <c r="E14" s="128">
        <f t="shared" si="8"/>
        <v>56.920313374953764</v>
      </c>
      <c r="F14" s="128">
        <f t="shared" si="2"/>
        <v>59.230286536453931</v>
      </c>
      <c r="G14" s="163">
        <f t="shared" si="0"/>
        <v>1.3397471537108532</v>
      </c>
    </row>
    <row r="15" spans="1:7" ht="15.75" x14ac:dyDescent="0.25">
      <c r="A15" s="126">
        <v>6</v>
      </c>
      <c r="B15" s="129" t="s">
        <v>20</v>
      </c>
      <c r="C15" s="127">
        <f>Määräytymistekijät!C15</f>
        <v>548910</v>
      </c>
      <c r="D15" s="128">
        <f t="shared" ref="D15:E15" si="9">N41</f>
        <v>39.326627357299515</v>
      </c>
      <c r="E15" s="128">
        <f t="shared" si="9"/>
        <v>49.466354651406505</v>
      </c>
      <c r="F15" s="128">
        <f t="shared" si="2"/>
        <v>44.39649100435301</v>
      </c>
      <c r="G15" s="163">
        <f t="shared" si="0"/>
        <v>1.0042171992739521</v>
      </c>
    </row>
    <row r="16" spans="1:7" ht="15.75" x14ac:dyDescent="0.25">
      <c r="A16" s="126">
        <v>7</v>
      </c>
      <c r="B16" s="129" t="s">
        <v>21</v>
      </c>
      <c r="C16" s="127">
        <f>Määräytymistekijät!C16</f>
        <v>204522</v>
      </c>
      <c r="D16" s="128">
        <f t="shared" ref="D16:E16" si="10">N42</f>
        <v>47.279312417099646</v>
      </c>
      <c r="E16" s="128">
        <f t="shared" si="10"/>
        <v>54.19753809444444</v>
      </c>
      <c r="F16" s="128">
        <f t="shared" si="2"/>
        <v>50.738425255772043</v>
      </c>
      <c r="G16" s="163">
        <f t="shared" si="0"/>
        <v>1.147667262733137</v>
      </c>
    </row>
    <row r="17" spans="1:16" ht="15.75" x14ac:dyDescent="0.25">
      <c r="A17" s="126">
        <v>8</v>
      </c>
      <c r="B17" s="129" t="s">
        <v>22</v>
      </c>
      <c r="C17" s="127">
        <f>Määräytymistekijät!C17</f>
        <v>156198</v>
      </c>
      <c r="D17" s="128">
        <f t="shared" ref="D17:E17" si="11">N43</f>
        <v>53.044617858769975</v>
      </c>
      <c r="E17" s="128">
        <f t="shared" si="11"/>
        <v>26.601616879061687</v>
      </c>
      <c r="F17" s="128">
        <f t="shared" si="2"/>
        <v>39.823117368915831</v>
      </c>
      <c r="G17" s="163">
        <f t="shared" si="0"/>
        <v>0.90077072502530597</v>
      </c>
    </row>
    <row r="18" spans="1:16" ht="15.75" x14ac:dyDescent="0.25">
      <c r="A18" s="126">
        <v>9</v>
      </c>
      <c r="B18" s="129" t="s">
        <v>23</v>
      </c>
      <c r="C18" s="127">
        <f>Määräytymistekijät!C18</f>
        <v>124238</v>
      </c>
      <c r="D18" s="128">
        <f t="shared" ref="D18:E18" si="12">N44</f>
        <v>32.961669215760715</v>
      </c>
      <c r="E18" s="128">
        <f t="shared" si="12"/>
        <v>50.243993326702011</v>
      </c>
      <c r="F18" s="128">
        <f t="shared" si="2"/>
        <v>41.602831271231366</v>
      </c>
      <c r="G18" s="163">
        <f t="shared" si="0"/>
        <v>0.94102659367756014</v>
      </c>
    </row>
    <row r="19" spans="1:16" ht="15.75" x14ac:dyDescent="0.25">
      <c r="A19" s="126">
        <v>10</v>
      </c>
      <c r="B19" s="129" t="s">
        <v>24</v>
      </c>
      <c r="C19" s="127">
        <f>Määräytymistekijät!C19</f>
        <v>128144</v>
      </c>
      <c r="D19" s="128">
        <f t="shared" ref="D19:E19" si="13">N45</f>
        <v>74.097275329779137</v>
      </c>
      <c r="E19" s="128">
        <f t="shared" si="13"/>
        <v>66.978189444267073</v>
      </c>
      <c r="F19" s="128">
        <f t="shared" si="2"/>
        <v>70.537732387023112</v>
      </c>
      <c r="G19" s="163">
        <f t="shared" si="0"/>
        <v>1.5955135745725177</v>
      </c>
    </row>
    <row r="20" spans="1:16" ht="15.75" x14ac:dyDescent="0.25">
      <c r="A20" s="126">
        <v>11</v>
      </c>
      <c r="B20" s="129" t="s">
        <v>25</v>
      </c>
      <c r="C20" s="127">
        <f>Määräytymistekijät!C20</f>
        <v>248512</v>
      </c>
      <c r="D20" s="128">
        <f t="shared" ref="D20:E20" si="14">N46</f>
        <v>27.431968056693194</v>
      </c>
      <c r="E20" s="128">
        <f t="shared" si="14"/>
        <v>75.272415270936179</v>
      </c>
      <c r="F20" s="128">
        <f t="shared" si="2"/>
        <v>51.352191663814686</v>
      </c>
      <c r="G20" s="163">
        <f t="shared" si="0"/>
        <v>1.161550224412081</v>
      </c>
    </row>
    <row r="21" spans="1:16" ht="15.75" x14ac:dyDescent="0.25">
      <c r="A21" s="126">
        <v>12</v>
      </c>
      <c r="B21" s="129" t="s">
        <v>26</v>
      </c>
      <c r="C21" s="127">
        <f>Määräytymistekijät!C21</f>
        <v>161418</v>
      </c>
      <c r="D21" s="128">
        <f t="shared" ref="D21:E21" si="15">N47</f>
        <v>35.343713659818384</v>
      </c>
      <c r="E21" s="128">
        <f t="shared" si="15"/>
        <v>43.860633049300382</v>
      </c>
      <c r="F21" s="128">
        <f t="shared" si="2"/>
        <v>39.602173354559383</v>
      </c>
      <c r="G21" s="163">
        <f t="shared" si="0"/>
        <v>0.8957731278216976</v>
      </c>
    </row>
    <row r="22" spans="1:16" ht="15.75" x14ac:dyDescent="0.25">
      <c r="A22" s="126">
        <v>13</v>
      </c>
      <c r="B22" s="129" t="s">
        <v>27</v>
      </c>
      <c r="C22" s="127">
        <f>Määräytymistekijät!C22</f>
        <v>273731</v>
      </c>
      <c r="D22" s="128">
        <f t="shared" ref="D22:E22" si="16">N48</f>
        <v>37.804959853666396</v>
      </c>
      <c r="E22" s="128">
        <f t="shared" si="16"/>
        <v>62.558130302460235</v>
      </c>
      <c r="F22" s="128">
        <f t="shared" si="2"/>
        <v>50.181545078063316</v>
      </c>
      <c r="G22" s="163">
        <f t="shared" si="0"/>
        <v>1.1350710273159053</v>
      </c>
    </row>
    <row r="23" spans="1:16" ht="15.75" x14ac:dyDescent="0.25">
      <c r="A23" s="126">
        <v>14</v>
      </c>
      <c r="B23" s="129" t="s">
        <v>28</v>
      </c>
      <c r="C23" s="127">
        <f>Määräytymistekijät!C23</f>
        <v>189474</v>
      </c>
      <c r="D23" s="128">
        <f t="shared" ref="D23:E23" si="17">N49</f>
        <v>43.424562113049092</v>
      </c>
      <c r="E23" s="128">
        <f t="shared" si="17"/>
        <v>54.128411775910578</v>
      </c>
      <c r="F23" s="128">
        <f t="shared" si="2"/>
        <v>48.776486944479835</v>
      </c>
      <c r="G23" s="163">
        <f t="shared" si="0"/>
        <v>1.103289606942256</v>
      </c>
    </row>
    <row r="24" spans="1:16" ht="15.75" x14ac:dyDescent="0.25">
      <c r="A24" s="126">
        <v>15</v>
      </c>
      <c r="B24" s="129" t="s">
        <v>29</v>
      </c>
      <c r="C24" s="127">
        <f>Määräytymistekijät!C24</f>
        <v>179555</v>
      </c>
      <c r="D24" s="128">
        <f t="shared" ref="D24:E24" si="18">N50</f>
        <v>13.614325571401574</v>
      </c>
      <c r="E24" s="128">
        <f t="shared" si="18"/>
        <v>74.423110744418111</v>
      </c>
      <c r="F24" s="128">
        <f t="shared" si="2"/>
        <v>44.018718157909845</v>
      </c>
      <c r="G24" s="163">
        <f t="shared" si="0"/>
        <v>0.99567224490402895</v>
      </c>
    </row>
    <row r="25" spans="1:16" ht="15.75" x14ac:dyDescent="0.25">
      <c r="A25" s="126">
        <v>16</v>
      </c>
      <c r="B25" s="129" t="s">
        <v>30</v>
      </c>
      <c r="C25" s="127">
        <f>Määräytymistekijät!C25</f>
        <v>67498</v>
      </c>
      <c r="D25" s="128">
        <f t="shared" ref="D25:E25" si="19">N51</f>
        <v>41.572026526897595</v>
      </c>
      <c r="E25" s="128">
        <f t="shared" si="19"/>
        <v>52.593763443712916</v>
      </c>
      <c r="F25" s="128">
        <f t="shared" si="2"/>
        <v>47.082894985305259</v>
      </c>
      <c r="G25" s="163">
        <f t="shared" si="0"/>
        <v>1.0649817556801275</v>
      </c>
    </row>
    <row r="26" spans="1:16" ht="15.75" x14ac:dyDescent="0.25">
      <c r="A26" s="126">
        <v>17</v>
      </c>
      <c r="B26" s="129" t="s">
        <v>31</v>
      </c>
      <c r="C26" s="127">
        <f>Määräytymistekijät!C26</f>
        <v>417939</v>
      </c>
      <c r="D26" s="128">
        <f t="shared" ref="D26:E26" si="20">N52</f>
        <v>7.9636281835667058</v>
      </c>
      <c r="E26" s="128">
        <f t="shared" si="20"/>
        <v>67.894931977884596</v>
      </c>
      <c r="F26" s="128">
        <f t="shared" si="2"/>
        <v>37.929280080725654</v>
      </c>
      <c r="G26" s="163">
        <f t="shared" si="0"/>
        <v>0.85793346616986066</v>
      </c>
    </row>
    <row r="27" spans="1:16" ht="15.75" x14ac:dyDescent="0.25">
      <c r="A27" s="126">
        <v>18</v>
      </c>
      <c r="B27" s="129" t="s">
        <v>32</v>
      </c>
      <c r="C27" s="127">
        <f>Määräytymistekijät!C27</f>
        <v>69193</v>
      </c>
      <c r="D27" s="128">
        <f t="shared" ref="D27:E27" si="21">N53</f>
        <v>47.45138523150942</v>
      </c>
      <c r="E27" s="128">
        <f t="shared" si="21"/>
        <v>74.418565722966861</v>
      </c>
      <c r="F27" s="128">
        <f t="shared" si="2"/>
        <v>60.93497547723814</v>
      </c>
      <c r="G27" s="163">
        <f t="shared" si="0"/>
        <v>1.378306010841696</v>
      </c>
    </row>
    <row r="28" spans="1:16" ht="15.75" x14ac:dyDescent="0.25">
      <c r="A28" s="126">
        <v>19</v>
      </c>
      <c r="B28" s="129" t="s">
        <v>33</v>
      </c>
      <c r="C28" s="127">
        <f>Määräytymistekijät!C28</f>
        <v>176215</v>
      </c>
      <c r="D28" s="128">
        <f t="shared" ref="D28:E28" si="22">N54</f>
        <v>31.03750609036938</v>
      </c>
      <c r="E28" s="128">
        <f t="shared" si="22"/>
        <v>73.634673645623337</v>
      </c>
      <c r="F28" s="128">
        <f t="shared" si="2"/>
        <v>52.336089867996357</v>
      </c>
      <c r="G28" s="163">
        <f t="shared" si="0"/>
        <v>1.1838053053119908</v>
      </c>
    </row>
    <row r="29" spans="1:16" ht="15.75" x14ac:dyDescent="0.25">
      <c r="A29" s="129"/>
      <c r="B29" s="130" t="s">
        <v>188</v>
      </c>
      <c r="C29" s="131">
        <f>SUM(C7:C28)</f>
        <v>5622045</v>
      </c>
      <c r="D29" s="131"/>
      <c r="E29" s="164" t="s">
        <v>222</v>
      </c>
      <c r="F29" s="164">
        <f>SUMPRODUCT(F7:F28,C7:C28)/C29</f>
        <v>44.210048420253727</v>
      </c>
      <c r="G29" s="163">
        <f>F42/$F$42</f>
        <v>1</v>
      </c>
    </row>
    <row r="30" spans="1:16" ht="15.75" x14ac:dyDescent="0.25">
      <c r="A30" s="124"/>
      <c r="B30" s="124"/>
      <c r="C30" s="146"/>
      <c r="D30" s="146"/>
      <c r="E30" s="147"/>
      <c r="F30" s="147"/>
      <c r="G30" s="147"/>
    </row>
    <row r="31" spans="1:16" ht="16.5" x14ac:dyDescent="0.25">
      <c r="A31" s="156" t="s">
        <v>299</v>
      </c>
      <c r="B31" s="156"/>
      <c r="C31" s="156"/>
      <c r="D31" s="156"/>
      <c r="E31" s="156"/>
      <c r="F31" s="156"/>
      <c r="G31" s="156"/>
      <c r="H31" s="156"/>
      <c r="I31" s="156"/>
      <c r="J31" s="156"/>
      <c r="K31" s="156"/>
      <c r="L31" s="156"/>
      <c r="M31" s="156"/>
      <c r="N31" s="156"/>
      <c r="O31" s="156"/>
      <c r="P31" s="156"/>
    </row>
    <row r="32" spans="1:16" ht="94.5" x14ac:dyDescent="0.25">
      <c r="A32" s="269" t="s">
        <v>6</v>
      </c>
      <c r="B32" s="269" t="s">
        <v>7</v>
      </c>
      <c r="C32" s="272" t="s">
        <v>300</v>
      </c>
      <c r="D32" s="273" t="s">
        <v>301</v>
      </c>
      <c r="E32" s="273" t="s">
        <v>302</v>
      </c>
      <c r="F32" s="273" t="s">
        <v>304</v>
      </c>
      <c r="G32" s="273" t="s">
        <v>303</v>
      </c>
      <c r="H32" s="274" t="s">
        <v>305</v>
      </c>
      <c r="I32" s="280" t="s">
        <v>306</v>
      </c>
      <c r="J32" s="281" t="s">
        <v>307</v>
      </c>
      <c r="K32" s="281" t="s">
        <v>308</v>
      </c>
      <c r="L32" s="281" t="s">
        <v>309</v>
      </c>
      <c r="M32" s="282" t="s">
        <v>310</v>
      </c>
      <c r="N32" s="283" t="s">
        <v>217</v>
      </c>
      <c r="O32" s="282" t="s">
        <v>218</v>
      </c>
      <c r="P32" s="269" t="s">
        <v>219</v>
      </c>
    </row>
    <row r="33" spans="1:16" ht="15" x14ac:dyDescent="0.2">
      <c r="A33" s="270">
        <v>31</v>
      </c>
      <c r="B33" s="270" t="s">
        <v>13</v>
      </c>
      <c r="C33" s="275">
        <v>52.770236299648069</v>
      </c>
      <c r="D33" s="268">
        <v>16.649374005671991</v>
      </c>
      <c r="E33" s="268">
        <v>64.587925549780749</v>
      </c>
      <c r="F33" s="268">
        <v>62.619878939182257</v>
      </c>
      <c r="G33" s="268">
        <v>38.42830513931699</v>
      </c>
      <c r="H33" s="276">
        <v>18.99476066572316</v>
      </c>
      <c r="I33" s="275">
        <v>42.774654102112123</v>
      </c>
      <c r="J33" s="268">
        <v>38.36128746731017</v>
      </c>
      <c r="K33" s="268">
        <v>53.501226793701413</v>
      </c>
      <c r="L33" s="268">
        <v>32.388097554033152</v>
      </c>
      <c r="M33" s="276">
        <v>59.422356562350018</v>
      </c>
      <c r="N33" s="275">
        <f>AVERAGE(C33:H33)</f>
        <v>42.341746766553868</v>
      </c>
      <c r="O33" s="276">
        <f>AVERAGE(I33:M33)</f>
        <v>45.289524495901375</v>
      </c>
      <c r="P33" s="271">
        <f>(N33+O33)/2</f>
        <v>43.815635631227622</v>
      </c>
    </row>
    <row r="34" spans="1:16" ht="15" x14ac:dyDescent="0.2">
      <c r="A34" s="270">
        <v>32</v>
      </c>
      <c r="B34" s="270" t="s">
        <v>39</v>
      </c>
      <c r="C34" s="275">
        <v>19.2156862745098</v>
      </c>
      <c r="D34" s="268">
        <v>24.13619167717528</v>
      </c>
      <c r="E34" s="268">
        <v>68.766642508733483</v>
      </c>
      <c r="F34" s="268">
        <v>100</v>
      </c>
      <c r="G34" s="268">
        <v>19.69705560700254</v>
      </c>
      <c r="H34" s="276">
        <v>26.120337607635619</v>
      </c>
      <c r="I34" s="275">
        <v>23.97671391528041</v>
      </c>
      <c r="J34" s="268">
        <v>59.337175763753827</v>
      </c>
      <c r="K34" s="268">
        <v>16.922705140884869</v>
      </c>
      <c r="L34" s="268">
        <v>8.2213940055931261</v>
      </c>
      <c r="M34" s="276">
        <v>0</v>
      </c>
      <c r="N34" s="275">
        <f t="shared" ref="N34:N54" si="23">AVERAGE(C34:H34)</f>
        <v>42.98931894584279</v>
      </c>
      <c r="O34" s="276">
        <f t="shared" ref="O34:O54" si="24">AVERAGE(I34:M34)</f>
        <v>21.691597765102447</v>
      </c>
      <c r="P34" s="271">
        <f t="shared" ref="P34:P54" si="25">(N34+O34)/2</f>
        <v>32.34045835547262</v>
      </c>
    </row>
    <row r="35" spans="1:16" ht="15" x14ac:dyDescent="0.2">
      <c r="A35" s="270">
        <v>33</v>
      </c>
      <c r="B35" s="270" t="s">
        <v>14</v>
      </c>
      <c r="C35" s="275">
        <v>41.435257410296423</v>
      </c>
      <c r="D35" s="268">
        <v>16.356544199040641</v>
      </c>
      <c r="E35" s="268">
        <v>65.87043087271941</v>
      </c>
      <c r="F35" s="268">
        <v>22.906283973843209</v>
      </c>
      <c r="G35" s="268">
        <v>22.693402713655129</v>
      </c>
      <c r="H35" s="276">
        <v>0</v>
      </c>
      <c r="I35" s="275">
        <v>68.825237823369804</v>
      </c>
      <c r="J35" s="268">
        <v>54.214471647960551</v>
      </c>
      <c r="K35" s="268">
        <v>63.979864494984163</v>
      </c>
      <c r="L35" s="268">
        <v>26.396824149061679</v>
      </c>
      <c r="M35" s="276">
        <v>80.396331204944445</v>
      </c>
      <c r="N35" s="275">
        <f t="shared" si="23"/>
        <v>28.21031986159247</v>
      </c>
      <c r="O35" s="276">
        <f t="shared" si="24"/>
        <v>58.762545864064123</v>
      </c>
      <c r="P35" s="271">
        <f t="shared" si="25"/>
        <v>43.486432862828295</v>
      </c>
    </row>
    <row r="36" spans="1:16" ht="15" x14ac:dyDescent="0.2">
      <c r="A36" s="270">
        <v>34</v>
      </c>
      <c r="B36" s="270" t="s">
        <v>15</v>
      </c>
      <c r="C36" s="275">
        <v>35.55555555555555</v>
      </c>
      <c r="D36" s="268">
        <v>0.86965213914434214</v>
      </c>
      <c r="E36" s="268">
        <v>48.278415028488673</v>
      </c>
      <c r="F36" s="268">
        <v>52.692917186036603</v>
      </c>
      <c r="G36" s="268">
        <v>9.2055735139622357</v>
      </c>
      <c r="H36" s="276">
        <v>44.951431750987282</v>
      </c>
      <c r="I36" s="275">
        <v>75.806176771163038</v>
      </c>
      <c r="J36" s="268">
        <v>87.160232991231354</v>
      </c>
      <c r="K36" s="268">
        <v>24.18628366765633</v>
      </c>
      <c r="L36" s="268">
        <v>59.351185505806143</v>
      </c>
      <c r="M36" s="276">
        <v>100</v>
      </c>
      <c r="N36" s="275">
        <f t="shared" si="23"/>
        <v>31.925590862362451</v>
      </c>
      <c r="O36" s="276">
        <f t="shared" si="24"/>
        <v>69.300775787171375</v>
      </c>
      <c r="P36" s="271">
        <f t="shared" si="25"/>
        <v>50.613183324766915</v>
      </c>
    </row>
    <row r="37" spans="1:16" ht="15" x14ac:dyDescent="0.2">
      <c r="A37" s="270">
        <v>35</v>
      </c>
      <c r="B37" s="270" t="s">
        <v>16</v>
      </c>
      <c r="C37" s="275">
        <v>35.55555555555555</v>
      </c>
      <c r="D37" s="268">
        <v>17.21311475409836</v>
      </c>
      <c r="E37" s="268">
        <v>44.60969171045604</v>
      </c>
      <c r="F37" s="268">
        <v>19.99041330954762</v>
      </c>
      <c r="G37" s="268">
        <v>52.214312114877657</v>
      </c>
      <c r="H37" s="276">
        <v>4.3636565589828074</v>
      </c>
      <c r="I37" s="275">
        <v>63.560992597868257</v>
      </c>
      <c r="J37" s="268">
        <v>30.12037578164993</v>
      </c>
      <c r="K37" s="268">
        <v>45.523874669034043</v>
      </c>
      <c r="L37" s="268">
        <v>37.401638278879631</v>
      </c>
      <c r="M37" s="276">
        <v>30.693746355342011</v>
      </c>
      <c r="N37" s="275">
        <f t="shared" si="23"/>
        <v>28.991124000586339</v>
      </c>
      <c r="O37" s="276">
        <f t="shared" si="24"/>
        <v>41.46012553655477</v>
      </c>
      <c r="P37" s="271">
        <f t="shared" si="25"/>
        <v>35.225624768570555</v>
      </c>
    </row>
    <row r="38" spans="1:16" ht="15" x14ac:dyDescent="0.2">
      <c r="A38" s="270">
        <v>2</v>
      </c>
      <c r="B38" s="270" t="s">
        <v>17</v>
      </c>
      <c r="C38" s="275">
        <v>8.6486486486486491</v>
      </c>
      <c r="D38" s="268">
        <v>34.982987936900713</v>
      </c>
      <c r="E38" s="268">
        <v>47.741135941150723</v>
      </c>
      <c r="F38" s="268">
        <v>68.569972147500025</v>
      </c>
      <c r="G38" s="268">
        <v>52.559129765009168</v>
      </c>
      <c r="H38" s="276">
        <v>20.184809613825699</v>
      </c>
      <c r="I38" s="275">
        <v>76.307355177777566</v>
      </c>
      <c r="J38" s="268">
        <v>29.490061086444069</v>
      </c>
      <c r="K38" s="268">
        <v>0</v>
      </c>
      <c r="L38" s="268">
        <v>26.66966129222223</v>
      </c>
      <c r="M38" s="276">
        <v>28.187792159467641</v>
      </c>
      <c r="N38" s="275">
        <f t="shared" si="23"/>
        <v>38.781114008839168</v>
      </c>
      <c r="O38" s="276">
        <f t="shared" si="24"/>
        <v>32.130973943182305</v>
      </c>
      <c r="P38" s="271">
        <f t="shared" si="25"/>
        <v>35.456043976010733</v>
      </c>
    </row>
    <row r="39" spans="1:16" ht="15" x14ac:dyDescent="0.2">
      <c r="A39" s="270">
        <v>4</v>
      </c>
      <c r="B39" s="270" t="s">
        <v>18</v>
      </c>
      <c r="C39" s="275">
        <v>14.712643678160919</v>
      </c>
      <c r="D39" s="268">
        <v>25.16875602700096</v>
      </c>
      <c r="E39" s="268">
        <v>41.284753355089528</v>
      </c>
      <c r="F39" s="268">
        <v>34.361084060407137</v>
      </c>
      <c r="G39" s="268">
        <v>42.199414604460799</v>
      </c>
      <c r="H39" s="276">
        <v>13.42675351250438</v>
      </c>
      <c r="I39" s="275">
        <v>51.619690740602117</v>
      </c>
      <c r="J39" s="268">
        <v>58.002397091377482</v>
      </c>
      <c r="K39" s="268">
        <v>45.881270231315597</v>
      </c>
      <c r="L39" s="268">
        <v>63.695124456889353</v>
      </c>
      <c r="M39" s="276">
        <v>65.671261950050692</v>
      </c>
      <c r="N39" s="275">
        <f t="shared" si="23"/>
        <v>28.525567539603955</v>
      </c>
      <c r="O39" s="276">
        <f t="shared" si="24"/>
        <v>56.973948894047041</v>
      </c>
      <c r="P39" s="271">
        <f t="shared" si="25"/>
        <v>42.749758216825498</v>
      </c>
    </row>
    <row r="40" spans="1:16" ht="15" x14ac:dyDescent="0.2">
      <c r="A40" s="270">
        <v>5</v>
      </c>
      <c r="B40" s="270" t="s">
        <v>19</v>
      </c>
      <c r="C40" s="275">
        <v>79.750778816199372</v>
      </c>
      <c r="D40" s="268">
        <v>9.4342029725074941</v>
      </c>
      <c r="E40" s="268">
        <v>99.999999999999986</v>
      </c>
      <c r="F40" s="268">
        <v>90.925573760997906</v>
      </c>
      <c r="G40" s="268">
        <v>53.460915792944213</v>
      </c>
      <c r="H40" s="276">
        <v>35.670086845075573</v>
      </c>
      <c r="I40" s="275">
        <v>41.576416245995837</v>
      </c>
      <c r="J40" s="268">
        <v>41.404874305631417</v>
      </c>
      <c r="K40" s="268">
        <v>66.45549935010412</v>
      </c>
      <c r="L40" s="268">
        <v>61.991974262012121</v>
      </c>
      <c r="M40" s="276">
        <v>73.172802711025312</v>
      </c>
      <c r="N40" s="275">
        <f t="shared" si="23"/>
        <v>61.540259697954092</v>
      </c>
      <c r="O40" s="276">
        <f t="shared" si="24"/>
        <v>56.920313374953764</v>
      </c>
      <c r="P40" s="271">
        <f t="shared" si="25"/>
        <v>59.230286536453931</v>
      </c>
    </row>
    <row r="41" spans="1:16" ht="15" x14ac:dyDescent="0.2">
      <c r="A41" s="270">
        <v>6</v>
      </c>
      <c r="B41" s="270" t="s">
        <v>20</v>
      </c>
      <c r="C41" s="275">
        <v>32.751173708920177</v>
      </c>
      <c r="D41" s="268">
        <v>6.0859515192067883</v>
      </c>
      <c r="E41" s="268">
        <v>67.741143178501218</v>
      </c>
      <c r="F41" s="268">
        <v>1.8964461787798459</v>
      </c>
      <c r="G41" s="268">
        <v>79.067640613464391</v>
      </c>
      <c r="H41" s="276">
        <v>48.417408944924652</v>
      </c>
      <c r="I41" s="275">
        <v>52.108200782788373</v>
      </c>
      <c r="J41" s="268">
        <v>48.744853707947691</v>
      </c>
      <c r="K41" s="268">
        <v>36.000403148708124</v>
      </c>
      <c r="L41" s="268">
        <v>42.295913501741722</v>
      </c>
      <c r="M41" s="276">
        <v>68.182402115846614</v>
      </c>
      <c r="N41" s="275">
        <f t="shared" si="23"/>
        <v>39.326627357299515</v>
      </c>
      <c r="O41" s="276">
        <f t="shared" si="24"/>
        <v>49.466354651406505</v>
      </c>
      <c r="P41" s="271">
        <f t="shared" si="25"/>
        <v>44.39649100435301</v>
      </c>
    </row>
    <row r="42" spans="1:16" ht="15" x14ac:dyDescent="0.2">
      <c r="A42" s="270">
        <v>7</v>
      </c>
      <c r="B42" s="270" t="s">
        <v>21</v>
      </c>
      <c r="C42" s="275">
        <v>79.678714859437747</v>
      </c>
      <c r="D42" s="268">
        <v>13.136324417601379</v>
      </c>
      <c r="E42" s="268">
        <v>61.634763232880232</v>
      </c>
      <c r="F42" s="268">
        <v>58.397829116862432</v>
      </c>
      <c r="G42" s="268">
        <v>26.506710715007561</v>
      </c>
      <c r="H42" s="276">
        <v>44.32153216080853</v>
      </c>
      <c r="I42" s="275">
        <v>49.456884860220839</v>
      </c>
      <c r="J42" s="268">
        <v>42.113073464291908</v>
      </c>
      <c r="K42" s="268">
        <v>42.636680166072587</v>
      </c>
      <c r="L42" s="268">
        <v>58.29704823994858</v>
      </c>
      <c r="M42" s="276">
        <v>78.484003741688312</v>
      </c>
      <c r="N42" s="275">
        <f t="shared" si="23"/>
        <v>47.279312417099646</v>
      </c>
      <c r="O42" s="276">
        <f t="shared" si="24"/>
        <v>54.19753809444444</v>
      </c>
      <c r="P42" s="271">
        <f t="shared" si="25"/>
        <v>50.738425255772043</v>
      </c>
    </row>
    <row r="43" spans="1:16" ht="15" x14ac:dyDescent="0.2">
      <c r="A43" s="270">
        <v>8</v>
      </c>
      <c r="B43" s="270" t="s">
        <v>22</v>
      </c>
      <c r="C43" s="275">
        <v>67.368421052631575</v>
      </c>
      <c r="D43" s="268">
        <v>50.28373266078183</v>
      </c>
      <c r="E43" s="268">
        <v>83.202045905828783</v>
      </c>
      <c r="F43" s="268">
        <v>52.769898252021918</v>
      </c>
      <c r="G43" s="268">
        <v>52.123144010852677</v>
      </c>
      <c r="H43" s="276">
        <v>12.520465270503079</v>
      </c>
      <c r="I43" s="275">
        <v>0</v>
      </c>
      <c r="J43" s="268">
        <v>0</v>
      </c>
      <c r="K43" s="268">
        <v>25.712183913848349</v>
      </c>
      <c r="L43" s="268">
        <v>42.699245828816622</v>
      </c>
      <c r="M43" s="276">
        <v>64.596654652643451</v>
      </c>
      <c r="N43" s="275">
        <f t="shared" si="23"/>
        <v>53.044617858769975</v>
      </c>
      <c r="O43" s="276">
        <f t="shared" si="24"/>
        <v>26.601616879061687</v>
      </c>
      <c r="P43" s="271">
        <f t="shared" si="25"/>
        <v>39.823117368915831</v>
      </c>
    </row>
    <row r="44" spans="1:16" ht="15" x14ac:dyDescent="0.2">
      <c r="A44" s="270">
        <v>9</v>
      </c>
      <c r="B44" s="270" t="s">
        <v>23</v>
      </c>
      <c r="C44" s="275">
        <v>20.512820512820511</v>
      </c>
      <c r="D44" s="268">
        <v>56.264099864641302</v>
      </c>
      <c r="E44" s="268">
        <v>0.63865644716169712</v>
      </c>
      <c r="F44" s="268">
        <v>38.551269138038968</v>
      </c>
      <c r="G44" s="268">
        <v>52.948154242529199</v>
      </c>
      <c r="H44" s="276">
        <v>28.855015089372639</v>
      </c>
      <c r="I44" s="275">
        <v>38.031537092634238</v>
      </c>
      <c r="J44" s="268">
        <v>40.125727750883748</v>
      </c>
      <c r="K44" s="268">
        <v>56.921357451629547</v>
      </c>
      <c r="L44" s="268">
        <v>56.773957828300709</v>
      </c>
      <c r="M44" s="276">
        <v>59.36738651006177</v>
      </c>
      <c r="N44" s="275">
        <f t="shared" si="23"/>
        <v>32.961669215760715</v>
      </c>
      <c r="O44" s="276">
        <f t="shared" si="24"/>
        <v>50.243993326702011</v>
      </c>
      <c r="P44" s="271">
        <f t="shared" si="25"/>
        <v>41.602831271231366</v>
      </c>
    </row>
    <row r="45" spans="1:16" ht="15" x14ac:dyDescent="0.2">
      <c r="A45" s="270">
        <v>10</v>
      </c>
      <c r="B45" s="270" t="s">
        <v>24</v>
      </c>
      <c r="C45" s="275">
        <v>54.421768707482997</v>
      </c>
      <c r="D45" s="268">
        <v>100</v>
      </c>
      <c r="E45" s="268">
        <v>65.915126493737191</v>
      </c>
      <c r="F45" s="268">
        <v>92.459620528047253</v>
      </c>
      <c r="G45" s="268">
        <v>41.677884092597878</v>
      </c>
      <c r="H45" s="276">
        <v>90.10925215680949</v>
      </c>
      <c r="I45" s="275">
        <v>56.815387683387769</v>
      </c>
      <c r="J45" s="268">
        <v>47.058228548345511</v>
      </c>
      <c r="K45" s="268">
        <v>73.246046135879581</v>
      </c>
      <c r="L45" s="268">
        <v>73.1571601260585</v>
      </c>
      <c r="M45" s="276">
        <v>84.614124727663963</v>
      </c>
      <c r="N45" s="275">
        <f t="shared" si="23"/>
        <v>74.097275329779137</v>
      </c>
      <c r="O45" s="276">
        <f t="shared" si="24"/>
        <v>66.978189444267073</v>
      </c>
      <c r="P45" s="271">
        <f t="shared" si="25"/>
        <v>70.537732387023112</v>
      </c>
    </row>
    <row r="46" spans="1:16" ht="15" x14ac:dyDescent="0.2">
      <c r="A46" s="270">
        <v>11</v>
      </c>
      <c r="B46" s="270" t="s">
        <v>25</v>
      </c>
      <c r="C46" s="275">
        <v>0</v>
      </c>
      <c r="D46" s="268">
        <v>1.6978922716627629</v>
      </c>
      <c r="E46" s="268">
        <v>6.2635044979124501</v>
      </c>
      <c r="F46" s="268">
        <v>37.550930583100367</v>
      </c>
      <c r="G46" s="268">
        <v>100</v>
      </c>
      <c r="H46" s="276">
        <v>19.079480987483571</v>
      </c>
      <c r="I46" s="275">
        <v>100</v>
      </c>
      <c r="J46" s="268">
        <v>83.416648644732106</v>
      </c>
      <c r="K46" s="268">
        <v>30.074829336888051</v>
      </c>
      <c r="L46" s="268">
        <v>86.539698856150721</v>
      </c>
      <c r="M46" s="276">
        <v>76.330899516909994</v>
      </c>
      <c r="N46" s="275">
        <f t="shared" si="23"/>
        <v>27.431968056693194</v>
      </c>
      <c r="O46" s="276">
        <f t="shared" si="24"/>
        <v>75.272415270936179</v>
      </c>
      <c r="P46" s="271">
        <f t="shared" si="25"/>
        <v>51.352191663814686</v>
      </c>
    </row>
    <row r="47" spans="1:16" ht="15" x14ac:dyDescent="0.2">
      <c r="A47" s="270">
        <v>12</v>
      </c>
      <c r="B47" s="270" t="s">
        <v>26</v>
      </c>
      <c r="C47" s="275">
        <v>16.666666666666671</v>
      </c>
      <c r="D47" s="268">
        <v>1.914402024425129</v>
      </c>
      <c r="E47" s="268">
        <v>36.484198346821032</v>
      </c>
      <c r="F47" s="268">
        <v>41.616941523831393</v>
      </c>
      <c r="G47" s="268">
        <v>72.941711502968928</v>
      </c>
      <c r="H47" s="276">
        <v>42.438361894197129</v>
      </c>
      <c r="I47" s="275">
        <v>47.359480443080663</v>
      </c>
      <c r="J47" s="268">
        <v>13.95258828915132</v>
      </c>
      <c r="K47" s="268">
        <v>36.161230970277508</v>
      </c>
      <c r="L47" s="268">
        <v>61.935441992006282</v>
      </c>
      <c r="M47" s="276">
        <v>59.894423551986137</v>
      </c>
      <c r="N47" s="275">
        <f t="shared" si="23"/>
        <v>35.343713659818384</v>
      </c>
      <c r="O47" s="276">
        <f t="shared" si="24"/>
        <v>43.860633049300382</v>
      </c>
      <c r="P47" s="271">
        <f t="shared" si="25"/>
        <v>39.602173354559383</v>
      </c>
    </row>
    <row r="48" spans="1:16" ht="15" x14ac:dyDescent="0.2">
      <c r="A48" s="270">
        <v>13</v>
      </c>
      <c r="B48" s="270" t="s">
        <v>27</v>
      </c>
      <c r="C48" s="275">
        <v>39.922027290448341</v>
      </c>
      <c r="D48" s="268">
        <v>1.421491204182779</v>
      </c>
      <c r="E48" s="268">
        <v>77.423546248870124</v>
      </c>
      <c r="F48" s="268">
        <v>30.53976918714071</v>
      </c>
      <c r="G48" s="268">
        <v>56.651853377372838</v>
      </c>
      <c r="H48" s="276">
        <v>20.87107181398358</v>
      </c>
      <c r="I48" s="275">
        <v>44.783057164383457</v>
      </c>
      <c r="J48" s="268">
        <v>42.906444586025771</v>
      </c>
      <c r="K48" s="268">
        <v>80.575262809748807</v>
      </c>
      <c r="L48" s="268">
        <v>99.999999999999972</v>
      </c>
      <c r="M48" s="276">
        <v>44.525886952143154</v>
      </c>
      <c r="N48" s="275">
        <f t="shared" si="23"/>
        <v>37.804959853666396</v>
      </c>
      <c r="O48" s="276">
        <f t="shared" si="24"/>
        <v>62.558130302460235</v>
      </c>
      <c r="P48" s="271">
        <f t="shared" si="25"/>
        <v>50.181545078063316</v>
      </c>
    </row>
    <row r="49" spans="1:16" ht="15" x14ac:dyDescent="0.2">
      <c r="A49" s="270">
        <v>14</v>
      </c>
      <c r="B49" s="270" t="s">
        <v>28</v>
      </c>
      <c r="C49" s="275">
        <v>100</v>
      </c>
      <c r="D49" s="268">
        <v>0</v>
      </c>
      <c r="E49" s="268">
        <v>6.4025308827960217</v>
      </c>
      <c r="F49" s="268">
        <v>45.051564948766277</v>
      </c>
      <c r="G49" s="268">
        <v>39.432780231310517</v>
      </c>
      <c r="H49" s="276">
        <v>69.660496615421735</v>
      </c>
      <c r="I49" s="275">
        <v>57.681493634122987</v>
      </c>
      <c r="J49" s="268">
        <v>69.748295099813092</v>
      </c>
      <c r="K49" s="268">
        <v>45.366158734224499</v>
      </c>
      <c r="L49" s="268">
        <v>24.94896429500146</v>
      </c>
      <c r="M49" s="276">
        <v>72.89714711639084</v>
      </c>
      <c r="N49" s="275">
        <f t="shared" si="23"/>
        <v>43.424562113049092</v>
      </c>
      <c r="O49" s="276">
        <f t="shared" si="24"/>
        <v>54.128411775910578</v>
      </c>
      <c r="P49" s="271">
        <f t="shared" si="25"/>
        <v>48.776486944479835</v>
      </c>
    </row>
    <row r="50" spans="1:16" ht="15" x14ac:dyDescent="0.2">
      <c r="A50" s="270">
        <v>15</v>
      </c>
      <c r="B50" s="270" t="s">
        <v>29</v>
      </c>
      <c r="C50" s="275">
        <v>11.46953405017921</v>
      </c>
      <c r="D50" s="268">
        <v>6.6557377049180326</v>
      </c>
      <c r="E50" s="268">
        <v>20.40599003194653</v>
      </c>
      <c r="F50" s="268">
        <v>0</v>
      </c>
      <c r="G50" s="268">
        <v>20.492211005619541</v>
      </c>
      <c r="H50" s="276">
        <v>22.662480635746132</v>
      </c>
      <c r="I50" s="275">
        <v>65.479953603135982</v>
      </c>
      <c r="J50" s="268">
        <v>95.081740330888536</v>
      </c>
      <c r="K50" s="268">
        <v>68.699869833651377</v>
      </c>
      <c r="L50" s="268">
        <v>84.887852003609424</v>
      </c>
      <c r="M50" s="276">
        <v>57.966137950805233</v>
      </c>
      <c r="N50" s="275">
        <f t="shared" si="23"/>
        <v>13.614325571401574</v>
      </c>
      <c r="O50" s="276">
        <f t="shared" si="24"/>
        <v>74.423110744418111</v>
      </c>
      <c r="P50" s="271">
        <f t="shared" si="25"/>
        <v>44.018718157909845</v>
      </c>
    </row>
    <row r="51" spans="1:16" ht="15" x14ac:dyDescent="0.2">
      <c r="A51" s="270">
        <v>16</v>
      </c>
      <c r="B51" s="270" t="s">
        <v>30</v>
      </c>
      <c r="C51" s="275">
        <v>50.196078431372541</v>
      </c>
      <c r="D51" s="268">
        <v>9.8360655737704903</v>
      </c>
      <c r="E51" s="268">
        <v>25.733918690247219</v>
      </c>
      <c r="F51" s="268">
        <v>50.495553293603052</v>
      </c>
      <c r="G51" s="268">
        <v>84.857460706087295</v>
      </c>
      <c r="H51" s="276">
        <v>28.313082466304991</v>
      </c>
      <c r="I51" s="275">
        <v>68.495424823450278</v>
      </c>
      <c r="J51" s="268">
        <v>2.969970369854551</v>
      </c>
      <c r="K51" s="268">
        <v>100</v>
      </c>
      <c r="L51" s="268">
        <v>0</v>
      </c>
      <c r="M51" s="276">
        <v>91.503422025259752</v>
      </c>
      <c r="N51" s="275">
        <f t="shared" si="23"/>
        <v>41.572026526897595</v>
      </c>
      <c r="O51" s="276">
        <f t="shared" si="24"/>
        <v>52.593763443712916</v>
      </c>
      <c r="P51" s="271">
        <f t="shared" si="25"/>
        <v>47.082894985305259</v>
      </c>
    </row>
    <row r="52" spans="1:16" ht="15" x14ac:dyDescent="0.2">
      <c r="A52" s="270">
        <v>17</v>
      </c>
      <c r="B52" s="270" t="s">
        <v>31</v>
      </c>
      <c r="C52" s="275">
        <v>3.0260047281323881</v>
      </c>
      <c r="D52" s="268">
        <v>5.6404556821339256</v>
      </c>
      <c r="E52" s="268">
        <v>29.90915906686277</v>
      </c>
      <c r="F52" s="268">
        <v>7.0847485347655859</v>
      </c>
      <c r="G52" s="268">
        <v>0</v>
      </c>
      <c r="H52" s="276">
        <v>2.121401089505571</v>
      </c>
      <c r="I52" s="275">
        <v>56.23410810547162</v>
      </c>
      <c r="J52" s="268">
        <v>21.80854342402116</v>
      </c>
      <c r="K52" s="268">
        <v>97.1682541593986</v>
      </c>
      <c r="L52" s="268">
        <v>78.776553807139408</v>
      </c>
      <c r="M52" s="276">
        <v>85.487200393392186</v>
      </c>
      <c r="N52" s="275">
        <f t="shared" si="23"/>
        <v>7.9636281835667058</v>
      </c>
      <c r="O52" s="276">
        <f t="shared" si="24"/>
        <v>67.894931977884596</v>
      </c>
      <c r="P52" s="271">
        <f t="shared" si="25"/>
        <v>37.929280080725654</v>
      </c>
    </row>
    <row r="53" spans="1:16" ht="15" x14ac:dyDescent="0.2">
      <c r="A53" s="270">
        <v>18</v>
      </c>
      <c r="B53" s="270" t="s">
        <v>32</v>
      </c>
      <c r="C53" s="275">
        <v>21.333333333333329</v>
      </c>
      <c r="D53" s="268">
        <v>50.79721536043116</v>
      </c>
      <c r="E53" s="268">
        <v>0</v>
      </c>
      <c r="F53" s="268">
        <v>58.598664249139148</v>
      </c>
      <c r="G53" s="268">
        <v>53.979098446152882</v>
      </c>
      <c r="H53" s="276">
        <v>100</v>
      </c>
      <c r="I53" s="275">
        <v>48.093931183984289</v>
      </c>
      <c r="J53" s="268">
        <v>100</v>
      </c>
      <c r="K53" s="268">
        <v>96.381447889317997</v>
      </c>
      <c r="L53" s="268">
        <v>65.966760876103876</v>
      </c>
      <c r="M53" s="276">
        <v>61.65068866542812</v>
      </c>
      <c r="N53" s="275">
        <f t="shared" si="23"/>
        <v>47.45138523150942</v>
      </c>
      <c r="O53" s="276">
        <f t="shared" si="24"/>
        <v>74.418565722966861</v>
      </c>
      <c r="P53" s="271">
        <f t="shared" si="25"/>
        <v>60.93497547723814</v>
      </c>
    </row>
    <row r="54" spans="1:16" ht="15" x14ac:dyDescent="0.2">
      <c r="A54" s="270">
        <v>19</v>
      </c>
      <c r="B54" s="270" t="s">
        <v>33</v>
      </c>
      <c r="C54" s="277">
        <v>9.6969696969696972</v>
      </c>
      <c r="D54" s="278">
        <v>1.208669074742984</v>
      </c>
      <c r="E54" s="278">
        <v>30.885647400541561</v>
      </c>
      <c r="F54" s="278">
        <v>40.313723190281259</v>
      </c>
      <c r="G54" s="278">
        <v>51.923709293144157</v>
      </c>
      <c r="H54" s="279">
        <v>52.196317886536619</v>
      </c>
      <c r="I54" s="277">
        <v>43.660854847259273</v>
      </c>
      <c r="J54" s="278">
        <v>90.502303617940882</v>
      </c>
      <c r="K54" s="278">
        <v>66.805442597993945</v>
      </c>
      <c r="L54" s="278">
        <v>84.462130390357828</v>
      </c>
      <c r="M54" s="279">
        <v>82.74263677456473</v>
      </c>
      <c r="N54" s="277">
        <f t="shared" si="23"/>
        <v>31.03750609036938</v>
      </c>
      <c r="O54" s="279">
        <f t="shared" si="24"/>
        <v>73.634673645623337</v>
      </c>
      <c r="P54" s="271">
        <f t="shared" si="25"/>
        <v>52.336089867996357</v>
      </c>
    </row>
  </sheetData>
  <mergeCells count="1">
    <mergeCell ref="A3:G3"/>
  </mergeCells>
  <pageMargins left="0.7" right="0.7" top="0.75" bottom="0.75" header="0.3" footer="0.3"/>
  <ignoredErrors>
    <ignoredError sqref="N33:O54" formulaRange="1"/>
  </ignoredErrors>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I103"/>
  <sheetViews>
    <sheetView zoomScaleNormal="100" workbookViewId="0"/>
  </sheetViews>
  <sheetFormatPr defaultRowHeight="14.25" x14ac:dyDescent="0.2"/>
  <cols>
    <col min="1" max="1" width="20.5" customWidth="1"/>
    <col min="2" max="2" width="23.625" customWidth="1"/>
    <col min="3" max="3" width="22.875" customWidth="1"/>
    <col min="4" max="4" width="22.625" customWidth="1"/>
    <col min="5" max="6" width="22.875" customWidth="1"/>
    <col min="7" max="7" width="25.75" customWidth="1"/>
    <col min="8" max="8" width="24.75" customWidth="1"/>
    <col min="9" max="9" width="23" customWidth="1"/>
    <col min="10" max="10" width="27.625" style="394" customWidth="1"/>
    <col min="11" max="11" width="24.375" style="394" customWidth="1"/>
    <col min="12" max="12" width="22.75" style="394" customWidth="1"/>
    <col min="13" max="13" width="28.625" style="394" customWidth="1"/>
    <col min="14" max="14" width="28.25" style="394" customWidth="1"/>
    <col min="15" max="15" width="26.875" style="394" customWidth="1"/>
    <col min="16" max="16" width="24" style="394" customWidth="1"/>
    <col min="17" max="16384" width="9" style="394"/>
  </cols>
  <sheetData>
    <row r="1" spans="1:9" ht="20.25" x14ac:dyDescent="0.3">
      <c r="A1" s="138" t="s">
        <v>214</v>
      </c>
      <c r="B1" s="11"/>
      <c r="C1" s="11"/>
      <c r="D1" s="11"/>
      <c r="E1" s="11"/>
      <c r="F1" s="11"/>
      <c r="G1" s="12"/>
      <c r="H1" s="394"/>
      <c r="I1" s="394"/>
    </row>
    <row r="2" spans="1:9" ht="15" x14ac:dyDescent="0.2">
      <c r="A2" s="19" t="str">
        <f>INFO!A2</f>
        <v>VM/HVO 30.4.2026</v>
      </c>
      <c r="B2" s="160"/>
      <c r="C2" s="160"/>
      <c r="D2" s="160"/>
      <c r="E2" s="160"/>
      <c r="F2" s="160"/>
      <c r="G2" s="161"/>
      <c r="H2" s="394"/>
      <c r="I2" s="394"/>
    </row>
    <row r="3" spans="1:9" ht="75.75" customHeight="1" x14ac:dyDescent="0.2">
      <c r="A3" s="411" t="s">
        <v>494</v>
      </c>
      <c r="B3" s="411"/>
      <c r="C3" s="411"/>
      <c r="D3" s="411"/>
      <c r="E3" s="411"/>
      <c r="F3" s="411"/>
      <c r="G3" s="411"/>
      <c r="H3" s="394"/>
      <c r="I3" s="394"/>
    </row>
    <row r="4" spans="1:9" x14ac:dyDescent="0.2">
      <c r="A4" s="153"/>
      <c r="B4" s="153"/>
      <c r="C4" s="153"/>
      <c r="D4" s="153"/>
      <c r="E4" s="153"/>
      <c r="F4" s="153"/>
      <c r="G4" s="153"/>
      <c r="H4" s="394"/>
      <c r="I4" s="394"/>
    </row>
    <row r="5" spans="1:9" ht="16.5" x14ac:dyDescent="0.25">
      <c r="A5" s="156" t="s">
        <v>213</v>
      </c>
      <c r="B5" s="159"/>
      <c r="C5" s="159"/>
      <c r="D5" s="159"/>
      <c r="E5" s="159"/>
      <c r="F5" s="159"/>
      <c r="G5" s="159"/>
      <c r="H5" s="159"/>
      <c r="I5" s="159"/>
    </row>
    <row r="6" spans="1:9" ht="57" customHeight="1" x14ac:dyDescent="0.25">
      <c r="A6" s="10" t="s">
        <v>6</v>
      </c>
      <c r="B6" s="10" t="s">
        <v>7</v>
      </c>
      <c r="C6" s="10" t="s">
        <v>311</v>
      </c>
      <c r="D6" s="196" t="s">
        <v>318</v>
      </c>
      <c r="E6" s="196" t="s">
        <v>319</v>
      </c>
      <c r="F6" s="196" t="s">
        <v>320</v>
      </c>
      <c r="G6" s="196" t="s">
        <v>321</v>
      </c>
      <c r="H6" s="196" t="s">
        <v>322</v>
      </c>
      <c r="I6" s="196" t="s">
        <v>323</v>
      </c>
    </row>
    <row r="7" spans="1:9" ht="15" x14ac:dyDescent="0.25">
      <c r="A7" s="284">
        <v>31</v>
      </c>
      <c r="B7" s="58" t="s">
        <v>13</v>
      </c>
      <c r="C7" s="59">
        <f>Määräytymistekijät!C7</f>
        <v>694392</v>
      </c>
      <c r="D7" s="401">
        <f>(C33+F33)/2</f>
        <v>0.92770389250794327</v>
      </c>
      <c r="E7" s="286">
        <f>(D33+G33)/2</f>
        <v>0.82512351152437202</v>
      </c>
      <c r="F7" s="286">
        <f t="shared" ref="F7" si="0">(E33+H33)/2</f>
        <v>0.84575781631509273</v>
      </c>
      <c r="G7" s="378">
        <f>D7/D$29</f>
        <v>0.92826609437273777</v>
      </c>
      <c r="H7" s="379">
        <f t="shared" ref="H7:H29" si="1">E7/E$29</f>
        <v>0.82655162066467514</v>
      </c>
      <c r="I7" s="379">
        <f t="shared" ref="I7:I29" si="2">F7/F$29</f>
        <v>0.8467739240234099</v>
      </c>
    </row>
    <row r="8" spans="1:9" ht="15" x14ac:dyDescent="0.25">
      <c r="A8" s="284">
        <v>32</v>
      </c>
      <c r="B8" s="58" t="s">
        <v>39</v>
      </c>
      <c r="C8" s="59">
        <f>Määräytymistekijät!C8</f>
        <v>291723</v>
      </c>
      <c r="D8" s="401">
        <f t="shared" ref="D8:D27" si="3">(C34+F34)/2</f>
        <v>0.95471823149014667</v>
      </c>
      <c r="E8" s="286">
        <f t="shared" ref="E8:E28" si="4">(D34+G34)/2</f>
        <v>0.70315599672612938</v>
      </c>
      <c r="F8" s="286">
        <f t="shared" ref="F8:F28" si="5">(E34+H34)/2</f>
        <v>0.91857590345668205</v>
      </c>
      <c r="G8" s="378">
        <f t="shared" ref="G8:G29" si="6">D8/D$29</f>
        <v>0.95529680443182752</v>
      </c>
      <c r="H8" s="379">
        <f t="shared" si="1"/>
        <v>0.70437300665489555</v>
      </c>
      <c r="I8" s="379">
        <f t="shared" si="2"/>
        <v>0.91967949604332033</v>
      </c>
    </row>
    <row r="9" spans="1:9" ht="15" x14ac:dyDescent="0.25">
      <c r="A9" s="284">
        <v>33</v>
      </c>
      <c r="B9" s="58" t="s">
        <v>14</v>
      </c>
      <c r="C9" s="59">
        <f>Määräytymistekijät!C9</f>
        <v>506379</v>
      </c>
      <c r="D9" s="401">
        <f t="shared" si="3"/>
        <v>0.83605281201729031</v>
      </c>
      <c r="E9" s="286">
        <f t="shared" si="4"/>
        <v>0.63607701928057137</v>
      </c>
      <c r="F9" s="286">
        <f t="shared" si="5"/>
        <v>0.73215317701453064</v>
      </c>
      <c r="G9" s="378">
        <f t="shared" si="6"/>
        <v>0.83655947201276815</v>
      </c>
      <c r="H9" s="379">
        <f t="shared" si="1"/>
        <v>0.6371779301048105</v>
      </c>
      <c r="I9" s="379">
        <f t="shared" si="2"/>
        <v>0.7330327981927004</v>
      </c>
    </row>
    <row r="10" spans="1:9" ht="15" x14ac:dyDescent="0.25">
      <c r="A10" s="284">
        <v>34</v>
      </c>
      <c r="B10" s="58" t="s">
        <v>15</v>
      </c>
      <c r="C10" s="59">
        <f>Määräytymistekijät!C10</f>
        <v>99584</v>
      </c>
      <c r="D10" s="401">
        <f t="shared" si="3"/>
        <v>0.95691319634441985</v>
      </c>
      <c r="E10" s="286">
        <f t="shared" si="4"/>
        <v>0.90771936374715856</v>
      </c>
      <c r="F10" s="286">
        <f t="shared" si="5"/>
        <v>0.8013480035172631</v>
      </c>
      <c r="G10" s="378">
        <f t="shared" si="6"/>
        <v>0.95749309946628447</v>
      </c>
      <c r="H10" s="379">
        <f t="shared" si="1"/>
        <v>0.90929042832366369</v>
      </c>
      <c r="I10" s="379">
        <f t="shared" si="2"/>
        <v>0.80231075652729866</v>
      </c>
    </row>
    <row r="11" spans="1:9" ht="15" x14ac:dyDescent="0.25">
      <c r="A11" s="284">
        <v>35</v>
      </c>
      <c r="B11" s="58" t="s">
        <v>16</v>
      </c>
      <c r="C11" s="59">
        <f>Määräytymistekijät!C11</f>
        <v>207551</v>
      </c>
      <c r="D11" s="401">
        <f t="shared" si="3"/>
        <v>0.92444619085316349</v>
      </c>
      <c r="E11" s="286">
        <f t="shared" si="4"/>
        <v>0.74479984927395604</v>
      </c>
      <c r="F11" s="286">
        <f t="shared" si="5"/>
        <v>0.83049008766850774</v>
      </c>
      <c r="G11" s="378">
        <f t="shared" si="6"/>
        <v>0.92500641850403043</v>
      </c>
      <c r="H11" s="379">
        <f t="shared" si="1"/>
        <v>0.74608893564416445</v>
      </c>
      <c r="I11" s="379">
        <f t="shared" si="2"/>
        <v>0.83148785247006485</v>
      </c>
    </row>
    <row r="12" spans="1:9" ht="15" x14ac:dyDescent="0.25">
      <c r="A12" s="58">
        <v>2</v>
      </c>
      <c r="B12" s="58" t="s">
        <v>17</v>
      </c>
      <c r="C12" s="59">
        <f>Määräytymistekijät!C12</f>
        <v>497800</v>
      </c>
      <c r="D12" s="401">
        <f t="shared" si="3"/>
        <v>1.036431057202599</v>
      </c>
      <c r="E12" s="286">
        <f t="shared" si="4"/>
        <v>1.0766828757418345</v>
      </c>
      <c r="F12" s="286">
        <f t="shared" si="5"/>
        <v>1.0186406360819242</v>
      </c>
      <c r="G12" s="378">
        <f t="shared" si="6"/>
        <v>1.0370591492886578</v>
      </c>
      <c r="H12" s="379">
        <f t="shared" si="1"/>
        <v>1.0785463793683572</v>
      </c>
      <c r="I12" s="379">
        <f t="shared" si="2"/>
        <v>1.0198644481264143</v>
      </c>
    </row>
    <row r="13" spans="1:9" ht="15" x14ac:dyDescent="0.25">
      <c r="A13" s="58">
        <v>4</v>
      </c>
      <c r="B13" s="58" t="s">
        <v>18</v>
      </c>
      <c r="C13" s="59">
        <f>Määräytymistekijät!C13</f>
        <v>210112</v>
      </c>
      <c r="D13" s="401">
        <f t="shared" si="3"/>
        <v>1.0225507567047156</v>
      </c>
      <c r="E13" s="286">
        <f t="shared" si="4"/>
        <v>1.1570103315545839</v>
      </c>
      <c r="F13" s="286">
        <f t="shared" si="5"/>
        <v>1.077290602473548</v>
      </c>
      <c r="G13" s="378">
        <f t="shared" si="6"/>
        <v>1.0231704371295893</v>
      </c>
      <c r="H13" s="379">
        <f t="shared" si="1"/>
        <v>1.1590128645170317</v>
      </c>
      <c r="I13" s="379">
        <f t="shared" si="2"/>
        <v>1.0785848775770763</v>
      </c>
    </row>
    <row r="14" spans="1:9" ht="15" x14ac:dyDescent="0.25">
      <c r="A14" s="58">
        <v>5</v>
      </c>
      <c r="B14" s="58" t="s">
        <v>19</v>
      </c>
      <c r="C14" s="59">
        <f>Määräytymistekijät!C14</f>
        <v>168957</v>
      </c>
      <c r="D14" s="401">
        <f t="shared" si="3"/>
        <v>1.029762440271158</v>
      </c>
      <c r="E14" s="286">
        <f t="shared" si="4"/>
        <v>1.0887506306732253</v>
      </c>
      <c r="F14" s="286">
        <f t="shared" si="5"/>
        <v>1.0009425225574269</v>
      </c>
      <c r="G14" s="378">
        <f t="shared" si="6"/>
        <v>1.0303864910797094</v>
      </c>
      <c r="H14" s="379">
        <f t="shared" si="1"/>
        <v>1.0906350209559634</v>
      </c>
      <c r="I14" s="379">
        <f t="shared" si="2"/>
        <v>1.0021450717897642</v>
      </c>
    </row>
    <row r="15" spans="1:9" ht="15" x14ac:dyDescent="0.25">
      <c r="A15" s="58">
        <v>6</v>
      </c>
      <c r="B15" s="58" t="s">
        <v>20</v>
      </c>
      <c r="C15" s="59">
        <f>Määräytymistekijät!C15</f>
        <v>548910</v>
      </c>
      <c r="D15" s="401">
        <f t="shared" si="3"/>
        <v>0.99899800912647785</v>
      </c>
      <c r="E15" s="286">
        <f t="shared" si="4"/>
        <v>0.94588750349482065</v>
      </c>
      <c r="F15" s="286">
        <f t="shared" si="5"/>
        <v>0.94941462466225968</v>
      </c>
      <c r="G15" s="378">
        <f t="shared" si="6"/>
        <v>0.99960341624850524</v>
      </c>
      <c r="H15" s="379">
        <f t="shared" si="1"/>
        <v>0.94752462881069477</v>
      </c>
      <c r="I15" s="379">
        <f t="shared" si="2"/>
        <v>0.95055526740879859</v>
      </c>
    </row>
    <row r="16" spans="1:9" ht="15" x14ac:dyDescent="0.25">
      <c r="A16" s="58">
        <v>7</v>
      </c>
      <c r="B16" s="58" t="s">
        <v>21</v>
      </c>
      <c r="C16" s="59">
        <f>Määräytymistekijät!C16</f>
        <v>204522</v>
      </c>
      <c r="D16" s="401">
        <f t="shared" si="3"/>
        <v>1.0621349224173806</v>
      </c>
      <c r="E16" s="286">
        <f t="shared" si="4"/>
        <v>1.1456988396063981</v>
      </c>
      <c r="F16" s="286">
        <f t="shared" si="5"/>
        <v>1.0461383858689226</v>
      </c>
      <c r="G16" s="378">
        <f t="shared" si="6"/>
        <v>1.0627785914144268</v>
      </c>
      <c r="H16" s="379">
        <f t="shared" si="1"/>
        <v>1.1476817948391898</v>
      </c>
      <c r="I16" s="379">
        <f t="shared" si="2"/>
        <v>1.0473952341738892</v>
      </c>
    </row>
    <row r="17" spans="1:9" ht="15" x14ac:dyDescent="0.25">
      <c r="A17" s="58">
        <v>8</v>
      </c>
      <c r="B17" s="58" t="s">
        <v>22</v>
      </c>
      <c r="C17" s="59">
        <f>Määräytymistekijät!C17</f>
        <v>156198</v>
      </c>
      <c r="D17" s="401">
        <f t="shared" si="3"/>
        <v>1.103110778753106</v>
      </c>
      <c r="E17" s="286">
        <f t="shared" si="4"/>
        <v>1.3837337140007466</v>
      </c>
      <c r="F17" s="286">
        <f t="shared" si="5"/>
        <v>1.1487653714701995</v>
      </c>
      <c r="G17" s="378">
        <f t="shared" si="6"/>
        <v>1.1037792797068029</v>
      </c>
      <c r="H17" s="379">
        <f t="shared" si="1"/>
        <v>1.3861286557726267</v>
      </c>
      <c r="I17" s="379">
        <f t="shared" si="2"/>
        <v>1.1501455175669679</v>
      </c>
    </row>
    <row r="18" spans="1:9" ht="15" x14ac:dyDescent="0.25">
      <c r="A18" s="58">
        <v>9</v>
      </c>
      <c r="B18" s="58" t="s">
        <v>23</v>
      </c>
      <c r="C18" s="59">
        <f>Määräytymistekijät!C18</f>
        <v>124238</v>
      </c>
      <c r="D18" s="401">
        <f t="shared" si="3"/>
        <v>0.9832135075353462</v>
      </c>
      <c r="E18" s="286">
        <f t="shared" si="4"/>
        <v>1.1445741664499152</v>
      </c>
      <c r="F18" s="286">
        <f t="shared" si="5"/>
        <v>0.93983568306102105</v>
      </c>
      <c r="G18" s="378">
        <f t="shared" si="6"/>
        <v>0.98380934902301442</v>
      </c>
      <c r="H18" s="379">
        <f t="shared" si="1"/>
        <v>1.1465551751183534</v>
      </c>
      <c r="I18" s="379">
        <f t="shared" si="2"/>
        <v>0.94096481750552508</v>
      </c>
    </row>
    <row r="19" spans="1:9" ht="15" x14ac:dyDescent="0.25">
      <c r="A19" s="58">
        <v>10</v>
      </c>
      <c r="B19" s="58" t="s">
        <v>24</v>
      </c>
      <c r="C19" s="59">
        <f>Määräytymistekijät!C19</f>
        <v>128144</v>
      </c>
      <c r="D19" s="401">
        <f t="shared" si="3"/>
        <v>1.1765555222571928</v>
      </c>
      <c r="E19" s="286">
        <f t="shared" si="4"/>
        <v>1.4909541383313338</v>
      </c>
      <c r="F19" s="286">
        <f t="shared" si="5"/>
        <v>1.1988063403950415</v>
      </c>
      <c r="G19" s="378">
        <f t="shared" si="6"/>
        <v>1.1772685317788616</v>
      </c>
      <c r="H19" s="379">
        <f t="shared" si="1"/>
        <v>1.4935346553121069</v>
      </c>
      <c r="I19" s="379">
        <f t="shared" si="2"/>
        <v>1.2002466065560593</v>
      </c>
    </row>
    <row r="20" spans="1:9" ht="15" x14ac:dyDescent="0.25">
      <c r="A20" s="58">
        <v>11</v>
      </c>
      <c r="B20" s="58" t="s">
        <v>25</v>
      </c>
      <c r="C20" s="59">
        <f>Määräytymistekijät!C20</f>
        <v>248512</v>
      </c>
      <c r="D20" s="401">
        <f t="shared" si="3"/>
        <v>1.0812009752640055</v>
      </c>
      <c r="E20" s="286">
        <f t="shared" si="4"/>
        <v>1.1682572530405291</v>
      </c>
      <c r="F20" s="286">
        <f t="shared" si="5"/>
        <v>1.1883212317555645</v>
      </c>
      <c r="G20" s="378">
        <f t="shared" si="6"/>
        <v>1.0818561985625386</v>
      </c>
      <c r="H20" s="379">
        <f t="shared" si="1"/>
        <v>1.1702792519752223</v>
      </c>
      <c r="I20" s="379">
        <f t="shared" si="2"/>
        <v>1.1897489009301807</v>
      </c>
    </row>
    <row r="21" spans="1:9" ht="15" x14ac:dyDescent="0.25">
      <c r="A21" s="58">
        <v>12</v>
      </c>
      <c r="B21" s="58" t="s">
        <v>26</v>
      </c>
      <c r="C21" s="59">
        <f>Määräytymistekijät!C21</f>
        <v>161418</v>
      </c>
      <c r="D21" s="401">
        <f t="shared" si="3"/>
        <v>1.2036912288762762</v>
      </c>
      <c r="E21" s="286">
        <f t="shared" si="4"/>
        <v>1.3273914584156969</v>
      </c>
      <c r="F21" s="286">
        <f t="shared" si="5"/>
        <v>1.2721382234951295</v>
      </c>
      <c r="G21" s="378">
        <f t="shared" si="6"/>
        <v>1.2044206830253599</v>
      </c>
      <c r="H21" s="379">
        <f t="shared" si="1"/>
        <v>1.3296888840108321</v>
      </c>
      <c r="I21" s="379">
        <f t="shared" si="2"/>
        <v>1.2736665918176007</v>
      </c>
    </row>
    <row r="22" spans="1:9" ht="15" x14ac:dyDescent="0.25">
      <c r="A22" s="58">
        <v>13</v>
      </c>
      <c r="B22" s="58" t="s">
        <v>27</v>
      </c>
      <c r="C22" s="59">
        <f>Määräytymistekijät!C22</f>
        <v>273731</v>
      </c>
      <c r="D22" s="401">
        <f t="shared" si="3"/>
        <v>0.97110539379441518</v>
      </c>
      <c r="E22" s="286">
        <f t="shared" si="4"/>
        <v>1.0207952070141801</v>
      </c>
      <c r="F22" s="286">
        <f t="shared" si="5"/>
        <v>1.0300223766673313</v>
      </c>
      <c r="G22" s="378">
        <f t="shared" si="6"/>
        <v>0.97169389759149127</v>
      </c>
      <c r="H22" s="379">
        <f t="shared" si="1"/>
        <v>1.0225619812548286</v>
      </c>
      <c r="I22" s="379">
        <f t="shared" si="2"/>
        <v>1.0312598629269687</v>
      </c>
    </row>
    <row r="23" spans="1:9" ht="15" x14ac:dyDescent="0.25">
      <c r="A23" s="58">
        <v>14</v>
      </c>
      <c r="B23" s="58" t="s">
        <v>28</v>
      </c>
      <c r="C23" s="59">
        <f>Määräytymistekijät!C23</f>
        <v>189474</v>
      </c>
      <c r="D23" s="401">
        <f t="shared" si="3"/>
        <v>1.1241586747804657</v>
      </c>
      <c r="E23" s="286">
        <f t="shared" si="4"/>
        <v>1.2803430819229864</v>
      </c>
      <c r="F23" s="286">
        <f t="shared" si="5"/>
        <v>1.1285377136604702</v>
      </c>
      <c r="G23" s="378">
        <f t="shared" si="6"/>
        <v>1.1248399310610424</v>
      </c>
      <c r="H23" s="379">
        <f t="shared" si="1"/>
        <v>1.2825590770224837</v>
      </c>
      <c r="I23" s="379">
        <f t="shared" si="2"/>
        <v>1.1298935579079088</v>
      </c>
    </row>
    <row r="24" spans="1:9" ht="15" x14ac:dyDescent="0.25">
      <c r="A24" s="58">
        <v>15</v>
      </c>
      <c r="B24" s="58" t="s">
        <v>29</v>
      </c>
      <c r="C24" s="59">
        <f>Määräytymistekijät!C24</f>
        <v>179555</v>
      </c>
      <c r="D24" s="401">
        <f t="shared" si="3"/>
        <v>0.96004150902539565</v>
      </c>
      <c r="E24" s="286">
        <f t="shared" si="4"/>
        <v>0.94886325588275422</v>
      </c>
      <c r="F24" s="286">
        <f t="shared" si="5"/>
        <v>0.83530608106819482</v>
      </c>
      <c r="G24" s="378">
        <f t="shared" si="6"/>
        <v>0.96062330794961392</v>
      </c>
      <c r="H24" s="379">
        <f t="shared" si="1"/>
        <v>0.95050553157808682</v>
      </c>
      <c r="I24" s="379">
        <f t="shared" si="2"/>
        <v>0.83630963188546736</v>
      </c>
    </row>
    <row r="25" spans="1:9" ht="15" x14ac:dyDescent="0.25">
      <c r="A25" s="58">
        <v>16</v>
      </c>
      <c r="B25" s="58" t="s">
        <v>30</v>
      </c>
      <c r="C25" s="59">
        <f>Määräytymistekijät!C25</f>
        <v>67498</v>
      </c>
      <c r="D25" s="401">
        <f t="shared" si="3"/>
        <v>1.0611869520930459</v>
      </c>
      <c r="E25" s="286">
        <f t="shared" si="4"/>
        <v>1.1394872976513712</v>
      </c>
      <c r="F25" s="286">
        <f t="shared" si="5"/>
        <v>1.1703988030052903</v>
      </c>
      <c r="G25" s="378">
        <f t="shared" si="6"/>
        <v>1.061830046606479</v>
      </c>
      <c r="H25" s="379">
        <f t="shared" si="1"/>
        <v>1.1414595020575078</v>
      </c>
      <c r="I25" s="379">
        <f t="shared" si="2"/>
        <v>1.1718049398716575</v>
      </c>
    </row>
    <row r="26" spans="1:9" ht="15" x14ac:dyDescent="0.25">
      <c r="A26" s="58">
        <v>17</v>
      </c>
      <c r="B26" s="58" t="s">
        <v>31</v>
      </c>
      <c r="C26" s="59">
        <f>Määräytymistekijät!C26</f>
        <v>417939</v>
      </c>
      <c r="D26" s="401">
        <f t="shared" si="3"/>
        <v>0.98203313354283051</v>
      </c>
      <c r="E26" s="286">
        <f t="shared" si="4"/>
        <v>0.98595588022086389</v>
      </c>
      <c r="F26" s="286">
        <f t="shared" si="5"/>
        <v>1.1968704187356776</v>
      </c>
      <c r="G26" s="378">
        <f t="shared" si="6"/>
        <v>0.98262825970692924</v>
      </c>
      <c r="H26" s="379">
        <f t="shared" si="1"/>
        <v>0.98766235517256873</v>
      </c>
      <c r="I26" s="379">
        <f t="shared" si="2"/>
        <v>1.198308359047755</v>
      </c>
    </row>
    <row r="27" spans="1:9" ht="15" x14ac:dyDescent="0.25">
      <c r="A27" s="58">
        <v>18</v>
      </c>
      <c r="B27" s="58" t="s">
        <v>32</v>
      </c>
      <c r="C27" s="59">
        <f>Määräytymistekijät!C27</f>
        <v>69193</v>
      </c>
      <c r="D27" s="401">
        <f t="shared" si="3"/>
        <v>1.133620010035457</v>
      </c>
      <c r="E27" s="286">
        <f t="shared" si="4"/>
        <v>1.4105207032008793</v>
      </c>
      <c r="F27" s="286">
        <f t="shared" si="5"/>
        <v>1.2631158359734491</v>
      </c>
      <c r="G27" s="378">
        <f t="shared" si="6"/>
        <v>1.1343070000209008</v>
      </c>
      <c r="H27" s="379">
        <f t="shared" si="1"/>
        <v>1.4129620074186038</v>
      </c>
      <c r="I27" s="379">
        <f t="shared" si="2"/>
        <v>1.2646333646473455</v>
      </c>
    </row>
    <row r="28" spans="1:9" ht="15" x14ac:dyDescent="0.25">
      <c r="A28" s="58">
        <v>19</v>
      </c>
      <c r="B28" s="58" t="s">
        <v>33</v>
      </c>
      <c r="C28" s="59">
        <f>Määräytymistekijät!C28</f>
        <v>176215</v>
      </c>
      <c r="D28" s="401">
        <f>(C54+F54)/2</f>
        <v>1.1074092912200828</v>
      </c>
      <c r="E28" s="286">
        <f t="shared" si="4"/>
        <v>1.2352195524834624</v>
      </c>
      <c r="F28" s="286">
        <f t="shared" si="5"/>
        <v>1.3427972982513361</v>
      </c>
      <c r="G28" s="378">
        <f t="shared" si="6"/>
        <v>1.1080803971339876</v>
      </c>
      <c r="H28" s="379">
        <f t="shared" si="1"/>
        <v>1.2373574485784651</v>
      </c>
      <c r="I28" s="379">
        <f t="shared" si="2"/>
        <v>1.3444105575782264</v>
      </c>
    </row>
    <row r="29" spans="1:9" ht="15" x14ac:dyDescent="0.25">
      <c r="A29" s="114"/>
      <c r="B29" s="114"/>
      <c r="C29" s="148">
        <f>SUM(C7:C28)</f>
        <v>5622045</v>
      </c>
      <c r="D29" s="402">
        <f>SUMPRODUCT(D7:D28,$C$7:$C$28)/$C$29</f>
        <v>0.99939435268808952</v>
      </c>
      <c r="E29" s="288">
        <f>SUMPRODUCT(E7:E28,$C$7:$C$28)/$C$29</f>
        <v>0.99827220816631546</v>
      </c>
      <c r="F29" s="288">
        <f>SUMPRODUCT(F7:F28,$C$7:$C$28)/$C$29</f>
        <v>0.99880002480061125</v>
      </c>
      <c r="G29" s="378">
        <f t="shared" si="6"/>
        <v>1</v>
      </c>
      <c r="H29" s="379">
        <f t="shared" si="1"/>
        <v>1</v>
      </c>
      <c r="I29" s="379">
        <f t="shared" si="2"/>
        <v>1</v>
      </c>
    </row>
    <row r="30" spans="1:9" x14ac:dyDescent="0.2">
      <c r="A30" s="394"/>
      <c r="B30" s="394"/>
      <c r="C30" s="394"/>
      <c r="D30" s="394"/>
      <c r="E30" s="394"/>
      <c r="F30" s="394"/>
      <c r="G30" s="394"/>
      <c r="H30" s="394"/>
      <c r="I30" s="394"/>
    </row>
    <row r="31" spans="1:9" ht="17.25" thickBot="1" x14ac:dyDescent="0.3">
      <c r="A31" s="155" t="s">
        <v>356</v>
      </c>
      <c r="B31" s="159"/>
      <c r="C31" s="159"/>
      <c r="D31" s="159"/>
      <c r="E31" s="159"/>
      <c r="F31" s="159"/>
      <c r="G31" s="159"/>
      <c r="H31" s="159"/>
      <c r="I31" s="394"/>
    </row>
    <row r="32" spans="1:9" ht="54.6" customHeight="1" thickTop="1" x14ac:dyDescent="0.25">
      <c r="A32" s="157" t="s">
        <v>6</v>
      </c>
      <c r="B32" s="83" t="s">
        <v>7</v>
      </c>
      <c r="C32" s="196" t="s">
        <v>312</v>
      </c>
      <c r="D32" s="196" t="s">
        <v>313</v>
      </c>
      <c r="E32" s="196" t="s">
        <v>314</v>
      </c>
      <c r="F32" s="196" t="s">
        <v>315</v>
      </c>
      <c r="G32" s="196" t="s">
        <v>316</v>
      </c>
      <c r="H32" s="196" t="s">
        <v>317</v>
      </c>
      <c r="I32" s="394"/>
    </row>
    <row r="33" spans="1:9" x14ac:dyDescent="0.2">
      <c r="A33" s="284">
        <v>31</v>
      </c>
      <c r="B33" s="58" t="s">
        <v>13</v>
      </c>
      <c r="C33" s="287">
        <v>0.92798883779603802</v>
      </c>
      <c r="D33" s="285">
        <v>0.82375417703662868</v>
      </c>
      <c r="E33" s="285">
        <v>0.84673208808978029</v>
      </c>
      <c r="F33" s="287">
        <v>0.92741894721984863</v>
      </c>
      <c r="G33" s="285">
        <v>0.82649284601211548</v>
      </c>
      <c r="H33" s="285">
        <v>0.84478354454040527</v>
      </c>
      <c r="I33" s="394"/>
    </row>
    <row r="34" spans="1:9" x14ac:dyDescent="0.2">
      <c r="A34" s="284">
        <v>32</v>
      </c>
      <c r="B34" s="58" t="s">
        <v>39</v>
      </c>
      <c r="C34" s="287">
        <v>0.94625413284876259</v>
      </c>
      <c r="D34" s="285">
        <v>0.68774450287456113</v>
      </c>
      <c r="E34" s="285">
        <v>0.91924981411551254</v>
      </c>
      <c r="F34" s="287">
        <v>0.96318233013153076</v>
      </c>
      <c r="G34" s="285">
        <v>0.71856749057769775</v>
      </c>
      <c r="H34" s="285">
        <v>0.91790199279785156</v>
      </c>
      <c r="I34" s="394"/>
    </row>
    <row r="35" spans="1:9" x14ac:dyDescent="0.2">
      <c r="A35" s="284">
        <v>33</v>
      </c>
      <c r="B35" s="58" t="s">
        <v>14</v>
      </c>
      <c r="C35" s="287">
        <v>0.83955009157913618</v>
      </c>
      <c r="D35" s="285">
        <v>0.63807607234791652</v>
      </c>
      <c r="E35" s="285">
        <v>0.73585700939405163</v>
      </c>
      <c r="F35" s="287">
        <v>0.83255553245544434</v>
      </c>
      <c r="G35" s="285">
        <v>0.63407796621322632</v>
      </c>
      <c r="H35" s="285">
        <v>0.72844934463500977</v>
      </c>
      <c r="I35" s="394"/>
    </row>
    <row r="36" spans="1:9" x14ac:dyDescent="0.2">
      <c r="A36" s="284">
        <v>34</v>
      </c>
      <c r="B36" s="58" t="s">
        <v>15</v>
      </c>
      <c r="C36" s="287">
        <v>0.95209376672753598</v>
      </c>
      <c r="D36" s="285">
        <v>0.90653018152340037</v>
      </c>
      <c r="E36" s="285">
        <v>0.79304540707801363</v>
      </c>
      <c r="F36" s="287">
        <v>0.96173262596130371</v>
      </c>
      <c r="G36" s="285">
        <v>0.90890854597091675</v>
      </c>
      <c r="H36" s="285">
        <v>0.80965059995651245</v>
      </c>
      <c r="I36" s="394"/>
    </row>
    <row r="37" spans="1:9" x14ac:dyDescent="0.2">
      <c r="A37" s="284">
        <v>35</v>
      </c>
      <c r="B37" s="58" t="s">
        <v>16</v>
      </c>
      <c r="C37" s="287">
        <v>0.90473180107125617</v>
      </c>
      <c r="D37" s="285">
        <v>0.72569751120049986</v>
      </c>
      <c r="E37" s="285">
        <v>0.81193591197413084</v>
      </c>
      <c r="F37" s="287">
        <v>0.9441605806350708</v>
      </c>
      <c r="G37" s="285">
        <v>0.76390218734741211</v>
      </c>
      <c r="H37" s="285">
        <v>0.84904426336288452</v>
      </c>
      <c r="I37" s="394"/>
    </row>
    <row r="38" spans="1:9" x14ac:dyDescent="0.2">
      <c r="A38" s="58">
        <v>2</v>
      </c>
      <c r="B38" s="58" t="s">
        <v>17</v>
      </c>
      <c r="C38" s="287">
        <v>1.0463000197167818</v>
      </c>
      <c r="D38" s="285">
        <v>1.0797488891866112</v>
      </c>
      <c r="E38" s="285">
        <v>1.0235534880070494</v>
      </c>
      <c r="F38" s="287">
        <v>1.026562094688416</v>
      </c>
      <c r="G38" s="285">
        <v>1.0736168622970581</v>
      </c>
      <c r="H38" s="285">
        <v>1.0137277841567991</v>
      </c>
      <c r="I38" s="394"/>
    </row>
    <row r="39" spans="1:9" x14ac:dyDescent="0.2">
      <c r="A39" s="58">
        <v>4</v>
      </c>
      <c r="B39" s="58" t="s">
        <v>18</v>
      </c>
      <c r="C39" s="287">
        <v>1.0261747737167433</v>
      </c>
      <c r="D39" s="285">
        <v>1.1467881496814338</v>
      </c>
      <c r="E39" s="285">
        <v>1.0819534221254408</v>
      </c>
      <c r="F39" s="287">
        <v>1.018926739692688</v>
      </c>
      <c r="G39" s="285">
        <v>1.1672325134277339</v>
      </c>
      <c r="H39" s="285">
        <v>1.0726277828216551</v>
      </c>
      <c r="I39" s="394"/>
    </row>
    <row r="40" spans="1:9" x14ac:dyDescent="0.2">
      <c r="A40" s="58">
        <v>5</v>
      </c>
      <c r="B40" s="58" t="s">
        <v>19</v>
      </c>
      <c r="C40" s="287">
        <v>1.0417431460757629</v>
      </c>
      <c r="D40" s="285">
        <v>1.0962260366607817</v>
      </c>
      <c r="E40" s="285">
        <v>1.0015007143653418</v>
      </c>
      <c r="F40" s="287">
        <v>1.017781734466553</v>
      </c>
      <c r="G40" s="285">
        <v>1.0812752246856689</v>
      </c>
      <c r="H40" s="285">
        <v>1.0003843307495119</v>
      </c>
      <c r="I40" s="394"/>
    </row>
    <row r="41" spans="1:9" x14ac:dyDescent="0.2">
      <c r="A41" s="58">
        <v>6</v>
      </c>
      <c r="B41" s="58" t="s">
        <v>20</v>
      </c>
      <c r="C41" s="287">
        <v>1.0050771692615617</v>
      </c>
      <c r="D41" s="285">
        <v>0.96615975592534065</v>
      </c>
      <c r="E41" s="285">
        <v>0.94627389091463765</v>
      </c>
      <c r="F41" s="287">
        <v>0.99291884899139404</v>
      </c>
      <c r="G41" s="285">
        <v>0.92561525106430054</v>
      </c>
      <c r="H41" s="285">
        <v>0.95255535840988159</v>
      </c>
      <c r="I41" s="394"/>
    </row>
    <row r="42" spans="1:9" x14ac:dyDescent="0.2">
      <c r="A42" s="58">
        <v>7</v>
      </c>
      <c r="B42" s="58" t="s">
        <v>21</v>
      </c>
      <c r="C42" s="287">
        <v>1.0739114301847981</v>
      </c>
      <c r="D42" s="285">
        <v>1.1521890047819492</v>
      </c>
      <c r="E42" s="285">
        <v>1.0568617183702305</v>
      </c>
      <c r="F42" s="287">
        <v>1.0503584146499629</v>
      </c>
      <c r="G42" s="285">
        <v>1.1392086744308469</v>
      </c>
      <c r="H42" s="285">
        <v>1.035415053367615</v>
      </c>
      <c r="I42" s="394"/>
    </row>
    <row r="43" spans="1:9" x14ac:dyDescent="0.2">
      <c r="A43" s="58">
        <v>8</v>
      </c>
      <c r="B43" s="58" t="s">
        <v>22</v>
      </c>
      <c r="C43" s="287">
        <v>1.1119966276966418</v>
      </c>
      <c r="D43" s="285">
        <v>1.3875884301987593</v>
      </c>
      <c r="E43" s="285">
        <v>1.1433077776999201</v>
      </c>
      <c r="F43" s="287">
        <v>1.0942249298095701</v>
      </c>
      <c r="G43" s="285">
        <v>1.3798789978027339</v>
      </c>
      <c r="H43" s="285">
        <v>1.154222965240479</v>
      </c>
      <c r="I43" s="394"/>
    </row>
    <row r="44" spans="1:9" x14ac:dyDescent="0.2">
      <c r="A44" s="58">
        <v>9</v>
      </c>
      <c r="B44" s="58" t="s">
        <v>23</v>
      </c>
      <c r="C44" s="287">
        <v>0.98883263946034083</v>
      </c>
      <c r="D44" s="285">
        <v>1.1382757447421763</v>
      </c>
      <c r="E44" s="285">
        <v>0.94190952291754382</v>
      </c>
      <c r="F44" s="287">
        <v>0.97759437561035156</v>
      </c>
      <c r="G44" s="285">
        <v>1.150872588157654</v>
      </c>
      <c r="H44" s="285">
        <v>0.93776184320449829</v>
      </c>
      <c r="I44" s="394"/>
    </row>
    <row r="45" spans="1:9" x14ac:dyDescent="0.2">
      <c r="A45" s="58">
        <v>10</v>
      </c>
      <c r="B45" s="58" t="s">
        <v>24</v>
      </c>
      <c r="C45" s="287">
        <v>1.1707296529891167</v>
      </c>
      <c r="D45" s="285">
        <v>1.4818099289987885</v>
      </c>
      <c r="E45" s="285">
        <v>1.204428185817854</v>
      </c>
      <c r="F45" s="287">
        <v>1.182381391525269</v>
      </c>
      <c r="G45" s="285">
        <v>1.500098347663879</v>
      </c>
      <c r="H45" s="285">
        <v>1.193184494972229</v>
      </c>
      <c r="I45" s="394"/>
    </row>
    <row r="46" spans="1:9" x14ac:dyDescent="0.2">
      <c r="A46" s="58">
        <v>11</v>
      </c>
      <c r="B46" s="58" t="s">
        <v>25</v>
      </c>
      <c r="C46" s="287">
        <v>1.080541527439937</v>
      </c>
      <c r="D46" s="285">
        <v>1.1804839703831211</v>
      </c>
      <c r="E46" s="285">
        <v>1.1797716596781209</v>
      </c>
      <c r="F46" s="287">
        <v>1.081860423088074</v>
      </c>
      <c r="G46" s="285">
        <v>1.156030535697937</v>
      </c>
      <c r="H46" s="285">
        <v>1.196870803833008</v>
      </c>
      <c r="I46" s="394"/>
    </row>
    <row r="47" spans="1:9" x14ac:dyDescent="0.2">
      <c r="A47" s="58">
        <v>12</v>
      </c>
      <c r="B47" s="58" t="s">
        <v>26</v>
      </c>
      <c r="C47" s="287">
        <v>1.2143090658381843</v>
      </c>
      <c r="D47" s="285">
        <v>1.341175343322178</v>
      </c>
      <c r="E47" s="285">
        <v>1.279524058989771</v>
      </c>
      <c r="F47" s="287">
        <v>1.1930733919143679</v>
      </c>
      <c r="G47" s="285">
        <v>1.3136075735092161</v>
      </c>
      <c r="H47" s="285">
        <v>1.2647523880004881</v>
      </c>
      <c r="I47" s="394"/>
    </row>
    <row r="48" spans="1:9" x14ac:dyDescent="0.2">
      <c r="A48" s="58">
        <v>13</v>
      </c>
      <c r="B48" s="58" t="s">
        <v>27</v>
      </c>
      <c r="C48" s="287">
        <v>0.96946691876101065</v>
      </c>
      <c r="D48" s="285">
        <v>1.0128826713373202</v>
      </c>
      <c r="E48" s="285">
        <v>1.0219867108084175</v>
      </c>
      <c r="F48" s="287">
        <v>0.97274386882781982</v>
      </c>
      <c r="G48" s="285">
        <v>1.02870774269104</v>
      </c>
      <c r="H48" s="285">
        <v>1.0380580425262449</v>
      </c>
      <c r="I48" s="394"/>
    </row>
    <row r="49" spans="1:9" x14ac:dyDescent="0.2">
      <c r="A49" s="58">
        <v>14</v>
      </c>
      <c r="B49" s="58" t="s">
        <v>28</v>
      </c>
      <c r="C49" s="287">
        <v>1.1138120776493103</v>
      </c>
      <c r="D49" s="285">
        <v>1.2873085069093269</v>
      </c>
      <c r="E49" s="285">
        <v>1.1151846630844904</v>
      </c>
      <c r="F49" s="287">
        <v>1.1345052719116211</v>
      </c>
      <c r="G49" s="285">
        <v>1.273377656936646</v>
      </c>
      <c r="H49" s="285">
        <v>1.14189076423645</v>
      </c>
      <c r="I49" s="394"/>
    </row>
    <row r="50" spans="1:9" x14ac:dyDescent="0.2">
      <c r="A50" s="58">
        <v>15</v>
      </c>
      <c r="B50" s="58" t="s">
        <v>29</v>
      </c>
      <c r="C50" s="287">
        <v>0.93234726975977567</v>
      </c>
      <c r="D50" s="285">
        <v>0.93644467573264101</v>
      </c>
      <c r="E50" s="285">
        <v>0.81594700195725145</v>
      </c>
      <c r="F50" s="287">
        <v>0.98773574829101563</v>
      </c>
      <c r="G50" s="285">
        <v>0.96128183603286743</v>
      </c>
      <c r="H50" s="285">
        <v>0.85466516017913818</v>
      </c>
      <c r="I50" s="394"/>
    </row>
    <row r="51" spans="1:9" x14ac:dyDescent="0.2">
      <c r="A51" s="58">
        <v>16</v>
      </c>
      <c r="B51" s="58" t="s">
        <v>30</v>
      </c>
      <c r="C51" s="287">
        <v>1.0694988622244217</v>
      </c>
      <c r="D51" s="285">
        <v>1.1477605726663285</v>
      </c>
      <c r="E51" s="285">
        <v>1.1857476859284886</v>
      </c>
      <c r="F51" s="287">
        <v>1.0528750419616699</v>
      </c>
      <c r="G51" s="285">
        <v>1.131214022636414</v>
      </c>
      <c r="H51" s="285">
        <v>1.1550499200820921</v>
      </c>
      <c r="I51" s="394"/>
    </row>
    <row r="52" spans="1:9" x14ac:dyDescent="0.2">
      <c r="A52" s="58">
        <v>17</v>
      </c>
      <c r="B52" s="58" t="s">
        <v>31</v>
      </c>
      <c r="C52" s="287">
        <v>0.96519660956918163</v>
      </c>
      <c r="D52" s="285">
        <v>0.96740338432020667</v>
      </c>
      <c r="E52" s="285">
        <v>1.2083901809619562</v>
      </c>
      <c r="F52" s="287">
        <v>0.99886965751647949</v>
      </c>
      <c r="G52" s="285">
        <v>1.004508376121521</v>
      </c>
      <c r="H52" s="285">
        <v>1.185350656509399</v>
      </c>
      <c r="I52" s="394"/>
    </row>
    <row r="53" spans="1:9" x14ac:dyDescent="0.2">
      <c r="A53" s="58">
        <v>18</v>
      </c>
      <c r="B53" s="58" t="s">
        <v>32</v>
      </c>
      <c r="C53" s="287">
        <v>1.1384335482462677</v>
      </c>
      <c r="D53" s="285">
        <v>1.4019550693122194</v>
      </c>
      <c r="E53" s="285">
        <v>1.258278991359129</v>
      </c>
      <c r="F53" s="287">
        <v>1.128806471824646</v>
      </c>
      <c r="G53" s="285">
        <v>1.419086337089539</v>
      </c>
      <c r="H53" s="285">
        <v>1.267952680587769</v>
      </c>
      <c r="I53" s="394"/>
    </row>
    <row r="54" spans="1:9" x14ac:dyDescent="0.2">
      <c r="A54" s="58">
        <v>19</v>
      </c>
      <c r="B54" s="58" t="s">
        <v>33</v>
      </c>
      <c r="C54" s="287">
        <v>1.1131992196090499</v>
      </c>
      <c r="D54" s="285">
        <v>1.2287309455202087</v>
      </c>
      <c r="E54" s="285">
        <v>1.3369400879119739</v>
      </c>
      <c r="F54" s="287">
        <v>1.1016193628311159</v>
      </c>
      <c r="G54" s="285">
        <v>1.2417081594467161</v>
      </c>
      <c r="H54" s="285">
        <v>1.348654508590698</v>
      </c>
      <c r="I54" s="394"/>
    </row>
    <row r="55" spans="1:9" x14ac:dyDescent="0.2">
      <c r="A55" s="394"/>
      <c r="B55" s="394"/>
      <c r="C55" s="394"/>
      <c r="D55" s="394"/>
      <c r="E55" s="394"/>
      <c r="F55" s="394"/>
      <c r="G55" s="394"/>
      <c r="H55" s="394"/>
      <c r="I55" s="394"/>
    </row>
    <row r="56" spans="1:9" x14ac:dyDescent="0.2">
      <c r="A56" s="394"/>
      <c r="B56" s="394"/>
      <c r="C56" s="394"/>
      <c r="D56" s="394"/>
      <c r="E56" s="394"/>
      <c r="F56" s="394"/>
      <c r="G56" s="394"/>
      <c r="H56" s="394"/>
      <c r="I56" s="394"/>
    </row>
    <row r="57" spans="1:9" x14ac:dyDescent="0.2">
      <c r="A57" s="394"/>
      <c r="B57" s="394"/>
      <c r="C57" s="394"/>
      <c r="D57" s="394"/>
      <c r="E57" s="394"/>
      <c r="F57" s="394"/>
      <c r="G57" s="394"/>
      <c r="H57" s="394"/>
      <c r="I57" s="394"/>
    </row>
    <row r="58" spans="1:9" x14ac:dyDescent="0.2">
      <c r="A58" s="394"/>
      <c r="B58" s="394"/>
      <c r="C58" s="394"/>
      <c r="D58" s="394"/>
      <c r="E58" s="394"/>
      <c r="F58" s="394"/>
      <c r="G58" s="394"/>
      <c r="H58" s="394"/>
      <c r="I58" s="394"/>
    </row>
    <row r="59" spans="1:9" x14ac:dyDescent="0.2">
      <c r="A59" s="394"/>
      <c r="B59" s="394"/>
      <c r="C59" s="394"/>
      <c r="D59" s="394"/>
      <c r="E59" s="394"/>
      <c r="F59" s="394"/>
      <c r="G59" s="394"/>
      <c r="H59" s="394"/>
      <c r="I59" s="394"/>
    </row>
    <row r="60" spans="1:9" x14ac:dyDescent="0.2">
      <c r="A60" s="394"/>
      <c r="B60" s="394"/>
      <c r="C60" s="394"/>
      <c r="D60" s="394"/>
      <c r="E60" s="394"/>
      <c r="F60" s="394"/>
      <c r="G60" s="394"/>
      <c r="H60" s="394"/>
      <c r="I60" s="394"/>
    </row>
    <row r="61" spans="1:9" x14ac:dyDescent="0.2">
      <c r="A61" s="394"/>
      <c r="B61" s="394"/>
      <c r="C61" s="394"/>
      <c r="D61" s="394"/>
      <c r="E61" s="394"/>
      <c r="F61" s="394"/>
      <c r="G61" s="394"/>
      <c r="H61" s="394"/>
      <c r="I61" s="394"/>
    </row>
    <row r="62" spans="1:9" x14ac:dyDescent="0.2">
      <c r="A62" s="394"/>
      <c r="B62" s="394"/>
      <c r="C62" s="394"/>
      <c r="D62" s="394"/>
      <c r="E62" s="394"/>
      <c r="F62" s="394"/>
      <c r="G62" s="394"/>
      <c r="H62" s="394"/>
      <c r="I62" s="394"/>
    </row>
    <row r="63" spans="1:9" x14ac:dyDescent="0.2">
      <c r="A63" s="394"/>
      <c r="B63" s="394"/>
      <c r="C63" s="394"/>
      <c r="D63" s="394"/>
      <c r="E63" s="394"/>
      <c r="F63" s="394"/>
      <c r="G63" s="394"/>
      <c r="H63" s="394"/>
      <c r="I63" s="394"/>
    </row>
    <row r="64" spans="1:9" x14ac:dyDescent="0.2">
      <c r="A64" s="394"/>
      <c r="B64" s="394"/>
      <c r="C64" s="394"/>
      <c r="D64" s="394"/>
      <c r="E64" s="394"/>
      <c r="F64" s="394"/>
      <c r="G64" s="394"/>
      <c r="H64" s="394"/>
      <c r="I64" s="394"/>
    </row>
    <row r="65" s="394" customFormat="1" x14ac:dyDescent="0.2"/>
    <row r="66" s="394" customFormat="1" x14ac:dyDescent="0.2"/>
    <row r="67" s="394" customFormat="1" x14ac:dyDescent="0.2"/>
    <row r="68" s="394" customFormat="1" x14ac:dyDescent="0.2"/>
    <row r="69" s="394" customFormat="1" x14ac:dyDescent="0.2"/>
    <row r="70" s="394" customFormat="1" x14ac:dyDescent="0.2"/>
    <row r="71" s="394" customFormat="1" x14ac:dyDescent="0.2"/>
    <row r="72" s="394" customFormat="1" x14ac:dyDescent="0.2"/>
    <row r="73" s="394" customFormat="1" x14ac:dyDescent="0.2"/>
    <row r="74" s="394" customFormat="1" x14ac:dyDescent="0.2"/>
    <row r="75" s="394" customFormat="1" x14ac:dyDescent="0.2"/>
    <row r="76" s="394" customFormat="1" x14ac:dyDescent="0.2"/>
    <row r="77" s="394" customFormat="1" x14ac:dyDescent="0.2"/>
    <row r="78" s="394" customFormat="1" x14ac:dyDescent="0.2"/>
    <row r="79" s="394" customFormat="1" x14ac:dyDescent="0.2"/>
    <row r="80" s="394" customFormat="1" x14ac:dyDescent="0.2"/>
    <row r="81" s="394" customFormat="1" x14ac:dyDescent="0.2"/>
    <row r="82" s="394" customFormat="1" x14ac:dyDescent="0.2"/>
    <row r="83" s="394" customFormat="1" x14ac:dyDescent="0.2"/>
    <row r="84" s="394" customFormat="1" x14ac:dyDescent="0.2"/>
    <row r="85" s="394" customFormat="1" x14ac:dyDescent="0.2"/>
    <row r="86" s="394" customFormat="1" x14ac:dyDescent="0.2"/>
    <row r="87" s="394" customFormat="1" x14ac:dyDescent="0.2"/>
    <row r="88" s="394" customFormat="1" x14ac:dyDescent="0.2"/>
    <row r="89" s="394" customFormat="1" x14ac:dyDescent="0.2"/>
    <row r="90" s="394" customFormat="1" x14ac:dyDescent="0.2"/>
    <row r="91" s="394" customFormat="1" x14ac:dyDescent="0.2"/>
    <row r="92" s="394" customFormat="1" x14ac:dyDescent="0.2"/>
    <row r="93" s="394" customFormat="1" x14ac:dyDescent="0.2"/>
    <row r="94" s="394" customFormat="1" x14ac:dyDescent="0.2"/>
    <row r="95" s="394" customFormat="1" x14ac:dyDescent="0.2"/>
    <row r="96" s="394" customFormat="1" x14ac:dyDescent="0.2"/>
    <row r="97" s="394" customFormat="1" x14ac:dyDescent="0.2"/>
    <row r="98" s="394" customFormat="1" x14ac:dyDescent="0.2"/>
    <row r="99" s="394" customFormat="1" x14ac:dyDescent="0.2"/>
    <row r="100" s="394" customFormat="1" x14ac:dyDescent="0.2"/>
    <row r="101" s="394" customFormat="1" x14ac:dyDescent="0.2"/>
    <row r="102" s="394" customFormat="1" x14ac:dyDescent="0.2"/>
    <row r="103" s="394" customFormat="1" x14ac:dyDescent="0.2"/>
  </sheetData>
  <mergeCells count="1">
    <mergeCell ref="A3:G3"/>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V 3 6 V X K 2 w n + 2 n A A A A 9 w A A A B I A H A B D b 2 5 m a W c v U G F j a 2 F n Z S 5 4 b W w g o h g A K K A U A A A A A A A A A A A A A A A A A A A A A A A A A A A A h Y / R C o I w G I V f R X b v N j V C 5 H d e B E G Q E A T R 7 Z h T R z r D z e a 7 d d E j 9 Q o Z Z X X X 5 T n n O 3 D O / X q D b G w b 7 y J 7 o z q d o g B T 5 E k t u k L p K k W D L f 0 Y Z Q x 2 X J x 4 J b 0 J 1 i Y Z j U p R b e 0 5 I c Q 5 h 1 2 E u 7 4 i I a U B O e b b v a h l y 3 2 l j e V a S P R p F f 9 b i M H h N Y a F O F g s c R D T C F M g s w u 5 0 l 8 i n A Y / 0 x 8 T V k N j h 1 6 y U v n r D Z B Z A n m f Y A 9 Q S w M E F A A C A A g A V 3 6 V 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d + l V w o i k e 4 D g A A A B E A A A A T A B w A R m 9 y b X V s Y X M v U 2 V j d G l v b j E u b S C i G A A o o B Q A A A A A A A A A A A A A A A A A A A A A A A A A A A A r T k 0 u y c z P U w i G 0 I b W A F B L A Q I t A B Q A A g A I A F d + l V y t s J / t p w A A A P c A A A A S A A A A A A A A A A A A A A A A A A A A A A B D b 2 5 m a W c v U G F j a 2 F n Z S 5 4 b W x Q S w E C L Q A U A A I A C A B X f p V c D 8 r p q 6 Q A A A D p A A A A E w A A A A A A A A A A A A A A A A D z A A A A W 0 N v b n R l b n R f V H l w Z X N d L n h t b F B L A Q I t A B Q A A g A I A F d + l V 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C R R P E T B w a R 6 S s J j b S b u e k A A A A A A I A A A A A A B B m A A A A A Q A A I A A A A F Y i h Z 3 u E s 5 E b + l g o h d V g d S N + 0 n U w w 2 0 X f 9 H O 0 D P x E w v A A A A A A 6 A A A A A A g A A I A A A A A g p n p n m S R P k 9 n / K 2 q I p E q T m 5 F 3 o i k Z 8 M L T u g Q P X J 3 s h U A A A A E r p W 0 G 0 s T S 4 9 g L C T j r C z y l g R 2 V T M M v x w Z x K k x 2 p W W 0 f K a K + h K x j t + S I k g c 4 S v G l E B y + T B 9 k m 3 w u m V 4 M n G 2 L z W R 6 F I P P 4 Z E J F W E v r Z B p I b L n Q A A A A J 7 Q D w / g d Q A G y R 2 z t O 8 Y O T I c 5 C L P B 6 k P B n N 3 C o H t c w g S h W 2 Y F d 3 u F f 0 t C s n k i l X 9 o 6 E G T 4 o S U o w J P K X 5 o l 7 v r L E = < / 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9b054c47b43b988336b59428b91ae034">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7a2e4d70cbd13f7f364806b21bfa4ec4"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088C4-2CFF-410B-B1F2-EC9D96D78359}">
  <ds:schemaRefs>
    <ds:schemaRef ds:uri="http://schemas.microsoft.com/DataMashup"/>
  </ds:schemaRefs>
</ds:datastoreItem>
</file>

<file path=customXml/itemProps2.xml><?xml version="1.0" encoding="utf-8"?>
<ds:datastoreItem xmlns:ds="http://schemas.openxmlformats.org/officeDocument/2006/customXml" ds:itemID="{61BC5A42-8233-471B-B3BE-AB09AFD59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b7a6-a49d-4f6a-a347-ca058eb755c4"/>
    <ds:schemaRef ds:uri="74a43502-4d8a-4b63-9ac3-2af187c4a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9A30DA-342E-4E69-BE94-5E0DFFB05171}">
  <ds:schemaRefs>
    <ds:schemaRef ds:uri="http://schemas.microsoft.com/office/infopath/2007/PartnerControls"/>
    <ds:schemaRef ds:uri="http://purl.org/dc/elements/1.1/"/>
    <ds:schemaRef ds:uri="http://schemas.microsoft.com/office/2006/metadata/properties"/>
    <ds:schemaRef ds:uri="74a43502-4d8a-4b63-9ac3-2af187c4ae83"/>
    <ds:schemaRef ds:uri="1dc3b7a6-a49d-4f6a-a347-ca058eb755c4"/>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6346DB54-4D28-4264-8533-5819D1EEBE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Yhteenveto</vt:lpstr>
      <vt:lpstr>Rahoituksen taso 2027</vt:lpstr>
      <vt:lpstr>Jälkikäteistarkistus 2027</vt:lpstr>
      <vt:lpstr>SOTE laskennallinen rahoitus</vt:lpstr>
      <vt:lpstr>PELA laskennallinen rahoitus</vt:lpstr>
      <vt:lpstr>Vähimmäistasoa koskeva tasaus</vt:lpstr>
      <vt:lpstr>Hyte-kerroin</vt:lpstr>
      <vt:lpstr>Tarvekertoimet</vt:lpstr>
      <vt:lpstr>Määräytymistekijät</vt:lpstr>
      <vt:lpstr>Tarvetekijät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2027</dc:title>
  <dc:creator/>
  <cp:lastModifiedBy>Myllyneva Kaarle (VM)</cp:lastModifiedBy>
  <dcterms:created xsi:type="dcterms:W3CDTF">2020-05-15T09:22:39Z</dcterms:created>
  <dcterms:modified xsi:type="dcterms:W3CDTF">2026-04-30T10:40:49Z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