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_tiedostot\VM\KAO\Hyvinvointialueiden talous\Lainanottovaltuus\Lainanottovaltuudet vuodelle 2024\"/>
    </mc:Choice>
  </mc:AlternateContent>
  <bookViews>
    <workbookView xWindow="0" yWindow="0" windowWidth="19200" windowHeight="6180"/>
  </bookViews>
  <sheets>
    <sheet name="laskelma" sheetId="1" r:id="rId1"/>
    <sheet name="lainat 22-23" sheetId="7" r:id="rId2"/>
    <sheet name="perälauta+muutosav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8" i="1"/>
  <c r="B28" i="7"/>
  <c r="B27" i="7"/>
  <c r="F27" i="7" s="1"/>
  <c r="B24" i="7"/>
  <c r="F24" i="7" s="1"/>
  <c r="B21" i="7"/>
  <c r="F21" i="7" s="1"/>
  <c r="B19" i="7"/>
  <c r="F19" i="7" s="1"/>
  <c r="B17" i="7"/>
  <c r="B14" i="7"/>
  <c r="F14" i="7" s="1"/>
  <c r="B11" i="7"/>
  <c r="F11" i="7" s="1"/>
  <c r="B8" i="7"/>
  <c r="B61" i="7"/>
  <c r="B9" i="7"/>
  <c r="F9" i="7" s="1"/>
  <c r="C55" i="7"/>
  <c r="D55" i="7"/>
  <c r="B55" i="7"/>
  <c r="D47" i="7"/>
  <c r="D48" i="7"/>
  <c r="D49" i="7"/>
  <c r="D50" i="7"/>
  <c r="D51" i="7"/>
  <c r="D52" i="7"/>
  <c r="D53" i="7"/>
  <c r="D46" i="7"/>
  <c r="B37" i="7"/>
  <c r="F28" i="7"/>
  <c r="F26" i="7"/>
  <c r="F25" i="7"/>
  <c r="F23" i="7"/>
  <c r="F22" i="7"/>
  <c r="F20" i="7"/>
  <c r="B18" i="7"/>
  <c r="F18" i="7" s="1"/>
  <c r="F17" i="7"/>
  <c r="F16" i="7"/>
  <c r="F15" i="7"/>
  <c r="F13" i="7"/>
  <c r="F12" i="7"/>
  <c r="F10" i="7"/>
  <c r="F7" i="7"/>
  <c r="F6" i="7"/>
  <c r="E4" i="7"/>
  <c r="D4" i="7"/>
  <c r="C4" i="7"/>
  <c r="B4" i="7" l="1"/>
  <c r="F8" i="7"/>
  <c r="F4" i="7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8" i="1"/>
  <c r="C6" i="1"/>
  <c r="E6" i="1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" i="2"/>
  <c r="E5" i="2"/>
  <c r="E1" i="2"/>
  <c r="L6" i="1" l="1"/>
  <c r="J2" i="2" l="1"/>
  <c r="J7" i="2" s="1"/>
  <c r="D10" i="1" s="1"/>
  <c r="H10" i="1" s="1"/>
  <c r="J1" i="2"/>
  <c r="I3" i="2"/>
  <c r="J20" i="2" l="1"/>
  <c r="D23" i="1" s="1"/>
  <c r="H23" i="1" s="1"/>
  <c r="J27" i="2"/>
  <c r="D30" i="1" s="1"/>
  <c r="H30" i="1" s="1"/>
  <c r="J19" i="2"/>
  <c r="D22" i="1" s="1"/>
  <c r="H22" i="1" s="1"/>
  <c r="J11" i="2"/>
  <c r="D14" i="1" s="1"/>
  <c r="H14" i="1" s="1"/>
  <c r="J6" i="2"/>
  <c r="D9" i="1" s="1"/>
  <c r="H9" i="1" s="1"/>
  <c r="J21" i="2"/>
  <c r="D24" i="1" s="1"/>
  <c r="H24" i="1" s="1"/>
  <c r="J5" i="2"/>
  <c r="D8" i="1" s="1"/>
  <c r="H8" i="1" s="1"/>
  <c r="J18" i="2"/>
  <c r="D21" i="1" s="1"/>
  <c r="H21" i="1" s="1"/>
  <c r="J10" i="2"/>
  <c r="D13" i="1" s="1"/>
  <c r="H13" i="1" s="1"/>
  <c r="J25" i="2"/>
  <c r="D28" i="1" s="1"/>
  <c r="H28" i="1" s="1"/>
  <c r="J22" i="2"/>
  <c r="D25" i="1" s="1"/>
  <c r="H25" i="1" s="1"/>
  <c r="J13" i="2"/>
  <c r="D16" i="1" s="1"/>
  <c r="H16" i="1" s="1"/>
  <c r="J26" i="2"/>
  <c r="D29" i="1" s="1"/>
  <c r="H29" i="1" s="1"/>
  <c r="J17" i="2"/>
  <c r="D20" i="1" s="1"/>
  <c r="H20" i="1" s="1"/>
  <c r="J9" i="2"/>
  <c r="D12" i="1" s="1"/>
  <c r="H12" i="1" s="1"/>
  <c r="J24" i="2"/>
  <c r="D27" i="1" s="1"/>
  <c r="H27" i="1" s="1"/>
  <c r="J16" i="2"/>
  <c r="D19" i="1" s="1"/>
  <c r="H19" i="1" s="1"/>
  <c r="J8" i="2"/>
  <c r="D11" i="1" s="1"/>
  <c r="H11" i="1" s="1"/>
  <c r="J14" i="2"/>
  <c r="D17" i="1" s="1"/>
  <c r="H17" i="1" s="1"/>
  <c r="J12" i="2"/>
  <c r="D15" i="1" s="1"/>
  <c r="H15" i="1" s="1"/>
  <c r="J23" i="2"/>
  <c r="D26" i="1" s="1"/>
  <c r="H26" i="1" s="1"/>
  <c r="J15" i="2"/>
  <c r="D18" i="1" s="1"/>
  <c r="H18" i="1" s="1"/>
  <c r="J3" i="2" l="1"/>
  <c r="B3" i="2"/>
  <c r="C13" i="2" s="1"/>
  <c r="D13" i="2" s="1"/>
  <c r="G6" i="1" l="1"/>
  <c r="C5" i="2"/>
  <c r="C27" i="2"/>
  <c r="D27" i="2" s="1"/>
  <c r="C19" i="2"/>
  <c r="D19" i="2" s="1"/>
  <c r="C26" i="2"/>
  <c r="D26" i="2" s="1"/>
  <c r="C10" i="2"/>
  <c r="D10" i="2" s="1"/>
  <c r="C25" i="2"/>
  <c r="D25" i="2" s="1"/>
  <c r="C16" i="2"/>
  <c r="D16" i="2" s="1"/>
  <c r="C9" i="2"/>
  <c r="D9" i="2" s="1"/>
  <c r="C23" i="2"/>
  <c r="D23" i="2" s="1"/>
  <c r="C15" i="2"/>
  <c r="D15" i="2" s="1"/>
  <c r="C7" i="2"/>
  <c r="D7" i="2" s="1"/>
  <c r="C20" i="2"/>
  <c r="D20" i="2" s="1"/>
  <c r="C12" i="2"/>
  <c r="D12" i="2" s="1"/>
  <c r="C11" i="2"/>
  <c r="D11" i="2" s="1"/>
  <c r="C18" i="2"/>
  <c r="D18" i="2" s="1"/>
  <c r="C17" i="2"/>
  <c r="D17" i="2" s="1"/>
  <c r="C8" i="2"/>
  <c r="D8" i="2" s="1"/>
  <c r="C24" i="2"/>
  <c r="D24" i="2" s="1"/>
  <c r="C22" i="2"/>
  <c r="D22" i="2" s="1"/>
  <c r="C14" i="2"/>
  <c r="D14" i="2" s="1"/>
  <c r="C6" i="2"/>
  <c r="D6" i="2" s="1"/>
  <c r="C21" i="2"/>
  <c r="D21" i="2" s="1"/>
  <c r="C3" i="2" l="1"/>
  <c r="D5" i="2"/>
  <c r="D3" i="2" s="1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I27" i="1" l="1"/>
  <c r="I17" i="1"/>
  <c r="P21" i="1"/>
  <c r="I24" i="1"/>
  <c r="P12" i="1"/>
  <c r="I23" i="1"/>
  <c r="I15" i="1"/>
  <c r="P27" i="1"/>
  <c r="P19" i="1"/>
  <c r="I30" i="1"/>
  <c r="I22" i="1"/>
  <c r="I14" i="1"/>
  <c r="P26" i="1"/>
  <c r="P18" i="1"/>
  <c r="P13" i="1"/>
  <c r="P28" i="1"/>
  <c r="I21" i="1"/>
  <c r="P17" i="1"/>
  <c r="I20" i="1"/>
  <c r="P16" i="1"/>
  <c r="I19" i="1"/>
  <c r="P23" i="1"/>
  <c r="P15" i="1"/>
  <c r="I25" i="1"/>
  <c r="P29" i="1"/>
  <c r="I16" i="1"/>
  <c r="P20" i="1"/>
  <c r="I29" i="1"/>
  <c r="P25" i="1"/>
  <c r="I28" i="1"/>
  <c r="P24" i="1"/>
  <c r="I26" i="1"/>
  <c r="I18" i="1"/>
  <c r="P30" i="1"/>
  <c r="P22" i="1"/>
  <c r="P14" i="1"/>
  <c r="F6" i="1"/>
  <c r="Q20" i="1" l="1"/>
  <c r="Q27" i="1"/>
  <c r="Q14" i="1"/>
  <c r="Q24" i="1"/>
  <c r="Q30" i="1"/>
  <c r="Q29" i="1"/>
  <c r="Q17" i="1"/>
  <c r="Q28" i="1"/>
  <c r="Q23" i="1"/>
  <c r="Q19" i="1"/>
  <c r="Q21" i="1"/>
  <c r="Q25" i="1"/>
  <c r="Q18" i="1"/>
  <c r="Q22" i="1"/>
  <c r="Q15" i="1"/>
  <c r="Q16" i="1"/>
  <c r="Q26" i="1"/>
  <c r="O8" i="1" l="1"/>
  <c r="O9" i="1"/>
  <c r="O10" i="1"/>
  <c r="O11" i="1"/>
  <c r="P11" i="1" s="1"/>
  <c r="P9" i="1" l="1"/>
  <c r="P10" i="1"/>
  <c r="P8" i="1"/>
  <c r="O6" i="1"/>
  <c r="M6" i="1"/>
  <c r="K6" i="1"/>
  <c r="N6" i="1"/>
  <c r="J6" i="1"/>
  <c r="B6" i="1"/>
  <c r="I13" i="1" l="1"/>
  <c r="P6" i="1"/>
  <c r="Q13" i="1" l="1"/>
  <c r="I10" i="1"/>
  <c r="Q10" i="1" s="1"/>
  <c r="I9" i="1"/>
  <c r="I12" i="1"/>
  <c r="I8" i="1"/>
  <c r="H6" i="1"/>
  <c r="D6" i="1"/>
  <c r="Q9" i="1" l="1"/>
  <c r="Q12" i="1"/>
  <c r="I6" i="1"/>
  <c r="Q8" i="1"/>
  <c r="Q6" i="1" l="1"/>
</calcChain>
</file>

<file path=xl/sharedStrings.xml><?xml version="1.0" encoding="utf-8"?>
<sst xmlns="http://schemas.openxmlformats.org/spreadsheetml/2006/main" count="180" uniqueCount="128">
  <si>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</si>
  <si>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</si>
  <si>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</si>
  <si>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</si>
  <si>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</si>
  <si>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</si>
  <si>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</si>
  <si>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</si>
  <si>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</si>
  <si>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</si>
  <si>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</si>
  <si>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</si>
  <si>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</si>
  <si>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</si>
  <si>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</si>
  <si>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</si>
  <si>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</si>
  <si>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</si>
  <si>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</si>
  <si>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</si>
  <si>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</si>
  <si>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Helsinki</t>
  </si>
  <si>
    <t>Hyvinvointialue</t>
  </si>
  <si>
    <t>HUS-yhtymä</t>
  </si>
  <si>
    <t>Vuosikate</t>
  </si>
  <si>
    <t>TA2023</t>
  </si>
  <si>
    <t>Lainanotto-</t>
  </si>
  <si>
    <t>lainan käyttö</t>
  </si>
  <si>
    <t>inv.vast.sop.</t>
  </si>
  <si>
    <t>jäljellä oleva</t>
  </si>
  <si>
    <t>käyttö v. 2023</t>
  </si>
  <si>
    <t>sidottu valtuus</t>
  </si>
  <si>
    <t>valtuus v. 24</t>
  </si>
  <si>
    <t>vuosikate</t>
  </si>
  <si>
    <t>v. 2023 (lisäys)</t>
  </si>
  <si>
    <t>TA/TP2022</t>
  </si>
  <si>
    <t>kertakorvaus</t>
  </si>
  <si>
    <t>lisäykset (malli 1)</t>
  </si>
  <si>
    <t>Palkankorotus</t>
  </si>
  <si>
    <t>Etelä-Karjalan hyvinvointialue</t>
  </si>
  <si>
    <t>Etelä-Pohjanmaan hyvinvointialue</t>
  </si>
  <si>
    <t>Etelä-Savon hyvinvointialue</t>
  </si>
  <si>
    <t>Itä-Uudenmaan hyvinvointialue</t>
  </si>
  <si>
    <t>Kainuun hyvinvointialue</t>
  </si>
  <si>
    <t>Kanta-Hämeen hyvinvointialue</t>
  </si>
  <si>
    <t>Keski-Pohjanmaan hyvinvointialue</t>
  </si>
  <si>
    <t>Keski-Suomen hyvinvointialue</t>
  </si>
  <si>
    <t>Keski-Uudenmaan hyvinvointialue</t>
  </si>
  <si>
    <t>Kymenlaakson hyvinvointialue</t>
  </si>
  <si>
    <t>Lapin hyvinvointialue</t>
  </si>
  <si>
    <t>Länsi-Uudenmaan hyvinvointialue</t>
  </si>
  <si>
    <t>Pirkanmaan hyvinvointialue</t>
  </si>
  <si>
    <t>Pohjanmaan hyvinvointialue</t>
  </si>
  <si>
    <t>Pohjois-Karjalan hyvinvointialue</t>
  </si>
  <si>
    <t>Pohjois-Pohjanmaan hyvinvointialue</t>
  </si>
  <si>
    <t>Pohjois-Savon hyvinvointialue</t>
  </si>
  <si>
    <t>Päijät-Hämeen hyvinvointialue</t>
  </si>
  <si>
    <t>Satakunnan hyvinvointialue</t>
  </si>
  <si>
    <t>Vantaan ja Keravan hyvinvointialue</t>
  </si>
  <si>
    <t>Varsinais-Suomen hyvinvointialue</t>
  </si>
  <si>
    <t>Koko maa</t>
  </si>
  <si>
    <t>osuudet</t>
  </si>
  <si>
    <t>kasvu</t>
  </si>
  <si>
    <t>hlöstökulut ta23</t>
  </si>
  <si>
    <t>HUS</t>
  </si>
  <si>
    <t>"perälauta"</t>
  </si>
  <si>
    <t>josta parantaa vuosikatetta</t>
  </si>
  <si>
    <t>(osa 350 me:stä)</t>
  </si>
  <si>
    <t>A</t>
  </si>
  <si>
    <t>B</t>
  </si>
  <si>
    <t xml:space="preserve"> A - B</t>
  </si>
  <si>
    <t>Yhteensä</t>
  </si>
  <si>
    <t>, josta inv.</t>
  </si>
  <si>
    <t>vastaavat sopim.</t>
  </si>
  <si>
    <t>Vantaa ja Kerava</t>
  </si>
  <si>
    <t xml:space="preserve">HUS </t>
  </si>
  <si>
    <t>tp22+ta23 muutokset</t>
  </si>
  <si>
    <t>Ennakoitu</t>
  </si>
  <si>
    <t>muut</t>
  </si>
  <si>
    <t>korjaukset</t>
  </si>
  <si>
    <t>Helsinki*</t>
  </si>
  <si>
    <t>yht.</t>
  </si>
  <si>
    <t>Valtion rahoituksen</t>
  </si>
  <si>
    <t>korjaus (TA/mpano)</t>
  </si>
  <si>
    <t>Muut korjaukset:</t>
  </si>
  <si>
    <t>Pohjois-Savon vuosikatetta korjattu talousarviosta puuttuneiden palkkakustannusten (30 milj. euroa) johdosta.</t>
  </si>
  <si>
    <t>Etelä-Savon talousarvion vuosikatteesta poistettu 39 milj. euron kertakorvaus. 21,8 milj. euron kertakorvaus kuitenkin huomioitu toisessa kohtaa.</t>
  </si>
  <si>
    <t xml:space="preserve">lainamäärä </t>
  </si>
  <si>
    <t>Valtionavustus</t>
  </si>
  <si>
    <t>Siirtyvien kust.</t>
  </si>
  <si>
    <t>Oikaistu</t>
  </si>
  <si>
    <t>Manner-Suomi yht.</t>
  </si>
  <si>
    <t xml:space="preserve"> * Helsingin kaupungille (kunnillte) ei määritetä lainanottovaltuutta.</t>
  </si>
  <si>
    <t>Lainojen</t>
  </si>
  <si>
    <t>enimmäismäärä</t>
  </si>
  <si>
    <t>Lainamäärä</t>
  </si>
  <si>
    <t>Lainakanta SHPTP 31.12.2022 (VK)</t>
  </si>
  <si>
    <t>Pitkäaikaisten lainojen lisäys HVATA2023</t>
  </si>
  <si>
    <t>Pitkäaikaisten lainojen vähennys HVATA2023</t>
  </si>
  <si>
    <t>Lyhytaikaisten lainojen muutos HVATA2023</t>
  </si>
  <si>
    <t>Lainakanta 2023</t>
  </si>
  <si>
    <t>VK:n tiedot</t>
  </si>
  <si>
    <t>Etelä-Savo (Etelä Savo ja Itä-Savo)</t>
  </si>
  <si>
    <t>Lappi (Lappi ja Länsi Pohja)</t>
  </si>
  <si>
    <t>Pohjanmaa (Vaasa)</t>
  </si>
  <si>
    <t xml:space="preserve">Erityishuoltopiirit </t>
  </si>
  <si>
    <t>Kolpene (100% Lapin HVA)</t>
  </si>
  <si>
    <t xml:space="preserve">Kårkulla </t>
  </si>
  <si>
    <t>V-S EHP (100 % V-S HVA)</t>
  </si>
  <si>
    <t>Eskoo</t>
  </si>
  <si>
    <t>Eteva</t>
  </si>
  <si>
    <t>Vaalijala</t>
  </si>
  <si>
    <t>Itä-Savon shp:n lainakanta tp-kirja</t>
  </si>
  <si>
    <t>Itä-Savon shp:n lainakanta VK</t>
  </si>
  <si>
    <t>Kymeenlaakson hyvinvointialue</t>
  </si>
  <si>
    <t>Kårkullan lainojen jakautuminen:</t>
  </si>
  <si>
    <t>Siirtyvät</t>
  </si>
  <si>
    <t>toimitilalainat</t>
  </si>
  <si>
    <t>muut lainat</t>
  </si>
  <si>
    <t>Vaalijalan jakauma:</t>
  </si>
  <si>
    <t>Siirtyvät lainat:</t>
  </si>
  <si>
    <t>Siirtyvät:</t>
  </si>
  <si>
    <t>(tp2022+ta2023)</t>
  </si>
  <si>
    <t>Hyvinvointialueiden ja HUS-yhtymän vuoden 2024 lainanottovaltuuden määräytymistekijät</t>
  </si>
  <si>
    <t>v. 2023 lainan-</t>
  </si>
  <si>
    <t>ottovaltuus (sidottu)</t>
  </si>
  <si>
    <t>perälaudan vaikutus:</t>
  </si>
  <si>
    <t>muutosavustus: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</si>
</sst>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[Red]\-#,##0\ "/>
    <numFmt numFmtId="165" formatCode="#,##0.000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3" fontId="2" fillId="0" borderId="0" xfId="0" applyNumberFormat="1" applyFont="1" applyFill="1" applyBorder="1"/>
    <xf numFmtId="0" fontId="1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5" fillId="0" borderId="0" xfId="0" applyNumberFormat="1" applyFont="1"/>
    <xf numFmtId="3" fontId="2" fillId="2" borderId="0" xfId="0" applyNumberFormat="1" applyFont="1" applyFill="1"/>
    <xf numFmtId="164" fontId="3" fillId="3" borderId="0" xfId="0" applyNumberFormat="1" applyFont="1" applyFill="1" applyBorder="1"/>
    <xf numFmtId="3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165" fontId="5" fillId="0" borderId="0" xfId="0" applyNumberFormat="1" applyFont="1"/>
    <xf numFmtId="3" fontId="6" fillId="0" borderId="0" xfId="0" applyNumberFormat="1" applyFont="1"/>
    <xf numFmtId="164" fontId="2" fillId="0" borderId="0" xfId="0" applyNumberFormat="1" applyFont="1" applyFill="1"/>
    <xf numFmtId="164" fontId="2" fillId="4" borderId="0" xfId="0" applyNumberFormat="1" applyFont="1" applyFill="1"/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 applyBorder="1"/>
    <xf numFmtId="164" fontId="3" fillId="4" borderId="0" xfId="0" applyNumberFormat="1" applyFont="1" applyFill="1"/>
    <xf numFmtId="164" fontId="5" fillId="4" borderId="0" xfId="0" applyNumberFormat="1" applyFont="1" applyFill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right"/>
    </xf>
    <xf numFmtId="164" fontId="3" fillId="3" borderId="0" xfId="0" applyNumberFormat="1" applyFont="1" applyFill="1"/>
    <xf numFmtId="164" fontId="6" fillId="3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64" fontId="12" fillId="0" borderId="0" xfId="0" applyNumberFormat="1" applyFont="1" applyFill="1"/>
    <xf numFmtId="3" fontId="2" fillId="4" borderId="0" xfId="0" applyNumberFormat="1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0" fillId="4" borderId="0" xfId="0" applyFill="1"/>
    <xf numFmtId="164" fontId="12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3" fontId="3" fillId="4" borderId="0" xfId="0" applyNumberFormat="1" applyFont="1" applyFill="1" applyBorder="1"/>
    <xf numFmtId="0" fontId="1" fillId="4" borderId="0" xfId="0" applyFont="1" applyFill="1"/>
    <xf numFmtId="3" fontId="2" fillId="4" borderId="0" xfId="0" applyNumberFormat="1" applyFont="1" applyFill="1"/>
    <xf numFmtId="3" fontId="6" fillId="4" borderId="0" xfId="0" applyNumberFormat="1" applyFont="1" applyFill="1" applyBorder="1"/>
    <xf numFmtId="3" fontId="5" fillId="4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1" fillId="0" borderId="0" xfId="0" applyFont="1" applyFill="1"/>
    <xf numFmtId="3" fontId="1" fillId="0" borderId="0" xfId="0" applyNumberFormat="1" applyFont="1" applyFill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0" fontId="14" fillId="0" borderId="0" xfId="0" applyFont="1"/>
    <xf numFmtId="0" fontId="14" fillId="4" borderId="0" xfId="0" applyFont="1" applyFill="1"/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3" fontId="15" fillId="4" borderId="0" xfId="0" applyNumberFormat="1" applyFont="1" applyFill="1" applyAlignment="1">
      <alignment horizontal="right" vertical="center" wrapText="1"/>
    </xf>
    <xf numFmtId="0" fontId="16" fillId="4" borderId="0" xfId="0" applyFont="1" applyFill="1"/>
    <xf numFmtId="3" fontId="16" fillId="4" borderId="0" xfId="2" applyNumberFormat="1" applyFont="1" applyFill="1"/>
    <xf numFmtId="3" fontId="14" fillId="4" borderId="0" xfId="2" applyNumberFormat="1" applyFont="1" applyFill="1"/>
    <xf numFmtId="0" fontId="19" fillId="4" borderId="0" xfId="0" applyFont="1" applyFill="1"/>
    <xf numFmtId="3" fontId="19" fillId="4" borderId="0" xfId="2" applyNumberFormat="1" applyFont="1" applyFill="1"/>
    <xf numFmtId="0" fontId="15" fillId="4" borderId="0" xfId="0" applyFont="1" applyFill="1"/>
    <xf numFmtId="0" fontId="20" fillId="4" borderId="0" xfId="0" applyFont="1" applyFill="1"/>
    <xf numFmtId="3" fontId="15" fillId="4" borderId="0" xfId="2" applyNumberFormat="1" applyFont="1" applyFill="1" applyAlignment="1">
      <alignment horizontal="right"/>
    </xf>
    <xf numFmtId="3" fontId="18" fillId="4" borderId="0" xfId="2" applyNumberFormat="1" applyFont="1" applyFill="1"/>
    <xf numFmtId="3" fontId="17" fillId="4" borderId="0" xfId="2" applyNumberFormat="1" applyFont="1" applyFill="1"/>
    <xf numFmtId="3" fontId="14" fillId="4" borderId="0" xfId="0" applyNumberFormat="1" applyFont="1" applyFill="1"/>
    <xf numFmtId="3" fontId="14" fillId="4" borderId="0" xfId="0" applyNumberFormat="1" applyFont="1" applyFill="1" applyAlignment="1">
      <alignment horizontal="right"/>
    </xf>
    <xf numFmtId="166" fontId="14" fillId="4" borderId="0" xfId="1" applyNumberFormat="1" applyFont="1" applyFill="1"/>
    <xf numFmtId="0" fontId="15" fillId="4" borderId="0" xfId="0" applyFont="1" applyFill="1" applyAlignment="1">
      <alignment horizontal="right"/>
    </xf>
    <xf numFmtId="0" fontId="15" fillId="4" borderId="1" xfId="0" applyFont="1" applyFill="1" applyBorder="1" applyAlignment="1">
      <alignment horizontal="right"/>
    </xf>
    <xf numFmtId="0" fontId="15" fillId="4" borderId="2" xfId="0" applyFont="1" applyFill="1" applyBorder="1" applyAlignment="1">
      <alignment horizontal="right"/>
    </xf>
    <xf numFmtId="3" fontId="15" fillId="4" borderId="2" xfId="0" applyNumberFormat="1" applyFont="1" applyFill="1" applyBorder="1"/>
    <xf numFmtId="3" fontId="15" fillId="4" borderId="4" xfId="0" applyNumberFormat="1" applyFont="1" applyFill="1" applyBorder="1"/>
    <xf numFmtId="3" fontId="15" fillId="4" borderId="0" xfId="2" applyNumberFormat="1" applyFont="1" applyFill="1"/>
    <xf numFmtId="3" fontId="14" fillId="4" borderId="2" xfId="0" applyNumberFormat="1" applyFont="1" applyFill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3" fontId="14" fillId="3" borderId="0" xfId="2" applyNumberFormat="1" applyFont="1" applyFill="1" applyBorder="1"/>
    <xf numFmtId="3" fontId="14" fillId="4" borderId="0" xfId="0" applyNumberFormat="1" applyFont="1" applyFill="1" applyAlignment="1">
      <alignment vertical="top"/>
    </xf>
    <xf numFmtId="0" fontId="14" fillId="4" borderId="0" xfId="0" applyFont="1" applyFill="1" applyAlignment="1">
      <alignment vertical="top"/>
    </xf>
    <xf numFmtId="3" fontId="0" fillId="0" borderId="0" xfId="0" applyNumberFormat="1"/>
    <xf numFmtId="3" fontId="21" fillId="4" borderId="0" xfId="0" applyNumberFormat="1" applyFont="1" applyFill="1" applyBorder="1"/>
    <xf numFmtId="3" fontId="3" fillId="0" borderId="0" xfId="0" applyNumberFormat="1" applyFont="1" applyAlignment="1">
      <alignment horizontal="right"/>
    </xf>
  </cellXfs>
  <cellStyles count="3">
    <cellStyle name="Normaali" xfId="0" builtinId="0"/>
    <cellStyle name="Pilkku" xfId="1" builtinId="3"/>
    <cellStyle name="Valuutta" xfId="2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J34" sqref="J34"/>
    </sheetView>
  </sheetViews>
  <sheetFormatPr defaultRowHeight="14.5" x14ac:dyDescent="0.35"/>
  <cols>
    <col min="1" max="1" width="15.453125" style="2" customWidth="1"/>
    <col min="2" max="2" width="11.81640625" style="4" customWidth="1"/>
    <col min="3" max="3" width="13.54296875" style="4" customWidth="1"/>
    <col min="4" max="4" width="12.54296875" style="4" customWidth="1"/>
    <col min="5" max="5" width="11.36328125" style="4" customWidth="1"/>
    <col min="6" max="7" width="12.54296875" style="4" customWidth="1"/>
    <col min="8" max="8" width="13" bestFit="1" customWidth="1"/>
    <col min="9" max="9" width="13.1796875" style="4" customWidth="1"/>
    <col min="10" max="10" width="14.6328125" style="4" customWidth="1"/>
    <col min="11" max="11" width="13.453125" style="17" customWidth="1"/>
    <col min="12" max="12" width="11.54296875" style="17" customWidth="1"/>
    <col min="13" max="13" width="13" style="1" customWidth="1"/>
    <col min="14" max="14" width="10.453125" style="1" customWidth="1"/>
    <col min="15" max="15" width="12" style="1" customWidth="1"/>
    <col min="16" max="16" width="13.36328125" style="1" customWidth="1"/>
    <col min="17" max="17" width="14.36328125" style="5" customWidth="1"/>
  </cols>
  <sheetData>
    <row r="1" spans="1:17" s="35" customFormat="1" ht="18" x14ac:dyDescent="0.4">
      <c r="A1" s="89" t="s">
        <v>123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3"/>
      <c r="N1" s="18"/>
      <c r="O1" s="33"/>
      <c r="P1" s="33"/>
      <c r="Q1" s="34"/>
    </row>
    <row r="2" spans="1:17" s="35" customFormat="1" ht="18" x14ac:dyDescent="0.4">
      <c r="A2" s="8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3"/>
      <c r="N2" s="18"/>
      <c r="O2" s="33"/>
      <c r="P2" s="33"/>
      <c r="Q2" s="34"/>
    </row>
    <row r="3" spans="1:17" s="35" customFormat="1" x14ac:dyDescent="0.35">
      <c r="A3" s="32"/>
      <c r="B3" s="18"/>
      <c r="C3" s="18"/>
      <c r="D3" s="36" t="s">
        <v>88</v>
      </c>
      <c r="E3" s="37"/>
      <c r="F3" s="36" t="s">
        <v>89</v>
      </c>
      <c r="G3" s="37"/>
      <c r="I3" s="24" t="s">
        <v>68</v>
      </c>
      <c r="J3" s="18"/>
      <c r="K3" s="18"/>
      <c r="L3" s="18"/>
      <c r="M3" s="33"/>
      <c r="N3" s="33"/>
      <c r="O3" s="33"/>
      <c r="P3" s="43" t="s">
        <v>69</v>
      </c>
      <c r="Q3" s="54" t="s">
        <v>70</v>
      </c>
    </row>
    <row r="4" spans="1:17" s="35" customFormat="1" x14ac:dyDescent="0.35">
      <c r="A4" s="32" t="s">
        <v>22</v>
      </c>
      <c r="B4" s="19" t="s">
        <v>24</v>
      </c>
      <c r="C4" s="19" t="s">
        <v>82</v>
      </c>
      <c r="D4" s="19" t="s">
        <v>67</v>
      </c>
      <c r="E4" s="19" t="s">
        <v>78</v>
      </c>
      <c r="F4" s="19" t="s">
        <v>35</v>
      </c>
      <c r="G4" s="19" t="s">
        <v>38</v>
      </c>
      <c r="H4" s="20" t="s">
        <v>90</v>
      </c>
      <c r="I4" s="25" t="s">
        <v>93</v>
      </c>
      <c r="J4" s="19" t="s">
        <v>95</v>
      </c>
      <c r="K4" s="19" t="s">
        <v>124</v>
      </c>
      <c r="L4" s="19" t="s">
        <v>72</v>
      </c>
      <c r="M4" s="34" t="s">
        <v>27</v>
      </c>
      <c r="N4" s="34" t="s">
        <v>28</v>
      </c>
      <c r="O4" s="34" t="s">
        <v>29</v>
      </c>
      <c r="P4" s="44" t="s">
        <v>77</v>
      </c>
      <c r="Q4" s="55" t="s">
        <v>26</v>
      </c>
    </row>
    <row r="5" spans="1:17" s="35" customFormat="1" x14ac:dyDescent="0.35">
      <c r="A5" s="32"/>
      <c r="B5" s="19" t="s">
        <v>25</v>
      </c>
      <c r="C5" s="19" t="s">
        <v>83</v>
      </c>
      <c r="D5" s="19" t="s">
        <v>37</v>
      </c>
      <c r="E5" s="19" t="s">
        <v>79</v>
      </c>
      <c r="F5" s="19" t="s">
        <v>36</v>
      </c>
      <c r="G5" s="19" t="s">
        <v>65</v>
      </c>
      <c r="H5" s="20" t="s">
        <v>33</v>
      </c>
      <c r="I5" s="25" t="s">
        <v>94</v>
      </c>
      <c r="J5" s="18" t="s">
        <v>76</v>
      </c>
      <c r="K5" s="19" t="s">
        <v>125</v>
      </c>
      <c r="L5" s="19" t="s">
        <v>73</v>
      </c>
      <c r="M5" s="34" t="s">
        <v>34</v>
      </c>
      <c r="N5" s="34" t="s">
        <v>30</v>
      </c>
      <c r="O5" s="34" t="s">
        <v>31</v>
      </c>
      <c r="P5" s="44" t="s">
        <v>87</v>
      </c>
      <c r="Q5" s="55" t="s">
        <v>32</v>
      </c>
    </row>
    <row r="6" spans="1:17" s="39" customFormat="1" x14ac:dyDescent="0.35">
      <c r="A6" s="38" t="s">
        <v>91</v>
      </c>
      <c r="B6" s="21">
        <f t="shared" ref="B6:Q6" si="0">SUM(B8:B30)</f>
        <v>-364014789.55000001</v>
      </c>
      <c r="C6" s="21">
        <f t="shared" si="0"/>
        <v>-80624423.160245419</v>
      </c>
      <c r="D6" s="21">
        <f t="shared" si="0"/>
        <v>99999999.999999985</v>
      </c>
      <c r="E6" s="21">
        <f t="shared" si="0"/>
        <v>-69000000</v>
      </c>
      <c r="F6" s="21">
        <f t="shared" si="0"/>
        <v>593953083.87359405</v>
      </c>
      <c r="G6" s="21">
        <f t="shared" si="0"/>
        <v>-200000000.00000009</v>
      </c>
      <c r="H6" s="21">
        <f t="shared" si="0"/>
        <v>-19686128.836651325</v>
      </c>
      <c r="I6" s="9">
        <f t="shared" si="0"/>
        <v>-249519296.57728735</v>
      </c>
      <c r="J6" s="21">
        <f t="shared" si="0"/>
        <v>6377239775.9099998</v>
      </c>
      <c r="K6" s="21">
        <f t="shared" si="0"/>
        <v>4774592000</v>
      </c>
      <c r="L6" s="21">
        <f t="shared" si="0"/>
        <v>1419456100</v>
      </c>
      <c r="M6" s="21">
        <f t="shared" si="0"/>
        <v>1254095047</v>
      </c>
      <c r="N6" s="21">
        <f t="shared" si="0"/>
        <v>403079678.05451614</v>
      </c>
      <c r="O6" s="21">
        <f t="shared" si="0"/>
        <v>3117417274.9454837</v>
      </c>
      <c r="P6" s="9">
        <f t="shared" si="0"/>
        <v>9494657050.855484</v>
      </c>
      <c r="Q6" s="56">
        <f t="shared" si="0"/>
        <v>-9741321315.4327717</v>
      </c>
    </row>
    <row r="7" spans="1:17" s="35" customFormat="1" x14ac:dyDescent="0.35">
      <c r="A7" s="32"/>
      <c r="B7" s="18"/>
      <c r="C7" s="18"/>
      <c r="D7" s="18"/>
      <c r="E7" s="18"/>
      <c r="F7" s="18"/>
      <c r="G7" s="18"/>
      <c r="I7" s="26"/>
      <c r="J7" s="18"/>
      <c r="K7" s="18"/>
      <c r="L7" s="18"/>
      <c r="M7" s="33"/>
      <c r="N7" s="33"/>
      <c r="O7" s="33"/>
      <c r="P7" s="45"/>
      <c r="Q7" s="55"/>
    </row>
    <row r="8" spans="1:17" s="35" customFormat="1" x14ac:dyDescent="0.35">
      <c r="A8" s="38" t="s">
        <v>10</v>
      </c>
      <c r="B8" s="18">
        <v>-24838906.609999999</v>
      </c>
      <c r="C8" s="18">
        <v>-513477.38367366791</v>
      </c>
      <c r="D8" s="18">
        <f>'perälauta+muutosav'!J5</f>
        <v>2626150.2857142854</v>
      </c>
      <c r="E8" s="23"/>
      <c r="F8" s="18">
        <v>10802535.188310683</v>
      </c>
      <c r="G8" s="18">
        <f>-'perälauta+muutosav'!D5</f>
        <v>-4718396.0155232968</v>
      </c>
      <c r="H8" s="18">
        <f>SUM(B8:G8)</f>
        <v>-16642094.535171997</v>
      </c>
      <c r="I8" s="26">
        <f>10*H8</f>
        <v>-166420945.35171998</v>
      </c>
      <c r="J8" s="18">
        <f>'lainat 22-23'!F6</f>
        <v>81265000.000000015</v>
      </c>
      <c r="K8" s="18">
        <v>110437000</v>
      </c>
      <c r="L8" s="18">
        <v>57246000</v>
      </c>
      <c r="M8" s="18">
        <v>19490000</v>
      </c>
      <c r="N8" s="40">
        <v>25814000</v>
      </c>
      <c r="O8" s="18">
        <f t="shared" ref="O8:O10" si="1">K8-M8-N8</f>
        <v>65133000</v>
      </c>
      <c r="P8" s="26">
        <f>J8+O8</f>
        <v>146398000</v>
      </c>
      <c r="Q8" s="56">
        <f>I8-P8</f>
        <v>-312818945.35171998</v>
      </c>
    </row>
    <row r="9" spans="1:17" s="35" customFormat="1" x14ac:dyDescent="0.35">
      <c r="A9" s="38" t="s">
        <v>15</v>
      </c>
      <c r="B9" s="18">
        <v>-10081900</v>
      </c>
      <c r="C9" s="18">
        <v>-854607.64611208439</v>
      </c>
      <c r="D9" s="18">
        <f>'perälauta+muutosav'!J6</f>
        <v>3970814</v>
      </c>
      <c r="E9" s="23"/>
      <c r="F9" s="18">
        <v>27065200.291871071</v>
      </c>
      <c r="G9" s="18">
        <f>-'perälauta+muutosav'!D6</f>
        <v>-7393180.3651999766</v>
      </c>
      <c r="H9" s="18">
        <f t="shared" ref="H9:H30" si="2">SUM(B9:G9)</f>
        <v>12706326.280559011</v>
      </c>
      <c r="I9" s="26">
        <f t="shared" ref="I9:I30" si="3">10*H9</f>
        <v>127063262.80559011</v>
      </c>
      <c r="J9" s="18">
        <f>'lainat 22-23'!F7</f>
        <v>127001346.83999999</v>
      </c>
      <c r="K9" s="18">
        <v>112624000</v>
      </c>
      <c r="L9" s="18">
        <v>85312000</v>
      </c>
      <c r="M9" s="18">
        <v>28200000</v>
      </c>
      <c r="N9" s="40">
        <v>23800960</v>
      </c>
      <c r="O9" s="18">
        <f t="shared" si="1"/>
        <v>60623040</v>
      </c>
      <c r="P9" s="26">
        <f>J9+O9</f>
        <v>187624386.83999997</v>
      </c>
      <c r="Q9" s="56">
        <f>I9-P9</f>
        <v>-60561124.034409866</v>
      </c>
    </row>
    <row r="10" spans="1:17" s="35" customFormat="1" x14ac:dyDescent="0.35">
      <c r="A10" s="38" t="s">
        <v>11</v>
      </c>
      <c r="B10" s="18">
        <v>-14290000</v>
      </c>
      <c r="C10" s="18">
        <v>-35656885.879269481</v>
      </c>
      <c r="D10" s="18">
        <f>'perälauta+muutosav'!J7</f>
        <v>3208065.7142857141</v>
      </c>
      <c r="E10" s="18">
        <v>-39000000</v>
      </c>
      <c r="F10" s="18">
        <v>21813008.86529839</v>
      </c>
      <c r="G10" s="18">
        <f>-'perälauta+muutosav'!D7</f>
        <v>-6588596.7525432203</v>
      </c>
      <c r="H10" s="18">
        <f t="shared" si="2"/>
        <v>-70514408.0522286</v>
      </c>
      <c r="I10" s="26">
        <f t="shared" si="3"/>
        <v>-705144080.52228594</v>
      </c>
      <c r="J10" s="18">
        <f>'lainat 22-23'!F8</f>
        <v>210977647.44</v>
      </c>
      <c r="K10" s="18">
        <v>99177000</v>
      </c>
      <c r="L10" s="18">
        <v>17020000</v>
      </c>
      <c r="M10" s="18">
        <v>36027000</v>
      </c>
      <c r="N10" s="40">
        <v>17020000</v>
      </c>
      <c r="O10" s="18">
        <f t="shared" si="1"/>
        <v>46130000</v>
      </c>
      <c r="P10" s="26">
        <f>J10+O10</f>
        <v>257107647.44</v>
      </c>
      <c r="Q10" s="56">
        <f>I10-P10</f>
        <v>-962251727.962286</v>
      </c>
    </row>
    <row r="11" spans="1:17" s="35" customFormat="1" x14ac:dyDescent="0.35">
      <c r="A11" s="41" t="s">
        <v>80</v>
      </c>
      <c r="B11" s="23">
        <v>12669680</v>
      </c>
      <c r="C11" s="18">
        <v>-9080428.4364638329</v>
      </c>
      <c r="D11" s="18">
        <f>'perälauta+muutosav'!J8</f>
        <v>5142857.1428571427</v>
      </c>
      <c r="E11" s="18"/>
      <c r="F11" s="18">
        <v>10124747.911058426</v>
      </c>
      <c r="G11" s="18">
        <f>-'perälauta+muutosav'!D8</f>
        <v>-13591055.796374325</v>
      </c>
      <c r="H11" s="18">
        <f t="shared" si="2"/>
        <v>5265800.8210774101</v>
      </c>
      <c r="I11" s="27"/>
      <c r="J11" s="18">
        <f>'lainat 22-23'!F9</f>
        <v>2855032</v>
      </c>
      <c r="K11" s="23"/>
      <c r="L11" s="23"/>
      <c r="M11" s="23">
        <v>0</v>
      </c>
      <c r="N11" s="42"/>
      <c r="O11" s="18">
        <f>K11-M11-N11</f>
        <v>0</v>
      </c>
      <c r="P11" s="26">
        <f>J11+O11</f>
        <v>2855032</v>
      </c>
      <c r="Q11" s="56"/>
    </row>
    <row r="12" spans="1:17" s="35" customFormat="1" x14ac:dyDescent="0.35">
      <c r="A12" s="38" t="s">
        <v>23</v>
      </c>
      <c r="B12" s="18">
        <v>119832620.15000001</v>
      </c>
      <c r="C12" s="18">
        <v>0</v>
      </c>
      <c r="D12" s="18">
        <f>'perälauta+muutosav'!J9</f>
        <v>7142857.1428571427</v>
      </c>
      <c r="E12" s="18"/>
      <c r="F12" s="18">
        <v>0</v>
      </c>
      <c r="G12" s="18">
        <f>-'perälauta+muutosav'!D9</f>
        <v>-23980082.922854975</v>
      </c>
      <c r="H12" s="18">
        <f t="shared" si="2"/>
        <v>102995394.37000218</v>
      </c>
      <c r="I12" s="26">
        <f t="shared" si="3"/>
        <v>1029953943.7000217</v>
      </c>
      <c r="J12" s="18">
        <f>'lainat 22-23'!F10</f>
        <v>996187935.33000016</v>
      </c>
      <c r="K12" s="18">
        <v>1319829000</v>
      </c>
      <c r="L12" s="18">
        <v>521850000</v>
      </c>
      <c r="M12" s="18">
        <v>160000000</v>
      </c>
      <c r="N12" s="40">
        <v>21850000</v>
      </c>
      <c r="O12" s="18">
        <f t="shared" ref="O12:O30" si="4">K12-M12-N12</f>
        <v>1137979000</v>
      </c>
      <c r="P12" s="26">
        <f>J12+O12</f>
        <v>2134166935.3300002</v>
      </c>
      <c r="Q12" s="56">
        <f>I12-P12</f>
        <v>-1104212991.6299784</v>
      </c>
    </row>
    <row r="13" spans="1:17" s="35" customFormat="1" x14ac:dyDescent="0.35">
      <c r="A13" s="38" t="s">
        <v>2</v>
      </c>
      <c r="B13" s="18">
        <v>-26505592</v>
      </c>
      <c r="C13" s="18">
        <v>-858049.57787597179</v>
      </c>
      <c r="D13" s="18">
        <f>'perälauta+muutosav'!J10</f>
        <v>1900435.7142857141</v>
      </c>
      <c r="E13" s="18"/>
      <c r="F13" s="18">
        <v>10154676.242042899</v>
      </c>
      <c r="G13" s="18">
        <f>-'perälauta+muutosav'!D10</f>
        <v>-2147742.040926361</v>
      </c>
      <c r="H13" s="18">
        <f t="shared" si="2"/>
        <v>-17456271.66247372</v>
      </c>
      <c r="I13" s="26">
        <f t="shared" si="3"/>
        <v>-174562716.6247372</v>
      </c>
      <c r="J13" s="18">
        <f>'lainat 22-23'!F11</f>
        <v>11130065</v>
      </c>
      <c r="K13" s="18">
        <v>35436000</v>
      </c>
      <c r="L13" s="18">
        <v>6196000</v>
      </c>
      <c r="M13" s="18">
        <v>9996000</v>
      </c>
      <c r="N13" s="40">
        <v>6196000</v>
      </c>
      <c r="O13" s="18">
        <f t="shared" si="4"/>
        <v>19244000</v>
      </c>
      <c r="P13" s="26">
        <f>J13+O13</f>
        <v>30374065</v>
      </c>
      <c r="Q13" s="56">
        <f>I13-P13</f>
        <v>-204936781.6247372</v>
      </c>
    </row>
    <row r="14" spans="1:17" s="35" customFormat="1" x14ac:dyDescent="0.35">
      <c r="A14" s="38" t="s">
        <v>19</v>
      </c>
      <c r="B14" s="18">
        <v>-15787068.699999999</v>
      </c>
      <c r="C14" s="18">
        <v>-372669.18262052536</v>
      </c>
      <c r="D14" s="18">
        <f>'perälauta+muutosav'!J11</f>
        <v>2071252.857142857</v>
      </c>
      <c r="E14" s="18"/>
      <c r="F14" s="18">
        <v>-3591187.9958694577</v>
      </c>
      <c r="G14" s="18">
        <f>-'perälauta+muutosav'!D11</f>
        <v>-3501656.1373322126</v>
      </c>
      <c r="H14" s="18">
        <f t="shared" si="2"/>
        <v>-21181329.15867934</v>
      </c>
      <c r="I14" s="26">
        <f t="shared" si="3"/>
        <v>-211813291.58679339</v>
      </c>
      <c r="J14" s="18">
        <f>'lainat 22-23'!F12</f>
        <v>158212102.64999998</v>
      </c>
      <c r="K14" s="18">
        <v>0</v>
      </c>
      <c r="L14" s="18"/>
      <c r="M14" s="18">
        <v>0</v>
      </c>
      <c r="N14" s="40">
        <v>0</v>
      </c>
      <c r="O14" s="18">
        <f t="shared" si="4"/>
        <v>0</v>
      </c>
      <c r="P14" s="26">
        <f>J14+O14</f>
        <v>158212102.64999998</v>
      </c>
      <c r="Q14" s="56">
        <f>I14-P14</f>
        <v>-370025394.2367934</v>
      </c>
    </row>
    <row r="15" spans="1:17" s="35" customFormat="1" x14ac:dyDescent="0.35">
      <c r="A15" s="38" t="s">
        <v>6</v>
      </c>
      <c r="B15" s="18">
        <v>-15275999.91</v>
      </c>
      <c r="C15" s="18">
        <v>-700201.07230865955</v>
      </c>
      <c r="D15" s="18">
        <f>'perälauta+muutosav'!J12</f>
        <v>3649761.4285714282</v>
      </c>
      <c r="E15" s="18"/>
      <c r="F15" s="18">
        <v>27596081.940049529</v>
      </c>
      <c r="G15" s="18">
        <f>-'perälauta+muutosav'!D12</f>
        <v>-5702435.9963048529</v>
      </c>
      <c r="H15" s="18">
        <f t="shared" si="2"/>
        <v>9567206.3900074456</v>
      </c>
      <c r="I15" s="26">
        <f t="shared" si="3"/>
        <v>95672063.900074452</v>
      </c>
      <c r="J15" s="18">
        <f>'lainat 22-23'!F13</f>
        <v>243718887.20000002</v>
      </c>
      <c r="K15" s="18">
        <v>299100000</v>
      </c>
      <c r="L15" s="18">
        <v>5319000</v>
      </c>
      <c r="M15" s="18">
        <v>40000000</v>
      </c>
      <c r="N15" s="40">
        <v>0</v>
      </c>
      <c r="O15" s="18">
        <f t="shared" si="4"/>
        <v>259100000</v>
      </c>
      <c r="P15" s="26">
        <f>J15+O15</f>
        <v>502818887.20000005</v>
      </c>
      <c r="Q15" s="56">
        <f>I15-P15</f>
        <v>-407146823.29992557</v>
      </c>
    </row>
    <row r="16" spans="1:17" s="35" customFormat="1" x14ac:dyDescent="0.35">
      <c r="A16" s="38" t="s">
        <v>17</v>
      </c>
      <c r="B16" s="18">
        <v>8949</v>
      </c>
      <c r="C16" s="18">
        <v>-317383.77928316593</v>
      </c>
      <c r="D16" s="18">
        <f>'perälauta+muutosav'!J13</f>
        <v>2106949.1428571427</v>
      </c>
      <c r="E16" s="18"/>
      <c r="F16" s="18">
        <v>8843119.1558759809</v>
      </c>
      <c r="G16" s="18">
        <f>-'perälauta+muutosav'!D13</f>
        <v>-3091762.0355977807</v>
      </c>
      <c r="H16" s="18">
        <f t="shared" si="2"/>
        <v>7549871.483852176</v>
      </c>
      <c r="I16" s="26">
        <f t="shared" si="3"/>
        <v>75498714.838521764</v>
      </c>
      <c r="J16" s="18">
        <f>'lainat 22-23'!F14</f>
        <v>69800938.5</v>
      </c>
      <c r="K16" s="18">
        <v>69802000</v>
      </c>
      <c r="L16" s="18">
        <v>588000</v>
      </c>
      <c r="M16" s="18">
        <v>16131047</v>
      </c>
      <c r="N16" s="40">
        <v>588000</v>
      </c>
      <c r="O16" s="18">
        <f t="shared" si="4"/>
        <v>53082953</v>
      </c>
      <c r="P16" s="26">
        <f>J16+O16</f>
        <v>122883891.5</v>
      </c>
      <c r="Q16" s="56">
        <f>I16-P16</f>
        <v>-47385176.661478236</v>
      </c>
    </row>
    <row r="17" spans="1:17" s="35" customFormat="1" x14ac:dyDescent="0.35">
      <c r="A17" s="38" t="s">
        <v>14</v>
      </c>
      <c r="B17" s="18">
        <v>-4000345</v>
      </c>
      <c r="C17" s="18">
        <v>-2357325.5146858692</v>
      </c>
      <c r="D17" s="18">
        <f>'perälauta+muutosav'!J14</f>
        <v>5490504.5714285709</v>
      </c>
      <c r="E17" s="18"/>
      <c r="F17" s="18">
        <v>51290595.669598341</v>
      </c>
      <c r="G17" s="18">
        <f>-'perälauta+muutosav'!D14</f>
        <v>-9007040.7307543289</v>
      </c>
      <c r="H17" s="18">
        <f t="shared" si="2"/>
        <v>41416388.995586708</v>
      </c>
      <c r="I17" s="26">
        <f t="shared" si="3"/>
        <v>414163889.95586705</v>
      </c>
      <c r="J17" s="18">
        <f>'lainat 22-23'!F15</f>
        <v>482634306.17999995</v>
      </c>
      <c r="K17" s="18">
        <v>0</v>
      </c>
      <c r="L17" s="18"/>
      <c r="M17" s="18">
        <v>0</v>
      </c>
      <c r="N17" s="40">
        <v>0</v>
      </c>
      <c r="O17" s="18">
        <f t="shared" si="4"/>
        <v>0</v>
      </c>
      <c r="P17" s="26">
        <f>J17+O17</f>
        <v>482634306.17999995</v>
      </c>
      <c r="Q17" s="56">
        <f>I17-P17</f>
        <v>-68470416.224132895</v>
      </c>
    </row>
    <row r="18" spans="1:17" s="35" customFormat="1" x14ac:dyDescent="0.35">
      <c r="A18" s="38" t="s">
        <v>3</v>
      </c>
      <c r="B18" s="18">
        <v>-63699333.729999997</v>
      </c>
      <c r="C18" s="18">
        <v>-695138.07123780251</v>
      </c>
      <c r="D18" s="18">
        <f>'perälauta+muutosav'!J15</f>
        <v>2642582</v>
      </c>
      <c r="E18" s="18"/>
      <c r="F18" s="18">
        <v>30020076.406114936</v>
      </c>
      <c r="G18" s="18">
        <f>-'perälauta+muutosav'!D15</f>
        <v>-3864849.2751016123</v>
      </c>
      <c r="H18" s="18">
        <f t="shared" si="2"/>
        <v>-35596662.670224473</v>
      </c>
      <c r="I18" s="26">
        <f t="shared" si="3"/>
        <v>-355966626.70224476</v>
      </c>
      <c r="J18" s="18">
        <f>'lainat 22-23'!F16</f>
        <v>73947000</v>
      </c>
      <c r="K18" s="18">
        <v>91567000</v>
      </c>
      <c r="L18" s="18">
        <v>15000000</v>
      </c>
      <c r="M18" s="18">
        <v>9947000</v>
      </c>
      <c r="N18" s="40">
        <v>15000000</v>
      </c>
      <c r="O18" s="18">
        <f t="shared" si="4"/>
        <v>66620000</v>
      </c>
      <c r="P18" s="26">
        <f>J18+O18</f>
        <v>140567000</v>
      </c>
      <c r="Q18" s="56">
        <f>I18-P18</f>
        <v>-496533626.70224476</v>
      </c>
    </row>
    <row r="19" spans="1:17" s="35" customFormat="1" x14ac:dyDescent="0.35">
      <c r="A19" s="38" t="s">
        <v>9</v>
      </c>
      <c r="B19" s="18">
        <v>-85552271.099999994</v>
      </c>
      <c r="C19" s="18">
        <v>-746386.10886597633</v>
      </c>
      <c r="D19" s="18">
        <f>'perälauta+muutosav'!J16</f>
        <v>3104677.1428571427</v>
      </c>
      <c r="E19" s="18"/>
      <c r="F19" s="18">
        <v>40028250.54439044</v>
      </c>
      <c r="G19" s="18">
        <f>-'perälauta+muutosav'!D16</f>
        <v>-6336287.2725310558</v>
      </c>
      <c r="H19" s="18">
        <f t="shared" si="2"/>
        <v>-49502016.794149436</v>
      </c>
      <c r="I19" s="26">
        <f t="shared" si="3"/>
        <v>-495020167.94149435</v>
      </c>
      <c r="J19" s="18">
        <f>'lainat 22-23'!F17</f>
        <v>150332816.47</v>
      </c>
      <c r="K19" s="18">
        <v>144902000</v>
      </c>
      <c r="L19" s="18">
        <v>136071000</v>
      </c>
      <c r="M19" s="18">
        <v>0</v>
      </c>
      <c r="N19" s="40">
        <v>4175000</v>
      </c>
      <c r="O19" s="18">
        <f t="shared" si="4"/>
        <v>140727000</v>
      </c>
      <c r="P19" s="26">
        <f>J19+O19</f>
        <v>291059816.47000003</v>
      </c>
      <c r="Q19" s="56">
        <f>I19-P19</f>
        <v>-786079984.41149437</v>
      </c>
    </row>
    <row r="20" spans="1:17" s="35" customFormat="1" x14ac:dyDescent="0.35">
      <c r="A20" s="38" t="s">
        <v>20</v>
      </c>
      <c r="B20" s="18">
        <v>-19658500.16</v>
      </c>
      <c r="C20" s="18">
        <v>-946482.47483241558</v>
      </c>
      <c r="D20" s="18">
        <f>'perälauta+muutosav'!J17</f>
        <v>4683640.8571428573</v>
      </c>
      <c r="E20" s="18"/>
      <c r="F20" s="18">
        <v>23908730.404097915</v>
      </c>
      <c r="G20" s="18">
        <f>-'perälauta+muutosav'!D17</f>
        <v>-6890821.9855239438</v>
      </c>
      <c r="H20" s="18">
        <f t="shared" si="2"/>
        <v>1096566.6408844134</v>
      </c>
      <c r="I20" s="26">
        <f t="shared" si="3"/>
        <v>10965666.408844134</v>
      </c>
      <c r="J20" s="18">
        <f>'lainat 22-23'!F18</f>
        <v>263334240.22</v>
      </c>
      <c r="K20" s="18">
        <v>67853000</v>
      </c>
      <c r="L20" s="18">
        <v>9414000</v>
      </c>
      <c r="M20" s="18">
        <v>47544000</v>
      </c>
      <c r="N20" s="40">
        <v>8064000</v>
      </c>
      <c r="O20" s="18">
        <f t="shared" si="4"/>
        <v>12245000</v>
      </c>
      <c r="P20" s="26">
        <f>J20+O20</f>
        <v>275579240.22000003</v>
      </c>
      <c r="Q20" s="56">
        <f>I20-P20</f>
        <v>-264613573.81115589</v>
      </c>
    </row>
    <row r="21" spans="1:17" s="35" customFormat="1" x14ac:dyDescent="0.35">
      <c r="A21" s="38" t="s">
        <v>1</v>
      </c>
      <c r="B21" s="18">
        <v>-65839759</v>
      </c>
      <c r="C21" s="18">
        <v>-35693049.713341236</v>
      </c>
      <c r="D21" s="18">
        <f>'perälauta+muutosav'!J18</f>
        <v>5339667.4285714282</v>
      </c>
      <c r="E21" s="18"/>
      <c r="F21" s="18">
        <v>28150937.044633865</v>
      </c>
      <c r="G21" s="18">
        <f>-'perälauta+muutosav'!D18</f>
        <v>-8133618.8019708805</v>
      </c>
      <c r="H21" s="18">
        <f t="shared" si="2"/>
        <v>-76175823.042106822</v>
      </c>
      <c r="I21" s="26">
        <f t="shared" si="3"/>
        <v>-761758230.42106819</v>
      </c>
      <c r="J21" s="18">
        <f>'lainat 22-23'!F19</f>
        <v>151666516</v>
      </c>
      <c r="K21" s="18">
        <v>233383000</v>
      </c>
      <c r="L21" s="18">
        <v>143199000</v>
      </c>
      <c r="M21" s="18">
        <v>36486000</v>
      </c>
      <c r="N21" s="40">
        <v>62000000</v>
      </c>
      <c r="O21" s="18">
        <f t="shared" si="4"/>
        <v>134897000</v>
      </c>
      <c r="P21" s="26">
        <f>J21+O21</f>
        <v>286563516</v>
      </c>
      <c r="Q21" s="56">
        <f>I21-P21</f>
        <v>-1048321746.4210682</v>
      </c>
    </row>
    <row r="22" spans="1:17" s="35" customFormat="1" x14ac:dyDescent="0.35">
      <c r="A22" s="38" t="s">
        <v>7</v>
      </c>
      <c r="B22" s="18">
        <v>-19414254.699999999</v>
      </c>
      <c r="C22" s="18">
        <v>15957007.688484907</v>
      </c>
      <c r="D22" s="18">
        <f>'perälauta+muutosav'!J19</f>
        <v>8263792</v>
      </c>
      <c r="E22" s="18"/>
      <c r="F22" s="18">
        <v>46035265.699888945</v>
      </c>
      <c r="G22" s="18">
        <f>-'perälauta+muutosav'!D19</f>
        <v>-16882144.28120872</v>
      </c>
      <c r="H22" s="18">
        <f t="shared" si="2"/>
        <v>33959666.407165125</v>
      </c>
      <c r="I22" s="26">
        <f t="shared" si="3"/>
        <v>339596664.07165122</v>
      </c>
      <c r="J22" s="18">
        <f>'lainat 22-23'!F20</f>
        <v>538843782.71000004</v>
      </c>
      <c r="K22" s="18">
        <v>336480000</v>
      </c>
      <c r="L22" s="18">
        <v>115664000</v>
      </c>
      <c r="M22" s="18">
        <v>95000000</v>
      </c>
      <c r="N22" s="40">
        <v>121248000</v>
      </c>
      <c r="O22" s="18">
        <f t="shared" si="4"/>
        <v>120232000</v>
      </c>
      <c r="P22" s="26">
        <f>J22+O22</f>
        <v>659075782.71000004</v>
      </c>
      <c r="Q22" s="56">
        <f>I22-P22</f>
        <v>-319479118.63834882</v>
      </c>
    </row>
    <row r="23" spans="1:17" s="35" customFormat="1" x14ac:dyDescent="0.35">
      <c r="A23" s="38" t="s">
        <v>16</v>
      </c>
      <c r="B23" s="18">
        <v>-7769969</v>
      </c>
      <c r="C23" s="18">
        <v>-6802371.991969943</v>
      </c>
      <c r="D23" s="18">
        <f>'perälauta+muutosav'!J20</f>
        <v>3420621.4285714282</v>
      </c>
      <c r="E23" s="18"/>
      <c r="F23" s="18">
        <v>25723934.087527275</v>
      </c>
      <c r="G23" s="18">
        <f>-'perälauta+muutosav'!D20</f>
        <v>-6673233.2611582009</v>
      </c>
      <c r="H23" s="18">
        <f t="shared" si="2"/>
        <v>7898981.2629705602</v>
      </c>
      <c r="I23" s="26">
        <f t="shared" si="3"/>
        <v>78989812.629705608</v>
      </c>
      <c r="J23" s="18">
        <f>'lainat 22-23'!F21</f>
        <v>225250113.80000001</v>
      </c>
      <c r="K23" s="18">
        <v>53425000</v>
      </c>
      <c r="L23" s="18">
        <v>4700000</v>
      </c>
      <c r="M23" s="18">
        <v>28400000</v>
      </c>
      <c r="N23" s="40">
        <v>4700000</v>
      </c>
      <c r="O23" s="18">
        <f t="shared" si="4"/>
        <v>20325000</v>
      </c>
      <c r="P23" s="26">
        <f>J23+O23</f>
        <v>245575113.80000001</v>
      </c>
      <c r="Q23" s="56">
        <f>I23-P23</f>
        <v>-166585301.1702944</v>
      </c>
    </row>
    <row r="24" spans="1:17" s="35" customFormat="1" x14ac:dyDescent="0.35">
      <c r="A24" s="38" t="s">
        <v>13</v>
      </c>
      <c r="B24" s="18">
        <v>2166084</v>
      </c>
      <c r="C24" s="18">
        <v>-851556.56794321537</v>
      </c>
      <c r="D24" s="18">
        <f>'perälauta+muutosav'!J21</f>
        <v>3052356.5714285714</v>
      </c>
      <c r="E24" s="18"/>
      <c r="F24" s="18">
        <v>42041310.895817995</v>
      </c>
      <c r="G24" s="18">
        <f>-'perälauta+muutosav'!D21</f>
        <v>-6927880.4218491707</v>
      </c>
      <c r="H24" s="18">
        <f t="shared" si="2"/>
        <v>39480314.477454178</v>
      </c>
      <c r="I24" s="26">
        <f t="shared" si="3"/>
        <v>394803144.7745418</v>
      </c>
      <c r="J24" s="18">
        <f>'lainat 22-23'!F22</f>
        <v>191645069</v>
      </c>
      <c r="K24" s="18">
        <v>93272000</v>
      </c>
      <c r="L24" s="18">
        <v>27769000</v>
      </c>
      <c r="M24" s="18">
        <v>25518000</v>
      </c>
      <c r="N24" s="40">
        <v>3600000</v>
      </c>
      <c r="O24" s="18">
        <f t="shared" si="4"/>
        <v>64154000</v>
      </c>
      <c r="P24" s="26">
        <f>J24+O24</f>
        <v>255799069</v>
      </c>
      <c r="Q24" s="56">
        <f>I24-P24</f>
        <v>139004075.7745418</v>
      </c>
    </row>
    <row r="25" spans="1:17" s="35" customFormat="1" x14ac:dyDescent="0.35">
      <c r="A25" s="38" t="s">
        <v>18</v>
      </c>
      <c r="B25" s="18">
        <v>-18441005.300000001</v>
      </c>
      <c r="C25" s="18">
        <v>-1945981.2035841942</v>
      </c>
      <c r="D25" s="18">
        <f>'perälauta+muutosav'!J22</f>
        <v>7351075.4285714282</v>
      </c>
      <c r="E25" s="18"/>
      <c r="F25" s="18">
        <v>30683458.854858875</v>
      </c>
      <c r="G25" s="18">
        <f>-'perälauta+muutosav'!D22</f>
        <v>-15704460.350083368</v>
      </c>
      <c r="H25" s="18">
        <f t="shared" si="2"/>
        <v>1943087.4297627416</v>
      </c>
      <c r="I25" s="26">
        <f t="shared" si="3"/>
        <v>19430874.297627416</v>
      </c>
      <c r="J25" s="18">
        <f>'lainat 22-23'!F23</f>
        <v>920641027.25</v>
      </c>
      <c r="K25" s="18">
        <v>448191000</v>
      </c>
      <c r="L25" s="18">
        <v>49382100</v>
      </c>
      <c r="M25" s="18">
        <v>250000000</v>
      </c>
      <c r="N25" s="40">
        <v>49382100</v>
      </c>
      <c r="O25" s="18">
        <f t="shared" si="4"/>
        <v>148808900</v>
      </c>
      <c r="P25" s="26">
        <f>J25+O25</f>
        <v>1069449927.25</v>
      </c>
      <c r="Q25" s="56">
        <f>I25-P25</f>
        <v>-1050019052.9523726</v>
      </c>
    </row>
    <row r="26" spans="1:17" s="35" customFormat="1" x14ac:dyDescent="0.35">
      <c r="A26" s="38" t="s">
        <v>12</v>
      </c>
      <c r="B26" s="18">
        <v>40754605</v>
      </c>
      <c r="C26" s="18">
        <v>11319764.959586382</v>
      </c>
      <c r="D26" s="18">
        <f>'perälauta+muutosav'!J23</f>
        <v>5137682</v>
      </c>
      <c r="E26" s="18">
        <v>-30000000</v>
      </c>
      <c r="F26" s="18">
        <v>32183702.376242876</v>
      </c>
      <c r="G26" s="18">
        <f>-'perälauta+muutosav'!D23</f>
        <v>-10124827.01852221</v>
      </c>
      <c r="H26" s="18">
        <f t="shared" si="2"/>
        <v>49270927.317307048</v>
      </c>
      <c r="I26" s="26">
        <f t="shared" si="3"/>
        <v>492709273.17307049</v>
      </c>
      <c r="J26" s="18">
        <f>'lainat 22-23'!F24</f>
        <v>479540616.42000002</v>
      </c>
      <c r="K26" s="18">
        <v>245770000</v>
      </c>
      <c r="L26" s="18">
        <v>51377000</v>
      </c>
      <c r="M26" s="18">
        <v>70000000</v>
      </c>
      <c r="N26" s="40">
        <v>6908218.0545161292</v>
      </c>
      <c r="O26" s="18">
        <f t="shared" si="4"/>
        <v>168861781.94548386</v>
      </c>
      <c r="P26" s="26">
        <f>J26+O26</f>
        <v>648402398.36548388</v>
      </c>
      <c r="Q26" s="56">
        <f>I26-P26</f>
        <v>-155693125.19241339</v>
      </c>
    </row>
    <row r="27" spans="1:17" s="35" customFormat="1" x14ac:dyDescent="0.35">
      <c r="A27" s="38" t="s">
        <v>8</v>
      </c>
      <c r="B27" s="18">
        <v>9192539.6999999993</v>
      </c>
      <c r="C27" s="18">
        <v>-1636977.0248824358</v>
      </c>
      <c r="D27" s="18">
        <f>'perälauta+muutosav'!J24</f>
        <v>3754062.5714285714</v>
      </c>
      <c r="E27" s="23"/>
      <c r="F27" s="18">
        <v>20050994.695016384</v>
      </c>
      <c r="G27" s="18">
        <f>-'perälauta+muutosav'!D24</f>
        <v>-6474971.6877617408</v>
      </c>
      <c r="H27" s="18">
        <f t="shared" si="2"/>
        <v>24885648.25380078</v>
      </c>
      <c r="I27" s="26">
        <f t="shared" si="3"/>
        <v>248856482.5380078</v>
      </c>
      <c r="J27" s="18">
        <f>'lainat 22-23'!F25</f>
        <v>315345879</v>
      </c>
      <c r="K27" s="18">
        <v>214884000</v>
      </c>
      <c r="L27" s="18">
        <v>17122000</v>
      </c>
      <c r="M27" s="18">
        <v>199000000</v>
      </c>
      <c r="N27" s="40">
        <v>0</v>
      </c>
      <c r="O27" s="18">
        <f t="shared" si="4"/>
        <v>15884000</v>
      </c>
      <c r="P27" s="26">
        <f>J27+O27</f>
        <v>331229879</v>
      </c>
      <c r="Q27" s="56">
        <f>I27-P27</f>
        <v>-82373396.461992204</v>
      </c>
    </row>
    <row r="28" spans="1:17" s="35" customFormat="1" x14ac:dyDescent="0.35">
      <c r="A28" s="38" t="s">
        <v>5</v>
      </c>
      <c r="B28" s="18">
        <v>-45284248</v>
      </c>
      <c r="C28" s="18">
        <v>-958438.46155881882</v>
      </c>
      <c r="D28" s="18">
        <f>'perälauta+muutosav'!J25</f>
        <v>4081018.5714285714</v>
      </c>
      <c r="E28" s="23"/>
      <c r="F28" s="18">
        <v>26833851.202880263</v>
      </c>
      <c r="G28" s="18">
        <f>-'perälauta+muutosav'!D25</f>
        <v>-8670955.0306084063</v>
      </c>
      <c r="H28" s="18">
        <f t="shared" si="2"/>
        <v>-23998771.717858389</v>
      </c>
      <c r="I28" s="26">
        <f t="shared" si="3"/>
        <v>-239987717.17858389</v>
      </c>
      <c r="J28" s="18">
        <f>'lainat 22-23'!F26</f>
        <v>83371949.999999985</v>
      </c>
      <c r="K28" s="18">
        <v>202100000</v>
      </c>
      <c r="L28" s="18">
        <v>7894000</v>
      </c>
      <c r="M28" s="18">
        <v>25000000</v>
      </c>
      <c r="N28" s="40">
        <v>4736400</v>
      </c>
      <c r="O28" s="18">
        <f t="shared" si="4"/>
        <v>172363600</v>
      </c>
      <c r="P28" s="26">
        <f>J28+O28</f>
        <v>255735550</v>
      </c>
      <c r="Q28" s="56">
        <f>I28-P28</f>
        <v>-495723267.17858386</v>
      </c>
    </row>
    <row r="29" spans="1:17" s="35" customFormat="1" x14ac:dyDescent="0.35">
      <c r="A29" s="38" t="s">
        <v>0</v>
      </c>
      <c r="B29" s="18">
        <v>-61818814.189999998</v>
      </c>
      <c r="C29" s="18">
        <v>-923423.07486760616</v>
      </c>
      <c r="D29" s="18">
        <f>'perälauta+muutosav'!J26</f>
        <v>3359965.1428571427</v>
      </c>
      <c r="E29" s="23"/>
      <c r="F29" s="18">
        <v>35852870.055532932</v>
      </c>
      <c r="G29" s="18">
        <f>-'perälauta+muutosav'!D26</f>
        <v>-4807503.6994120423</v>
      </c>
      <c r="H29" s="18">
        <f t="shared" si="2"/>
        <v>-28336905.76588957</v>
      </c>
      <c r="I29" s="26">
        <f t="shared" si="3"/>
        <v>-283369057.65889573</v>
      </c>
      <c r="J29" s="18">
        <f>'lainat 22-23'!F27</f>
        <v>121224361</v>
      </c>
      <c r="K29" s="18">
        <v>189233000</v>
      </c>
      <c r="L29" s="18">
        <v>15210000</v>
      </c>
      <c r="M29" s="18">
        <v>71023000</v>
      </c>
      <c r="N29" s="40">
        <v>5900000</v>
      </c>
      <c r="O29" s="18">
        <f t="shared" si="4"/>
        <v>112310000</v>
      </c>
      <c r="P29" s="26">
        <f>J29+O29</f>
        <v>233534361</v>
      </c>
      <c r="Q29" s="56">
        <f>I29-P29</f>
        <v>-516903418.65889573</v>
      </c>
    </row>
    <row r="30" spans="1:17" s="35" customFormat="1" x14ac:dyDescent="0.35">
      <c r="A30" s="38" t="s">
        <v>4</v>
      </c>
      <c r="B30" s="18">
        <v>-50381300</v>
      </c>
      <c r="C30" s="18">
        <v>-5990362.642939806</v>
      </c>
      <c r="D30" s="18">
        <f>'perälauta+muutosav'!J27</f>
        <v>8499210.8571428563</v>
      </c>
      <c r="E30" s="23"/>
      <c r="F30" s="18">
        <v>48340924.338355541</v>
      </c>
      <c r="G30" s="18">
        <f>-'perälauta+muutosav'!D27</f>
        <v>-18786498.120857351</v>
      </c>
      <c r="H30" s="18">
        <f t="shared" si="2"/>
        <v>-18318025.568298757</v>
      </c>
      <c r="I30" s="26">
        <f t="shared" si="3"/>
        <v>-183180255.68298757</v>
      </c>
      <c r="J30" s="18">
        <f>'lainat 22-23'!F28</f>
        <v>478313142.89999998</v>
      </c>
      <c r="K30" s="18">
        <v>407127000</v>
      </c>
      <c r="L30" s="18">
        <v>133123000</v>
      </c>
      <c r="M30" s="18">
        <v>86333000</v>
      </c>
      <c r="N30" s="40">
        <v>22097000</v>
      </c>
      <c r="O30" s="18">
        <f t="shared" si="4"/>
        <v>298697000</v>
      </c>
      <c r="P30" s="26">
        <f>J30+O30</f>
        <v>777010142.89999998</v>
      </c>
      <c r="Q30" s="56">
        <f>I30-P30</f>
        <v>-960190398.58298755</v>
      </c>
    </row>
    <row r="31" spans="1:17" s="35" customFormat="1" x14ac:dyDescent="0.35">
      <c r="A31" s="32"/>
      <c r="B31" s="18"/>
      <c r="C31" s="18"/>
      <c r="D31" s="18"/>
      <c r="E31" s="18"/>
      <c r="F31" s="18"/>
      <c r="G31" s="18"/>
      <c r="I31" s="18"/>
      <c r="J31" s="18"/>
      <c r="K31" s="18"/>
      <c r="L31" s="18"/>
      <c r="M31" s="33"/>
      <c r="N31" s="33"/>
      <c r="O31" s="33"/>
      <c r="P31" s="33"/>
      <c r="Q31" s="34"/>
    </row>
    <row r="32" spans="1:17" s="35" customFormat="1" x14ac:dyDescent="0.35">
      <c r="A32" s="38" t="s">
        <v>84</v>
      </c>
      <c r="B32" s="18"/>
      <c r="C32" s="18"/>
      <c r="D32" s="18"/>
      <c r="E32" s="18"/>
      <c r="F32" s="18"/>
      <c r="G32" s="18"/>
      <c r="I32" s="18"/>
      <c r="J32" s="18"/>
      <c r="K32" s="18"/>
      <c r="L32" s="18"/>
      <c r="M32" s="33"/>
      <c r="N32" s="33"/>
      <c r="O32" s="33"/>
      <c r="P32" s="33"/>
      <c r="Q32" s="34"/>
    </row>
    <row r="33" spans="1:17" s="35" customFormat="1" x14ac:dyDescent="0.35">
      <c r="A33" s="32" t="s">
        <v>86</v>
      </c>
      <c r="B33" s="18"/>
      <c r="C33" s="18"/>
      <c r="D33" s="18"/>
      <c r="E33" s="18"/>
      <c r="F33" s="18"/>
      <c r="G33" s="18"/>
      <c r="H33" s="22"/>
      <c r="I33" s="33"/>
      <c r="J33" s="18"/>
      <c r="K33" s="18"/>
      <c r="L33" s="18"/>
      <c r="M33" s="33"/>
      <c r="N33" s="33"/>
      <c r="O33" s="33"/>
      <c r="P33" s="33"/>
      <c r="Q33" s="34"/>
    </row>
    <row r="34" spans="1:17" s="35" customFormat="1" x14ac:dyDescent="0.35">
      <c r="A34" s="32" t="s">
        <v>85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33"/>
      <c r="N34" s="33"/>
      <c r="O34" s="33"/>
      <c r="P34" s="33"/>
      <c r="Q34" s="34"/>
    </row>
    <row r="35" spans="1:17" s="35" customFormat="1" x14ac:dyDescent="0.35">
      <c r="A35" s="32"/>
      <c r="B35" s="18"/>
      <c r="C35" s="18"/>
      <c r="D35" s="18"/>
      <c r="E35" s="18"/>
      <c r="F35" s="18"/>
      <c r="G35" s="18"/>
      <c r="I35" s="18"/>
      <c r="J35" s="18"/>
      <c r="K35" s="18"/>
      <c r="L35" s="18"/>
      <c r="M35" s="33"/>
      <c r="N35" s="33"/>
      <c r="O35" s="33"/>
      <c r="P35" s="33"/>
      <c r="Q35" s="34"/>
    </row>
    <row r="36" spans="1:17" s="35" customFormat="1" x14ac:dyDescent="0.35">
      <c r="A36" s="32" t="s">
        <v>92</v>
      </c>
      <c r="B36" s="18"/>
      <c r="C36" s="18"/>
      <c r="D36" s="18"/>
      <c r="E36" s="18"/>
      <c r="F36" s="18"/>
      <c r="G36" s="18"/>
      <c r="I36" s="18"/>
      <c r="J36" s="18"/>
      <c r="K36" s="18"/>
      <c r="L36" s="18"/>
      <c r="M36" s="33"/>
      <c r="N36" s="33"/>
      <c r="O36" s="33"/>
      <c r="P36" s="33"/>
      <c r="Q36" s="34"/>
    </row>
    <row r="37" spans="1:17" s="35" customFormat="1" x14ac:dyDescent="0.35">
      <c r="A37" s="32"/>
      <c r="B37" s="18"/>
      <c r="C37" s="18"/>
      <c r="D37" s="18"/>
      <c r="E37" s="18"/>
      <c r="F37" s="18"/>
      <c r="G37" s="18"/>
      <c r="I37" s="18"/>
      <c r="J37" s="18"/>
      <c r="K37" s="18"/>
      <c r="L37" s="18"/>
      <c r="M37" s="33"/>
      <c r="N37" s="33"/>
      <c r="O37" s="33"/>
      <c r="P37" s="33"/>
      <c r="Q37" s="34"/>
    </row>
    <row r="38" spans="1:17" s="35" customFormat="1" x14ac:dyDescent="0.35">
      <c r="A38" s="32"/>
      <c r="B38" s="18"/>
      <c r="C38" s="18"/>
      <c r="D38" s="18"/>
      <c r="E38" s="18"/>
      <c r="F38" s="18"/>
      <c r="G38" s="18"/>
      <c r="I38" s="18"/>
      <c r="J38" s="18"/>
      <c r="K38" s="18"/>
      <c r="L38" s="18"/>
      <c r="M38" s="33"/>
      <c r="N38" s="33"/>
      <c r="O38" s="33"/>
      <c r="P38" s="33"/>
      <c r="Q38" s="34"/>
    </row>
    <row r="39" spans="1:17" s="28" customFormat="1" x14ac:dyDescent="0.35">
      <c r="A39" s="2"/>
      <c r="B39" s="17"/>
      <c r="C39" s="17"/>
      <c r="D39" s="17"/>
      <c r="E39" s="17"/>
      <c r="F39" s="17"/>
      <c r="G39" s="17"/>
      <c r="I39" s="17"/>
      <c r="J39" s="17"/>
      <c r="K39" s="17"/>
      <c r="L39" s="17"/>
      <c r="M39" s="29"/>
      <c r="N39" s="29"/>
      <c r="O39" s="29"/>
      <c r="P39" s="29"/>
      <c r="Q39" s="30"/>
    </row>
    <row r="40" spans="1:17" s="28" customFormat="1" x14ac:dyDescent="0.35">
      <c r="A40" s="2"/>
      <c r="B40" s="17"/>
      <c r="C40" s="17"/>
      <c r="D40" s="17"/>
      <c r="E40" s="17"/>
      <c r="F40" s="17"/>
      <c r="G40" s="17"/>
      <c r="I40" s="17"/>
      <c r="J40" s="17"/>
      <c r="K40" s="17"/>
      <c r="L40" s="17"/>
      <c r="M40" s="29"/>
      <c r="N40" s="29"/>
      <c r="O40" s="29"/>
      <c r="P40" s="29"/>
      <c r="Q40" s="30"/>
    </row>
    <row r="41" spans="1:17" s="28" customFormat="1" x14ac:dyDescent="0.35">
      <c r="A41" s="2"/>
      <c r="B41" s="31"/>
      <c r="C41" s="31"/>
      <c r="D41" s="31"/>
      <c r="E41" s="31"/>
      <c r="F41" s="17"/>
      <c r="G41" s="17"/>
      <c r="I41" s="17"/>
      <c r="J41" s="17"/>
      <c r="K41" s="17"/>
      <c r="L41" s="17"/>
      <c r="M41" s="29"/>
      <c r="N41" s="29"/>
      <c r="O41" s="29"/>
      <c r="P41" s="29"/>
      <c r="Q41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3" sqref="E33"/>
    </sheetView>
  </sheetViews>
  <sheetFormatPr defaultRowHeight="14.5" x14ac:dyDescent="0.35"/>
  <cols>
    <col min="1" max="1" width="26.81640625" style="58" customWidth="1"/>
    <col min="2" max="2" width="15.08984375" style="58" customWidth="1"/>
    <col min="3" max="4" width="15.81640625" style="58" customWidth="1"/>
    <col min="5" max="6" width="18.453125" style="58" customWidth="1"/>
    <col min="7" max="7" width="12.1796875" style="58" customWidth="1"/>
    <col min="8" max="11" width="8.7265625" style="35"/>
    <col min="13" max="13" width="11.36328125" customWidth="1"/>
  </cols>
  <sheetData>
    <row r="1" spans="1:14" ht="14.5" customHeight="1" x14ac:dyDescent="0.35">
      <c r="B1" s="59" t="s">
        <v>96</v>
      </c>
      <c r="C1" s="59" t="s">
        <v>97</v>
      </c>
      <c r="D1" s="59" t="s">
        <v>98</v>
      </c>
      <c r="E1" s="59" t="s">
        <v>99</v>
      </c>
      <c r="F1" s="82" t="s">
        <v>100</v>
      </c>
      <c r="G1" s="35"/>
    </row>
    <row r="2" spans="1:14" ht="28.5" customHeight="1" x14ac:dyDescent="0.35">
      <c r="B2" s="59"/>
      <c r="C2" s="59"/>
      <c r="D2" s="59"/>
      <c r="E2" s="59"/>
      <c r="F2" s="82" t="s">
        <v>101</v>
      </c>
      <c r="G2" s="35"/>
    </row>
    <row r="3" spans="1:14" x14ac:dyDescent="0.35">
      <c r="B3" s="60"/>
      <c r="C3" s="60"/>
      <c r="D3" s="60"/>
      <c r="E3" s="60"/>
      <c r="F3" s="83" t="s">
        <v>122</v>
      </c>
      <c r="G3" s="35"/>
    </row>
    <row r="4" spans="1:14" x14ac:dyDescent="0.35">
      <c r="A4" s="58" t="s">
        <v>71</v>
      </c>
      <c r="B4" s="61">
        <f t="shared" ref="B4:F4" si="0">SUM(B6:B28)</f>
        <v>4939404201.9099998</v>
      </c>
      <c r="C4" s="61">
        <f t="shared" si="0"/>
        <v>1254095047</v>
      </c>
      <c r="D4" s="61">
        <f t="shared" si="0"/>
        <v>260386353</v>
      </c>
      <c r="E4" s="61">
        <f t="shared" si="0"/>
        <v>444126880</v>
      </c>
      <c r="F4" s="84">
        <f t="shared" si="0"/>
        <v>6377239775.9099998</v>
      </c>
      <c r="G4" s="35"/>
    </row>
    <row r="5" spans="1:14" x14ac:dyDescent="0.35">
      <c r="B5" s="60"/>
      <c r="C5" s="60"/>
      <c r="D5" s="60"/>
      <c r="E5" s="60"/>
      <c r="F5" s="83"/>
      <c r="G5" s="35"/>
    </row>
    <row r="6" spans="1:14" x14ac:dyDescent="0.35">
      <c r="A6" s="62" t="s">
        <v>10</v>
      </c>
      <c r="B6" s="63">
        <v>58425000.000000015</v>
      </c>
      <c r="C6" s="64">
        <v>19490000</v>
      </c>
      <c r="D6" s="64">
        <v>4650000</v>
      </c>
      <c r="E6" s="64">
        <v>8000000</v>
      </c>
      <c r="F6" s="85">
        <f>B6+C6-D6+E6</f>
        <v>81265000.000000015</v>
      </c>
      <c r="G6" s="35"/>
      <c r="L6" s="38"/>
      <c r="M6" s="18"/>
      <c r="N6" s="88"/>
    </row>
    <row r="7" spans="1:14" x14ac:dyDescent="0.35">
      <c r="A7" s="62" t="s">
        <v>15</v>
      </c>
      <c r="B7" s="63">
        <v>88924746.839999989</v>
      </c>
      <c r="C7" s="64">
        <v>28200000</v>
      </c>
      <c r="D7" s="64">
        <v>8923400</v>
      </c>
      <c r="E7" s="64">
        <v>18800000</v>
      </c>
      <c r="F7" s="85">
        <f t="shared" ref="F7:F28" si="1">B7+C7-D7+E7</f>
        <v>127001346.83999999</v>
      </c>
      <c r="G7" s="35"/>
      <c r="L7" s="38"/>
      <c r="M7" s="18"/>
      <c r="N7" s="88"/>
    </row>
    <row r="8" spans="1:14" x14ac:dyDescent="0.35">
      <c r="A8" s="62" t="s">
        <v>102</v>
      </c>
      <c r="B8" s="63">
        <f>173178950.04+B59</f>
        <v>183099647.44</v>
      </c>
      <c r="C8" s="64">
        <v>36027000</v>
      </c>
      <c r="D8" s="64">
        <v>8149000</v>
      </c>
      <c r="E8" s="64">
        <v>0</v>
      </c>
      <c r="F8" s="85">
        <f t="shared" si="1"/>
        <v>210977647.44</v>
      </c>
      <c r="G8" s="35"/>
      <c r="L8" s="38"/>
      <c r="M8" s="18"/>
      <c r="N8" s="88"/>
    </row>
    <row r="9" spans="1:14" x14ac:dyDescent="0.35">
      <c r="A9" s="65" t="s">
        <v>21</v>
      </c>
      <c r="B9" s="66">
        <f>D46</f>
        <v>2855032</v>
      </c>
      <c r="C9" s="64">
        <v>0</v>
      </c>
      <c r="D9" s="64">
        <v>0</v>
      </c>
      <c r="E9" s="64">
        <v>0</v>
      </c>
      <c r="F9" s="85">
        <f t="shared" si="1"/>
        <v>2855032</v>
      </c>
      <c r="G9" s="35"/>
      <c r="L9" s="41"/>
      <c r="M9" s="23"/>
      <c r="N9" s="88"/>
    </row>
    <row r="10" spans="1:14" x14ac:dyDescent="0.35">
      <c r="A10" s="62" t="s">
        <v>75</v>
      </c>
      <c r="B10" s="63">
        <v>865741935.33000016</v>
      </c>
      <c r="C10" s="64">
        <v>160000000</v>
      </c>
      <c r="D10" s="64">
        <v>29554000</v>
      </c>
      <c r="E10" s="64">
        <v>0</v>
      </c>
      <c r="F10" s="85">
        <f t="shared" si="1"/>
        <v>996187935.33000016</v>
      </c>
      <c r="G10" s="35"/>
      <c r="L10" s="38"/>
      <c r="M10" s="18"/>
      <c r="N10" s="88"/>
    </row>
    <row r="11" spans="1:14" x14ac:dyDescent="0.35">
      <c r="A11" s="62" t="s">
        <v>2</v>
      </c>
      <c r="B11" s="63">
        <f>D47</f>
        <v>1134065</v>
      </c>
      <c r="C11" s="64">
        <v>9996000</v>
      </c>
      <c r="D11" s="64">
        <v>0</v>
      </c>
      <c r="E11" s="64">
        <v>0</v>
      </c>
      <c r="F11" s="85">
        <f t="shared" si="1"/>
        <v>11130065</v>
      </c>
      <c r="G11" s="35"/>
      <c r="L11" s="38"/>
      <c r="M11" s="18"/>
      <c r="N11" s="88"/>
    </row>
    <row r="12" spans="1:14" x14ac:dyDescent="0.35">
      <c r="A12" s="62" t="s">
        <v>19</v>
      </c>
      <c r="B12" s="63">
        <v>166282102.64999998</v>
      </c>
      <c r="C12" s="64">
        <v>0</v>
      </c>
      <c r="D12" s="64">
        <v>8070000</v>
      </c>
      <c r="E12" s="64">
        <v>0</v>
      </c>
      <c r="F12" s="85">
        <f t="shared" si="1"/>
        <v>158212102.64999998</v>
      </c>
      <c r="G12" s="35"/>
      <c r="L12" s="38"/>
      <c r="M12" s="18"/>
      <c r="N12" s="88"/>
    </row>
    <row r="13" spans="1:14" x14ac:dyDescent="0.35">
      <c r="A13" s="62" t="s">
        <v>6</v>
      </c>
      <c r="B13" s="63">
        <v>213059887.20000002</v>
      </c>
      <c r="C13" s="64">
        <v>40000000</v>
      </c>
      <c r="D13" s="64">
        <v>9341000</v>
      </c>
      <c r="E13" s="64">
        <v>0</v>
      </c>
      <c r="F13" s="85">
        <f t="shared" si="1"/>
        <v>243718887.20000002</v>
      </c>
      <c r="G13" s="35"/>
      <c r="L13" s="38"/>
      <c r="M13" s="18"/>
      <c r="N13" s="88"/>
    </row>
    <row r="14" spans="1:14" x14ac:dyDescent="0.35">
      <c r="A14" s="62" t="s">
        <v>17</v>
      </c>
      <c r="B14" s="63">
        <f>59460553.5+D48</f>
        <v>59628891.5</v>
      </c>
      <c r="C14" s="64">
        <v>16131047</v>
      </c>
      <c r="D14" s="64">
        <v>5959000</v>
      </c>
      <c r="E14" s="64">
        <v>0</v>
      </c>
      <c r="F14" s="85">
        <f t="shared" si="1"/>
        <v>69800938.5</v>
      </c>
      <c r="G14" s="35"/>
      <c r="L14" s="38"/>
      <c r="M14" s="18"/>
      <c r="N14" s="88"/>
    </row>
    <row r="15" spans="1:14" x14ac:dyDescent="0.35">
      <c r="A15" s="62" t="s">
        <v>14</v>
      </c>
      <c r="B15" s="63">
        <v>504506306.17999995</v>
      </c>
      <c r="C15" s="63">
        <v>0</v>
      </c>
      <c r="D15" s="64">
        <v>21872000</v>
      </c>
      <c r="E15" s="64">
        <v>0</v>
      </c>
      <c r="F15" s="85">
        <f t="shared" si="1"/>
        <v>482634306.17999995</v>
      </c>
      <c r="G15" s="35"/>
      <c r="L15" s="38"/>
      <c r="M15" s="18"/>
      <c r="N15" s="88"/>
    </row>
    <row r="16" spans="1:14" x14ac:dyDescent="0.35">
      <c r="A16" s="62" t="s">
        <v>3</v>
      </c>
      <c r="B16" s="63">
        <v>0</v>
      </c>
      <c r="C16" s="64">
        <v>9947000</v>
      </c>
      <c r="D16" s="64">
        <v>0</v>
      </c>
      <c r="E16" s="64">
        <v>64000000</v>
      </c>
      <c r="F16" s="85">
        <f t="shared" si="1"/>
        <v>73947000</v>
      </c>
      <c r="G16" s="35"/>
      <c r="L16" s="38"/>
      <c r="M16" s="18"/>
      <c r="N16" s="88"/>
    </row>
    <row r="17" spans="1:14" x14ac:dyDescent="0.35">
      <c r="A17" s="62" t="s">
        <v>9</v>
      </c>
      <c r="B17" s="63">
        <f>140891458.47+D49</f>
        <v>140914816.47</v>
      </c>
      <c r="C17" s="64">
        <v>0</v>
      </c>
      <c r="D17" s="64">
        <v>582000</v>
      </c>
      <c r="E17" s="64">
        <v>10000000</v>
      </c>
      <c r="F17" s="85">
        <f t="shared" si="1"/>
        <v>150332816.47</v>
      </c>
      <c r="G17" s="35"/>
      <c r="L17" s="38"/>
      <c r="M17" s="18"/>
      <c r="N17" s="88"/>
    </row>
    <row r="18" spans="1:14" x14ac:dyDescent="0.35">
      <c r="A18" s="62" t="s">
        <v>103</v>
      </c>
      <c r="B18" s="63">
        <f>165353000+B32</f>
        <v>176293240.22</v>
      </c>
      <c r="C18" s="64">
        <v>47544000</v>
      </c>
      <c r="D18" s="64">
        <v>503000</v>
      </c>
      <c r="E18" s="64">
        <v>40000000</v>
      </c>
      <c r="F18" s="85">
        <f t="shared" si="1"/>
        <v>263334240.22</v>
      </c>
      <c r="G18" s="35"/>
      <c r="L18" s="38"/>
      <c r="M18" s="18"/>
      <c r="N18" s="88"/>
    </row>
    <row r="19" spans="1:14" x14ac:dyDescent="0.35">
      <c r="A19" s="62" t="s">
        <v>1</v>
      </c>
      <c r="B19" s="63">
        <f>D50</f>
        <v>3082516</v>
      </c>
      <c r="C19" s="64">
        <v>36486000</v>
      </c>
      <c r="D19" s="64">
        <v>5212000</v>
      </c>
      <c r="E19" s="64">
        <v>117310000</v>
      </c>
      <c r="F19" s="85">
        <f t="shared" si="1"/>
        <v>151666516</v>
      </c>
      <c r="G19" s="35"/>
      <c r="L19" s="38"/>
      <c r="M19" s="18"/>
      <c r="N19" s="88"/>
    </row>
    <row r="20" spans="1:14" x14ac:dyDescent="0.35">
      <c r="A20" s="62" t="s">
        <v>7</v>
      </c>
      <c r="B20" s="63">
        <v>478543782.71000004</v>
      </c>
      <c r="C20" s="64">
        <v>95000000</v>
      </c>
      <c r="D20" s="64">
        <v>34700000</v>
      </c>
      <c r="E20" s="64">
        <v>0</v>
      </c>
      <c r="F20" s="85">
        <f t="shared" si="1"/>
        <v>538843782.71000004</v>
      </c>
      <c r="G20" s="35"/>
      <c r="L20" s="38"/>
      <c r="M20" s="18"/>
      <c r="N20" s="88"/>
    </row>
    <row r="21" spans="1:14" x14ac:dyDescent="0.35">
      <c r="A21" s="62" t="s">
        <v>104</v>
      </c>
      <c r="B21" s="63">
        <f>200487058.8+D51</f>
        <v>204414393.80000001</v>
      </c>
      <c r="C21" s="64">
        <v>28400000</v>
      </c>
      <c r="D21" s="64">
        <v>11527860</v>
      </c>
      <c r="E21" s="64">
        <v>3963580</v>
      </c>
      <c r="F21" s="85">
        <f t="shared" si="1"/>
        <v>225250113.80000001</v>
      </c>
      <c r="G21" s="35"/>
      <c r="L21" s="38"/>
      <c r="M21" s="18"/>
      <c r="N21" s="88"/>
    </row>
    <row r="22" spans="1:14" x14ac:dyDescent="0.35">
      <c r="A22" s="62" t="s">
        <v>13</v>
      </c>
      <c r="B22" s="63">
        <v>182302069</v>
      </c>
      <c r="C22" s="64">
        <v>25518000</v>
      </c>
      <c r="D22" s="64">
        <v>16175000</v>
      </c>
      <c r="E22" s="64">
        <v>0</v>
      </c>
      <c r="F22" s="85">
        <f t="shared" si="1"/>
        <v>191645069</v>
      </c>
      <c r="G22" s="35"/>
      <c r="L22" s="38"/>
      <c r="M22" s="18"/>
      <c r="N22" s="88"/>
    </row>
    <row r="23" spans="1:14" x14ac:dyDescent="0.35">
      <c r="A23" s="62" t="s">
        <v>18</v>
      </c>
      <c r="B23" s="63">
        <v>649658120.25</v>
      </c>
      <c r="C23" s="64">
        <v>250000000</v>
      </c>
      <c r="D23" s="64">
        <v>19017093</v>
      </c>
      <c r="E23" s="64">
        <v>40000000</v>
      </c>
      <c r="F23" s="85">
        <f t="shared" si="1"/>
        <v>920641027.25</v>
      </c>
      <c r="G23" s="35"/>
      <c r="L23" s="38"/>
      <c r="M23" s="18"/>
      <c r="N23" s="88"/>
    </row>
    <row r="24" spans="1:14" x14ac:dyDescent="0.35">
      <c r="A24" s="62" t="s">
        <v>12</v>
      </c>
      <c r="B24" s="63">
        <f>421470642.22+B58</f>
        <v>429540616.42000002</v>
      </c>
      <c r="C24" s="64">
        <v>70000000</v>
      </c>
      <c r="D24" s="64">
        <v>20000000</v>
      </c>
      <c r="E24" s="64">
        <v>0</v>
      </c>
      <c r="F24" s="85">
        <f t="shared" si="1"/>
        <v>479540616.42000002</v>
      </c>
      <c r="G24" s="35"/>
      <c r="L24" s="38"/>
      <c r="M24" s="18"/>
      <c r="N24" s="88"/>
    </row>
    <row r="25" spans="1:14" x14ac:dyDescent="0.35">
      <c r="A25" s="62" t="s">
        <v>8</v>
      </c>
      <c r="B25" s="63">
        <v>120348879.00000001</v>
      </c>
      <c r="C25" s="64">
        <v>199000000</v>
      </c>
      <c r="D25" s="64">
        <v>4003000</v>
      </c>
      <c r="E25" s="64">
        <v>0</v>
      </c>
      <c r="F25" s="85">
        <f t="shared" si="1"/>
        <v>315345879</v>
      </c>
      <c r="G25" s="35"/>
      <c r="L25" s="38"/>
      <c r="M25" s="18"/>
      <c r="N25" s="88"/>
    </row>
    <row r="26" spans="1:14" x14ac:dyDescent="0.35">
      <c r="A26" s="62" t="s">
        <v>5</v>
      </c>
      <c r="B26" s="63">
        <v>68847949.999999985</v>
      </c>
      <c r="C26" s="64">
        <v>25000000</v>
      </c>
      <c r="D26" s="64">
        <v>10476000</v>
      </c>
      <c r="E26" s="64">
        <v>0</v>
      </c>
      <c r="F26" s="85">
        <f t="shared" si="1"/>
        <v>83371949.999999985</v>
      </c>
      <c r="G26" s="35"/>
      <c r="L26" s="38"/>
      <c r="M26" s="18"/>
      <c r="N26" s="88"/>
    </row>
    <row r="27" spans="1:14" x14ac:dyDescent="0.35">
      <c r="A27" s="62" t="s">
        <v>74</v>
      </c>
      <c r="B27" s="63">
        <f>D52</f>
        <v>201361</v>
      </c>
      <c r="C27" s="64">
        <v>71023000</v>
      </c>
      <c r="D27" s="64">
        <v>0</v>
      </c>
      <c r="E27" s="64">
        <v>50000000</v>
      </c>
      <c r="F27" s="85">
        <f t="shared" si="1"/>
        <v>121224361</v>
      </c>
      <c r="G27" s="35"/>
      <c r="L27" s="38"/>
      <c r="M27" s="18"/>
      <c r="N27" s="88"/>
    </row>
    <row r="28" spans="1:14" x14ac:dyDescent="0.35">
      <c r="A28" s="62" t="s">
        <v>4</v>
      </c>
      <c r="B28" s="63">
        <f>309132282.9+B34+D53</f>
        <v>341598842.89999998</v>
      </c>
      <c r="C28" s="64">
        <v>86333000</v>
      </c>
      <c r="D28" s="64">
        <v>41672000</v>
      </c>
      <c r="E28" s="64">
        <v>92053300</v>
      </c>
      <c r="F28" s="85">
        <f t="shared" si="1"/>
        <v>478313142.89999998</v>
      </c>
      <c r="G28" s="35"/>
      <c r="L28" s="38"/>
      <c r="M28" s="18"/>
      <c r="N28" s="88"/>
    </row>
    <row r="29" spans="1:14" x14ac:dyDescent="0.35">
      <c r="C29" s="64"/>
      <c r="D29" s="64"/>
      <c r="E29" s="64"/>
      <c r="F29" s="64"/>
      <c r="G29" s="72"/>
    </row>
    <row r="30" spans="1:14" x14ac:dyDescent="0.35">
      <c r="B30" s="67"/>
      <c r="C30" s="64"/>
      <c r="D30" s="64"/>
      <c r="E30" s="64"/>
      <c r="F30" s="64"/>
      <c r="G30" s="72"/>
    </row>
    <row r="31" spans="1:14" ht="15.5" x14ac:dyDescent="0.35">
      <c r="A31" s="68" t="s">
        <v>105</v>
      </c>
      <c r="B31" s="69" t="s">
        <v>120</v>
      </c>
      <c r="D31" s="64"/>
      <c r="E31" s="64"/>
      <c r="F31" s="64"/>
      <c r="G31" s="72"/>
    </row>
    <row r="32" spans="1:14" x14ac:dyDescent="0.35">
      <c r="A32" s="62" t="s">
        <v>106</v>
      </c>
      <c r="B32" s="63">
        <v>10940240.220000001</v>
      </c>
      <c r="D32" s="70"/>
      <c r="E32" s="64"/>
      <c r="F32" s="64"/>
      <c r="G32" s="72"/>
    </row>
    <row r="33" spans="1:7" x14ac:dyDescent="0.35">
      <c r="A33" s="62" t="s">
        <v>107</v>
      </c>
      <c r="B33" s="63">
        <v>27165729</v>
      </c>
      <c r="D33" s="64"/>
      <c r="E33" s="64"/>
      <c r="F33" s="64"/>
      <c r="G33" s="72"/>
    </row>
    <row r="34" spans="1:7" x14ac:dyDescent="0.35">
      <c r="A34" s="62" t="s">
        <v>108</v>
      </c>
      <c r="B34" s="63">
        <v>16692836</v>
      </c>
      <c r="D34" s="70"/>
      <c r="E34" s="64"/>
      <c r="F34" s="64"/>
      <c r="G34" s="86"/>
    </row>
    <row r="35" spans="1:7" x14ac:dyDescent="0.35">
      <c r="A35" s="62" t="s">
        <v>109</v>
      </c>
      <c r="B35" s="63">
        <v>23503000</v>
      </c>
      <c r="D35" s="64"/>
      <c r="E35" s="64"/>
      <c r="F35" s="64"/>
      <c r="G35" s="86"/>
    </row>
    <row r="36" spans="1:7" x14ac:dyDescent="0.35">
      <c r="A36" s="62" t="s">
        <v>110</v>
      </c>
      <c r="B36" s="63">
        <v>0</v>
      </c>
      <c r="D36" s="71"/>
      <c r="F36" s="64"/>
      <c r="G36" s="86"/>
    </row>
    <row r="37" spans="1:7" x14ac:dyDescent="0.35">
      <c r="A37" s="62" t="s">
        <v>111</v>
      </c>
      <c r="B37" s="63">
        <f>17901868+88804</f>
        <v>17990672</v>
      </c>
      <c r="D37" s="70"/>
      <c r="E37" s="64"/>
      <c r="F37" s="64"/>
      <c r="G37" s="86"/>
    </row>
    <row r="38" spans="1:7" x14ac:dyDescent="0.35">
      <c r="E38" s="72"/>
      <c r="F38" s="72"/>
      <c r="G38" s="87"/>
    </row>
    <row r="39" spans="1:7" x14ac:dyDescent="0.35">
      <c r="E39" s="73"/>
      <c r="F39" s="72"/>
      <c r="G39" s="87"/>
    </row>
    <row r="40" spans="1:7" x14ac:dyDescent="0.35">
      <c r="A40" s="58" t="s">
        <v>112</v>
      </c>
      <c r="B40" s="72">
        <v>37890000</v>
      </c>
    </row>
    <row r="41" spans="1:7" x14ac:dyDescent="0.35">
      <c r="A41" s="58" t="s">
        <v>113</v>
      </c>
      <c r="B41" s="72">
        <v>37895292.530000001</v>
      </c>
    </row>
    <row r="42" spans="1:7" x14ac:dyDescent="0.35">
      <c r="E42" s="74"/>
      <c r="F42" s="74"/>
    </row>
    <row r="43" spans="1:7" x14ac:dyDescent="0.35">
      <c r="E43" s="74"/>
    </row>
    <row r="44" spans="1:7" x14ac:dyDescent="0.35">
      <c r="B44" s="75" t="s">
        <v>117</v>
      </c>
      <c r="C44" s="75" t="s">
        <v>118</v>
      </c>
      <c r="D44" s="76" t="s">
        <v>116</v>
      </c>
    </row>
    <row r="45" spans="1:7" x14ac:dyDescent="0.35">
      <c r="A45" s="67" t="s">
        <v>115</v>
      </c>
      <c r="D45" s="77" t="s">
        <v>81</v>
      </c>
    </row>
    <row r="46" spans="1:7" x14ac:dyDescent="0.35">
      <c r="A46" s="58" t="s">
        <v>21</v>
      </c>
      <c r="B46" s="72">
        <v>1451949</v>
      </c>
      <c r="C46" s="72">
        <v>1403083</v>
      </c>
      <c r="D46" s="78">
        <f>SUM(B46:C46)</f>
        <v>2855032</v>
      </c>
    </row>
    <row r="47" spans="1:7" x14ac:dyDescent="0.35">
      <c r="A47" s="58" t="s">
        <v>42</v>
      </c>
      <c r="B47" s="72">
        <v>0</v>
      </c>
      <c r="C47" s="72">
        <v>1134065</v>
      </c>
      <c r="D47" s="78">
        <f t="shared" ref="D47:D53" si="2">SUM(B47:C47)</f>
        <v>1134065</v>
      </c>
    </row>
    <row r="48" spans="1:7" x14ac:dyDescent="0.35">
      <c r="A48" s="58" t="s">
        <v>45</v>
      </c>
      <c r="B48" s="72">
        <v>0</v>
      </c>
      <c r="C48" s="72">
        <v>168338</v>
      </c>
      <c r="D48" s="78">
        <f t="shared" si="2"/>
        <v>168338</v>
      </c>
    </row>
    <row r="49" spans="1:4" x14ac:dyDescent="0.35">
      <c r="A49" s="58" t="s">
        <v>114</v>
      </c>
      <c r="B49" s="72">
        <v>0</v>
      </c>
      <c r="C49" s="72">
        <v>23358</v>
      </c>
      <c r="D49" s="78">
        <f t="shared" si="2"/>
        <v>23358</v>
      </c>
    </row>
    <row r="50" spans="1:4" x14ac:dyDescent="0.35">
      <c r="A50" s="58" t="s">
        <v>50</v>
      </c>
      <c r="B50" s="72">
        <v>1162338</v>
      </c>
      <c r="C50" s="72">
        <v>1920178</v>
      </c>
      <c r="D50" s="78">
        <f t="shared" si="2"/>
        <v>3082516</v>
      </c>
    </row>
    <row r="51" spans="1:4" x14ac:dyDescent="0.35">
      <c r="A51" s="58" t="s">
        <v>52</v>
      </c>
      <c r="B51" s="72">
        <v>1540000</v>
      </c>
      <c r="C51" s="72">
        <v>2387335</v>
      </c>
      <c r="D51" s="78">
        <f t="shared" si="2"/>
        <v>3927335</v>
      </c>
    </row>
    <row r="52" spans="1:4" x14ac:dyDescent="0.35">
      <c r="A52" s="58" t="s">
        <v>58</v>
      </c>
      <c r="B52" s="72">
        <v>0</v>
      </c>
      <c r="C52" s="72">
        <v>201361</v>
      </c>
      <c r="D52" s="78">
        <f t="shared" si="2"/>
        <v>201361</v>
      </c>
    </row>
    <row r="53" spans="1:4" x14ac:dyDescent="0.35">
      <c r="A53" s="58" t="s">
        <v>59</v>
      </c>
      <c r="B53" s="72">
        <v>14957004</v>
      </c>
      <c r="C53" s="72">
        <v>816720</v>
      </c>
      <c r="D53" s="78">
        <f t="shared" si="2"/>
        <v>15773724</v>
      </c>
    </row>
    <row r="54" spans="1:4" x14ac:dyDescent="0.35">
      <c r="B54" s="72"/>
      <c r="C54" s="72"/>
      <c r="D54" s="78"/>
    </row>
    <row r="55" spans="1:4" x14ac:dyDescent="0.35">
      <c r="A55" s="58" t="s">
        <v>71</v>
      </c>
      <c r="B55" s="72">
        <f>SUM(B46:B54)</f>
        <v>19111291</v>
      </c>
      <c r="C55" s="72">
        <f t="shared" ref="C55:D55" si="3">SUM(C46:C54)</f>
        <v>8054438</v>
      </c>
      <c r="D55" s="79">
        <f t="shared" si="3"/>
        <v>27165729</v>
      </c>
    </row>
    <row r="57" spans="1:4" x14ac:dyDescent="0.35">
      <c r="A57" s="80" t="s">
        <v>119</v>
      </c>
      <c r="B57" s="76" t="s">
        <v>121</v>
      </c>
      <c r="C57" s="72"/>
      <c r="D57" s="72"/>
    </row>
    <row r="58" spans="1:4" x14ac:dyDescent="0.35">
      <c r="A58" s="58" t="s">
        <v>12</v>
      </c>
      <c r="B58" s="81">
        <v>8069974.2000000002</v>
      </c>
      <c r="C58" s="72"/>
      <c r="D58" s="72"/>
    </row>
    <row r="59" spans="1:4" x14ac:dyDescent="0.35">
      <c r="A59" s="58" t="s">
        <v>11</v>
      </c>
      <c r="B59" s="81">
        <v>9920697.4000000004</v>
      </c>
      <c r="C59" s="72"/>
      <c r="D59" s="72"/>
    </row>
    <row r="60" spans="1:4" x14ac:dyDescent="0.35">
      <c r="B60" s="81"/>
      <c r="C60" s="72"/>
      <c r="D60" s="72"/>
    </row>
    <row r="61" spans="1:4" x14ac:dyDescent="0.35">
      <c r="A61" s="58" t="s">
        <v>71</v>
      </c>
      <c r="B61" s="79">
        <f>SUM(B58:B60)</f>
        <v>17990671.600000001</v>
      </c>
      <c r="C61" s="72"/>
      <c r="D61" s="72"/>
    </row>
    <row r="62" spans="1:4" x14ac:dyDescent="0.35">
      <c r="B62" s="72"/>
      <c r="C62" s="72"/>
      <c r="D62" s="72"/>
    </row>
    <row r="63" spans="1:4" x14ac:dyDescent="0.35">
      <c r="B63" s="72"/>
      <c r="C63" s="72"/>
      <c r="D63" s="72"/>
    </row>
    <row r="64" spans="1:4" x14ac:dyDescent="0.35">
      <c r="B64" s="72"/>
      <c r="C64" s="72"/>
      <c r="D64" s="72"/>
    </row>
    <row r="65" spans="2:4" x14ac:dyDescent="0.35">
      <c r="B65" s="72"/>
      <c r="C65" s="72"/>
      <c r="D65" s="72"/>
    </row>
    <row r="66" spans="2:4" x14ac:dyDescent="0.35">
      <c r="B66" s="72"/>
      <c r="C66" s="72"/>
      <c r="D66" s="72"/>
    </row>
  </sheetData>
  <mergeCells count="4"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" sqref="I2"/>
    </sheetView>
  </sheetViews>
  <sheetFormatPr defaultRowHeight="14.5" x14ac:dyDescent="0.35"/>
  <cols>
    <col min="1" max="1" width="36.54296875" style="6" customWidth="1"/>
    <col min="2" max="2" width="12.81640625" style="6" customWidth="1"/>
    <col min="3" max="4" width="8.7265625" style="6"/>
    <col min="5" max="5" width="11.7265625" style="6" customWidth="1"/>
    <col min="6" max="7" width="8.7265625" style="6"/>
    <col min="8" max="8" width="13.7265625" style="6" customWidth="1"/>
    <col min="9" max="9" width="8.81640625" style="6" bestFit="1" customWidth="1"/>
    <col min="10" max="10" width="11.1796875" style="6" customWidth="1"/>
    <col min="13" max="13" width="8.7265625" style="28"/>
    <col min="14" max="14" width="16.453125" style="28" customWidth="1"/>
    <col min="15" max="17" width="8.7265625" style="28"/>
    <col min="18" max="18" width="12.7265625" style="28" customWidth="1"/>
    <col min="19" max="21" width="8.7265625" style="28"/>
  </cols>
  <sheetData>
    <row r="1" spans="1:21" x14ac:dyDescent="0.35">
      <c r="B1" s="10" t="s">
        <v>126</v>
      </c>
      <c r="D1" s="6">
        <v>200000000</v>
      </c>
      <c r="E1" s="7">
        <f>B3+D1</f>
        <v>13133770755.829998</v>
      </c>
      <c r="I1" s="90" t="s">
        <v>127</v>
      </c>
      <c r="J1" s="6">
        <f>100000000</f>
        <v>100000000</v>
      </c>
      <c r="K1" s="1" t="s">
        <v>66</v>
      </c>
    </row>
    <row r="2" spans="1:21" x14ac:dyDescent="0.35">
      <c r="B2" s="10" t="s">
        <v>63</v>
      </c>
      <c r="C2" s="10" t="s">
        <v>61</v>
      </c>
      <c r="D2" s="10" t="s">
        <v>62</v>
      </c>
      <c r="E2" s="15">
        <f>(E1/B3)-1</f>
        <v>1.5463394533249186E-2</v>
      </c>
      <c r="I2" s="10"/>
      <c r="J2" s="13">
        <f>J1/I3</f>
        <v>0.2857142857142857</v>
      </c>
    </row>
    <row r="3" spans="1:21" s="3" customFormat="1" x14ac:dyDescent="0.35">
      <c r="A3" s="10" t="s">
        <v>60</v>
      </c>
      <c r="B3" s="10">
        <f>SUM(B5:B27)</f>
        <v>12933770755.829998</v>
      </c>
      <c r="C3" s="12">
        <f t="shared" ref="C3:D3" si="0">SUM(C5:C27)</f>
        <v>1.0000000000000002</v>
      </c>
      <c r="D3" s="10">
        <f t="shared" si="0"/>
        <v>200000000.00000009</v>
      </c>
      <c r="E3" s="16"/>
      <c r="F3" s="10"/>
      <c r="G3" s="10"/>
      <c r="H3" s="10"/>
      <c r="I3" s="10">
        <f>SUM(I5:I27)</f>
        <v>350000000</v>
      </c>
      <c r="J3" s="10">
        <f>SUM(J5:J27)</f>
        <v>99999999.999999985</v>
      </c>
      <c r="M3" s="46"/>
      <c r="N3" s="47"/>
      <c r="O3" s="46"/>
      <c r="P3" s="46"/>
      <c r="Q3" s="46"/>
      <c r="R3" s="46"/>
      <c r="S3" s="46"/>
      <c r="T3" s="46"/>
      <c r="U3" s="46"/>
    </row>
    <row r="4" spans="1:21" x14ac:dyDescent="0.35">
      <c r="E4" s="7"/>
      <c r="M4" s="29"/>
      <c r="N4" s="29"/>
    </row>
    <row r="5" spans="1:21" x14ac:dyDescent="0.35">
      <c r="A5" s="6" t="s">
        <v>39</v>
      </c>
      <c r="B5" s="6">
        <v>305133262</v>
      </c>
      <c r="C5" s="11">
        <f t="shared" ref="C5:C27" si="1">B5/$B$3</f>
        <v>2.3591980077616485E-2</v>
      </c>
      <c r="D5" s="8">
        <f t="shared" ref="D5:D27" si="2">C5*$D$1</f>
        <v>4718396.0155232968</v>
      </c>
      <c r="E5" s="7">
        <f>B5*$E$2</f>
        <v>4718396.0155232912</v>
      </c>
      <c r="G5" s="6">
        <v>9</v>
      </c>
      <c r="H5" s="6" t="s">
        <v>10</v>
      </c>
      <c r="I5" s="6">
        <v>9191526</v>
      </c>
      <c r="J5" s="8">
        <f>I5*$J$2</f>
        <v>2626150.2857142854</v>
      </c>
      <c r="M5" s="29"/>
      <c r="N5" s="14"/>
    </row>
    <row r="6" spans="1:21" x14ac:dyDescent="0.35">
      <c r="A6" s="6" t="s">
        <v>40</v>
      </c>
      <c r="B6" s="6">
        <v>478108500</v>
      </c>
      <c r="C6" s="11">
        <f t="shared" si="1"/>
        <v>3.6965901825999882E-2</v>
      </c>
      <c r="D6" s="8">
        <f t="shared" si="2"/>
        <v>7393180.3651999766</v>
      </c>
      <c r="E6" s="7">
        <f t="shared" ref="E6:E27" si="3">B6*$E$2</f>
        <v>7393180.3651999682</v>
      </c>
      <c r="G6" s="6">
        <v>14</v>
      </c>
      <c r="H6" s="6" t="s">
        <v>15</v>
      </c>
      <c r="I6" s="6">
        <v>13897849</v>
      </c>
      <c r="J6" s="8">
        <f t="shared" ref="J6:J27" si="4">I6*$J$2</f>
        <v>3970814</v>
      </c>
      <c r="M6" s="29"/>
      <c r="N6" s="14"/>
      <c r="P6" s="48"/>
    </row>
    <row r="7" spans="1:21" x14ac:dyDescent="0.35">
      <c r="A7" s="6" t="s">
        <v>41</v>
      </c>
      <c r="B7" s="6">
        <v>426077000</v>
      </c>
      <c r="C7" s="11">
        <f t="shared" si="1"/>
        <v>3.2942983762716101E-2</v>
      </c>
      <c r="D7" s="8">
        <f t="shared" si="2"/>
        <v>6588596.7525432203</v>
      </c>
      <c r="E7" s="7">
        <f t="shared" si="3"/>
        <v>6588596.7525432138</v>
      </c>
      <c r="G7" s="6">
        <v>10</v>
      </c>
      <c r="H7" s="6" t="s">
        <v>11</v>
      </c>
      <c r="I7" s="6">
        <v>11228230</v>
      </c>
      <c r="J7" s="8">
        <f t="shared" si="4"/>
        <v>3208065.7142857141</v>
      </c>
      <c r="M7" s="29"/>
      <c r="N7" s="14"/>
      <c r="P7" s="49"/>
      <c r="Q7" s="50"/>
      <c r="R7" s="51"/>
      <c r="S7" s="51"/>
      <c r="T7" s="50"/>
    </row>
    <row r="8" spans="1:21" x14ac:dyDescent="0.35">
      <c r="A8" s="6" t="s">
        <v>21</v>
      </c>
      <c r="B8" s="6">
        <v>878918000</v>
      </c>
      <c r="C8" s="11">
        <f t="shared" si="1"/>
        <v>6.795527898187162E-2</v>
      </c>
      <c r="D8" s="8">
        <f t="shared" si="2"/>
        <v>13591055.796374325</v>
      </c>
      <c r="E8" s="7">
        <f t="shared" si="3"/>
        <v>13591055.796374308</v>
      </c>
      <c r="G8" s="6">
        <v>31</v>
      </c>
      <c r="H8" s="6" t="s">
        <v>21</v>
      </c>
      <c r="I8" s="6">
        <v>18000000</v>
      </c>
      <c r="J8" s="8">
        <f t="shared" si="4"/>
        <v>5142857.1428571427</v>
      </c>
      <c r="M8" s="29"/>
      <c r="N8" s="14"/>
      <c r="P8" s="52"/>
      <c r="Q8" s="51"/>
      <c r="R8" s="53"/>
      <c r="S8" s="53"/>
      <c r="T8" s="52"/>
    </row>
    <row r="9" spans="1:21" x14ac:dyDescent="0.35">
      <c r="A9" s="6" t="s">
        <v>64</v>
      </c>
      <c r="B9" s="6">
        <v>1550764476.1500001</v>
      </c>
      <c r="C9" s="11">
        <f t="shared" si="1"/>
        <v>0.11990041461427488</v>
      </c>
      <c r="D9" s="8">
        <f t="shared" si="2"/>
        <v>23980082.922854975</v>
      </c>
      <c r="E9" s="7">
        <f t="shared" si="3"/>
        <v>23980082.922854949</v>
      </c>
      <c r="H9" s="6" t="s">
        <v>64</v>
      </c>
      <c r="I9" s="6">
        <v>25000000</v>
      </c>
      <c r="J9" s="8">
        <f t="shared" si="4"/>
        <v>7142857.1428571427</v>
      </c>
      <c r="M9" s="29"/>
      <c r="N9" s="14"/>
      <c r="P9" s="52"/>
      <c r="Q9" s="51"/>
      <c r="R9" s="53"/>
      <c r="S9" s="51"/>
      <c r="T9" s="52"/>
    </row>
    <row r="10" spans="1:21" x14ac:dyDescent="0.35">
      <c r="A10" s="6" t="s">
        <v>42</v>
      </c>
      <c r="B10" s="6">
        <v>138892016</v>
      </c>
      <c r="C10" s="11">
        <f t="shared" si="1"/>
        <v>1.0738710204631805E-2</v>
      </c>
      <c r="D10" s="8">
        <f t="shared" si="2"/>
        <v>2147742.040926361</v>
      </c>
      <c r="E10" s="7">
        <f t="shared" si="3"/>
        <v>2147742.0409263587</v>
      </c>
      <c r="G10" s="6">
        <v>34</v>
      </c>
      <c r="H10" s="6" t="s">
        <v>2</v>
      </c>
      <c r="I10" s="6">
        <v>6651525</v>
      </c>
      <c r="J10" s="8">
        <f t="shared" si="4"/>
        <v>1900435.7142857141</v>
      </c>
      <c r="M10" s="29"/>
      <c r="N10" s="14"/>
      <c r="P10" s="52"/>
      <c r="Q10" s="51"/>
      <c r="R10" s="53"/>
      <c r="S10" s="53"/>
      <c r="T10" s="52"/>
    </row>
    <row r="11" spans="1:21" x14ac:dyDescent="0.35">
      <c r="A11" s="6" t="s">
        <v>43</v>
      </c>
      <c r="B11" s="6">
        <v>226448088.72999999</v>
      </c>
      <c r="C11" s="11">
        <f t="shared" si="1"/>
        <v>1.7508280686661062E-2</v>
      </c>
      <c r="D11" s="8">
        <f t="shared" si="2"/>
        <v>3501656.1373322126</v>
      </c>
      <c r="E11" s="7">
        <f t="shared" si="3"/>
        <v>3501656.1373322085</v>
      </c>
      <c r="G11" s="6">
        <v>18</v>
      </c>
      <c r="H11" s="6" t="s">
        <v>19</v>
      </c>
      <c r="I11" s="6">
        <v>7249385</v>
      </c>
      <c r="J11" s="8">
        <f t="shared" si="4"/>
        <v>2071252.857142857</v>
      </c>
      <c r="M11" s="29"/>
      <c r="N11" s="14"/>
      <c r="P11" s="48"/>
    </row>
    <row r="12" spans="1:21" x14ac:dyDescent="0.35">
      <c r="A12" s="6" t="s">
        <v>44</v>
      </c>
      <c r="B12" s="6">
        <v>368769999.63</v>
      </c>
      <c r="C12" s="11">
        <f t="shared" si="1"/>
        <v>2.8512179981524263E-2</v>
      </c>
      <c r="D12" s="8">
        <f t="shared" si="2"/>
        <v>5702435.9963048529</v>
      </c>
      <c r="E12" s="7">
        <f t="shared" si="3"/>
        <v>5702435.9963048464</v>
      </c>
      <c r="G12" s="6">
        <v>5</v>
      </c>
      <c r="H12" s="6" t="s">
        <v>6</v>
      </c>
      <c r="I12" s="6">
        <v>12774165</v>
      </c>
      <c r="J12" s="8">
        <f t="shared" si="4"/>
        <v>3649761.4285714282</v>
      </c>
      <c r="M12" s="29"/>
      <c r="N12" s="14"/>
      <c r="P12" s="48"/>
    </row>
    <row r="13" spans="1:21" x14ac:dyDescent="0.35">
      <c r="A13" s="6" t="s">
        <v>45</v>
      </c>
      <c r="B13" s="6">
        <v>199940707</v>
      </c>
      <c r="C13" s="11">
        <f t="shared" si="1"/>
        <v>1.5458810177988903E-2</v>
      </c>
      <c r="D13" s="8">
        <f t="shared" si="2"/>
        <v>3091762.0355977807</v>
      </c>
      <c r="E13" s="7">
        <f t="shared" si="3"/>
        <v>3091762.0355977775</v>
      </c>
      <c r="G13" s="6">
        <v>16</v>
      </c>
      <c r="H13" s="6" t="s">
        <v>17</v>
      </c>
      <c r="I13" s="6">
        <v>7374322</v>
      </c>
      <c r="J13" s="8">
        <f t="shared" si="4"/>
        <v>2106949.1428571427</v>
      </c>
      <c r="M13" s="29"/>
      <c r="N13" s="14"/>
    </row>
    <row r="14" spans="1:21" x14ac:dyDescent="0.35">
      <c r="A14" s="6" t="s">
        <v>46</v>
      </c>
      <c r="B14" s="6">
        <v>582475000</v>
      </c>
      <c r="C14" s="11">
        <f t="shared" si="1"/>
        <v>4.5035203653771644E-2</v>
      </c>
      <c r="D14" s="8">
        <f t="shared" si="2"/>
        <v>9007040.7307543289</v>
      </c>
      <c r="E14" s="7">
        <f t="shared" si="3"/>
        <v>9007040.7307543196</v>
      </c>
      <c r="G14" s="6">
        <v>13</v>
      </c>
      <c r="H14" s="6" t="s">
        <v>14</v>
      </c>
      <c r="I14" s="6">
        <v>19216766</v>
      </c>
      <c r="J14" s="8">
        <f t="shared" si="4"/>
        <v>5490504.5714285709</v>
      </c>
      <c r="M14" s="29"/>
      <c r="N14" s="14"/>
    </row>
    <row r="15" spans="1:21" x14ac:dyDescent="0.35">
      <c r="A15" s="6" t="s">
        <v>47</v>
      </c>
      <c r="B15" s="6">
        <v>249935372.65000001</v>
      </c>
      <c r="C15" s="11">
        <f t="shared" si="1"/>
        <v>1.9324246375508062E-2</v>
      </c>
      <c r="D15" s="8">
        <f t="shared" si="2"/>
        <v>3864849.2751016123</v>
      </c>
      <c r="E15" s="7">
        <f t="shared" si="3"/>
        <v>3864849.2751016081</v>
      </c>
      <c r="G15" s="6">
        <v>35</v>
      </c>
      <c r="H15" s="6" t="s">
        <v>3</v>
      </c>
      <c r="I15" s="6">
        <v>9249037</v>
      </c>
      <c r="J15" s="8">
        <f t="shared" si="4"/>
        <v>2642582</v>
      </c>
      <c r="M15" s="29"/>
      <c r="N15" s="14"/>
    </row>
    <row r="16" spans="1:21" x14ac:dyDescent="0.35">
      <c r="A16" s="6" t="s">
        <v>48</v>
      </c>
      <c r="B16" s="6">
        <v>409760435.13</v>
      </c>
      <c r="C16" s="11">
        <f t="shared" si="1"/>
        <v>3.1681436362655281E-2</v>
      </c>
      <c r="D16" s="8">
        <f t="shared" si="2"/>
        <v>6336287.2725310558</v>
      </c>
      <c r="E16" s="7">
        <f t="shared" si="3"/>
        <v>6336287.2725310493</v>
      </c>
      <c r="G16" s="6">
        <v>8</v>
      </c>
      <c r="H16" s="6" t="s">
        <v>9</v>
      </c>
      <c r="I16" s="6">
        <v>10866370</v>
      </c>
      <c r="J16" s="8">
        <f t="shared" si="4"/>
        <v>3104677.1428571427</v>
      </c>
      <c r="M16" s="29"/>
      <c r="N16" s="14"/>
    </row>
    <row r="17" spans="1:14" x14ac:dyDescent="0.35">
      <c r="A17" s="6" t="s">
        <v>49</v>
      </c>
      <c r="B17" s="6">
        <v>445621559.39999998</v>
      </c>
      <c r="C17" s="11">
        <f t="shared" si="1"/>
        <v>3.4454109927619721E-2</v>
      </c>
      <c r="D17" s="8">
        <f t="shared" si="2"/>
        <v>6890821.9855239438</v>
      </c>
      <c r="E17" s="7">
        <f t="shared" si="3"/>
        <v>6890821.9855239373</v>
      </c>
      <c r="G17" s="6">
        <v>19</v>
      </c>
      <c r="H17" s="6" t="s">
        <v>20</v>
      </c>
      <c r="I17" s="6">
        <v>16392743</v>
      </c>
      <c r="J17" s="8">
        <f t="shared" si="4"/>
        <v>4683640.8571428573</v>
      </c>
      <c r="M17" s="29"/>
      <c r="N17" s="14"/>
    </row>
    <row r="18" spans="1:14" x14ac:dyDescent="0.35">
      <c r="A18" s="6" t="s">
        <v>50</v>
      </c>
      <c r="B18" s="6">
        <v>525991805</v>
      </c>
      <c r="C18" s="11">
        <f t="shared" si="1"/>
        <v>4.0668094009854404E-2</v>
      </c>
      <c r="D18" s="8">
        <f t="shared" si="2"/>
        <v>8133618.8019708805</v>
      </c>
      <c r="E18" s="7">
        <f t="shared" si="3"/>
        <v>8133618.8019708721</v>
      </c>
      <c r="G18" s="6">
        <v>33</v>
      </c>
      <c r="H18" s="6" t="s">
        <v>1</v>
      </c>
      <c r="I18" s="6">
        <v>18688836</v>
      </c>
      <c r="J18" s="8">
        <f t="shared" si="4"/>
        <v>5339667.4285714282</v>
      </c>
      <c r="M18" s="29"/>
      <c r="N18" s="14"/>
    </row>
    <row r="19" spans="1:14" x14ac:dyDescent="0.35">
      <c r="A19" s="6" t="s">
        <v>51</v>
      </c>
      <c r="B19" s="6">
        <v>1091748920</v>
      </c>
      <c r="C19" s="11">
        <f t="shared" si="1"/>
        <v>8.441072140604361E-2</v>
      </c>
      <c r="D19" s="8">
        <f t="shared" si="2"/>
        <v>16882144.28120872</v>
      </c>
      <c r="E19" s="7">
        <f t="shared" si="3"/>
        <v>16882144.281208701</v>
      </c>
      <c r="G19" s="6">
        <v>6</v>
      </c>
      <c r="H19" s="6" t="s">
        <v>7</v>
      </c>
      <c r="I19" s="6">
        <v>28923272</v>
      </c>
      <c r="J19" s="8">
        <f t="shared" si="4"/>
        <v>8263792</v>
      </c>
      <c r="M19" s="29"/>
      <c r="N19" s="14"/>
    </row>
    <row r="20" spans="1:14" x14ac:dyDescent="0.35">
      <c r="A20" s="6" t="s">
        <v>52</v>
      </c>
      <c r="B20" s="6">
        <v>431550346</v>
      </c>
      <c r="C20" s="11">
        <f t="shared" si="1"/>
        <v>3.3366166305791006E-2</v>
      </c>
      <c r="D20" s="8">
        <f t="shared" si="2"/>
        <v>6673233.2611582009</v>
      </c>
      <c r="E20" s="7">
        <f t="shared" si="3"/>
        <v>6673233.2611581944</v>
      </c>
      <c r="G20" s="6">
        <v>15</v>
      </c>
      <c r="H20" s="6" t="s">
        <v>16</v>
      </c>
      <c r="I20" s="6">
        <v>11972175</v>
      </c>
      <c r="J20" s="8">
        <f t="shared" si="4"/>
        <v>3420621.4285714282</v>
      </c>
      <c r="M20" s="29"/>
      <c r="N20" s="14"/>
    </row>
    <row r="21" spans="1:14" x14ac:dyDescent="0.35">
      <c r="A21" s="6" t="s">
        <v>53</v>
      </c>
      <c r="B21" s="6">
        <v>448018086</v>
      </c>
      <c r="C21" s="11">
        <f t="shared" si="1"/>
        <v>3.4639402109245855E-2</v>
      </c>
      <c r="D21" s="8">
        <f t="shared" si="2"/>
        <v>6927880.4218491707</v>
      </c>
      <c r="E21" s="7">
        <f t="shared" si="3"/>
        <v>6927880.4218491642</v>
      </c>
      <c r="G21" s="6">
        <v>12</v>
      </c>
      <c r="H21" s="6" t="s">
        <v>13</v>
      </c>
      <c r="I21" s="6">
        <v>10683248</v>
      </c>
      <c r="J21" s="8">
        <f t="shared" si="4"/>
        <v>3052356.5714285714</v>
      </c>
      <c r="M21" s="29"/>
      <c r="N21" s="14"/>
    </row>
    <row r="22" spans="1:14" x14ac:dyDescent="0.35">
      <c r="A22" s="6" t="s">
        <v>54</v>
      </c>
      <c r="B22" s="6">
        <v>1015589450.0599999</v>
      </c>
      <c r="C22" s="11">
        <f t="shared" si="1"/>
        <v>7.8522301750416842E-2</v>
      </c>
      <c r="D22" s="8">
        <f t="shared" si="2"/>
        <v>15704460.350083368</v>
      </c>
      <c r="E22" s="7">
        <f t="shared" si="3"/>
        <v>15704460.350083351</v>
      </c>
      <c r="G22" s="6">
        <v>17</v>
      </c>
      <c r="H22" s="6" t="s">
        <v>18</v>
      </c>
      <c r="I22" s="6">
        <v>25728764</v>
      </c>
      <c r="J22" s="8">
        <f t="shared" si="4"/>
        <v>7351075.4285714282</v>
      </c>
      <c r="M22" s="29"/>
      <c r="N22" s="14"/>
    </row>
    <row r="23" spans="1:14" x14ac:dyDescent="0.35">
      <c r="A23" s="6" t="s">
        <v>55</v>
      </c>
      <c r="B23" s="6">
        <v>654760958</v>
      </c>
      <c r="C23" s="11">
        <f t="shared" si="1"/>
        <v>5.0624135092611051E-2</v>
      </c>
      <c r="D23" s="8">
        <f t="shared" si="2"/>
        <v>10124827.01852221</v>
      </c>
      <c r="E23" s="7">
        <f t="shared" si="3"/>
        <v>10124827.018522199</v>
      </c>
      <c r="G23" s="6">
        <v>11</v>
      </c>
      <c r="H23" s="6" t="s">
        <v>12</v>
      </c>
      <c r="I23" s="6">
        <v>17981887</v>
      </c>
      <c r="J23" s="8">
        <f t="shared" si="4"/>
        <v>5137682</v>
      </c>
      <c r="M23" s="29"/>
      <c r="N23" s="14"/>
    </row>
    <row r="24" spans="1:14" x14ac:dyDescent="0.35">
      <c r="A24" s="6" t="s">
        <v>56</v>
      </c>
      <c r="B24" s="6">
        <v>418728997.30000001</v>
      </c>
      <c r="C24" s="11">
        <f t="shared" si="1"/>
        <v>3.2374858438808704E-2</v>
      </c>
      <c r="D24" s="8">
        <f t="shared" si="2"/>
        <v>6474971.6877617408</v>
      </c>
      <c r="E24" s="7">
        <f t="shared" si="3"/>
        <v>6474971.6877617333</v>
      </c>
      <c r="G24" s="6">
        <v>7</v>
      </c>
      <c r="H24" s="6" t="s">
        <v>8</v>
      </c>
      <c r="I24" s="6">
        <v>13139219</v>
      </c>
      <c r="J24" s="8">
        <f t="shared" si="4"/>
        <v>3754062.5714285714</v>
      </c>
      <c r="M24" s="29"/>
      <c r="N24" s="14"/>
    </row>
    <row r="25" spans="1:14" x14ac:dyDescent="0.35">
      <c r="A25" s="6" t="s">
        <v>57</v>
      </c>
      <c r="B25" s="6">
        <v>560740723</v>
      </c>
      <c r="C25" s="11">
        <f t="shared" si="1"/>
        <v>4.3354775153042029E-2</v>
      </c>
      <c r="D25" s="8">
        <f t="shared" si="2"/>
        <v>8670955.0306084063</v>
      </c>
      <c r="E25" s="7">
        <f t="shared" si="3"/>
        <v>8670955.030608397</v>
      </c>
      <c r="G25" s="6">
        <v>4</v>
      </c>
      <c r="H25" s="6" t="s">
        <v>5</v>
      </c>
      <c r="I25" s="6">
        <v>14283565</v>
      </c>
      <c r="J25" s="8">
        <f t="shared" si="4"/>
        <v>4081018.5714285714</v>
      </c>
      <c r="M25" s="29"/>
      <c r="N25" s="14"/>
    </row>
    <row r="26" spans="1:14" x14ac:dyDescent="0.35">
      <c r="A26" s="6" t="s">
        <v>58</v>
      </c>
      <c r="B26" s="6">
        <v>310895753.77999997</v>
      </c>
      <c r="C26" s="11">
        <f t="shared" si="1"/>
        <v>2.403751849706021E-2</v>
      </c>
      <c r="D26" s="8">
        <f t="shared" si="2"/>
        <v>4807503.6994120423</v>
      </c>
      <c r="E26" s="7">
        <f t="shared" si="3"/>
        <v>4807503.6994120367</v>
      </c>
      <c r="G26" s="6">
        <v>32</v>
      </c>
      <c r="H26" s="6" t="s">
        <v>0</v>
      </c>
      <c r="I26" s="6">
        <v>11759878</v>
      </c>
      <c r="J26" s="8">
        <f t="shared" si="4"/>
        <v>3359965.1428571427</v>
      </c>
      <c r="M26" s="29"/>
      <c r="N26" s="14"/>
    </row>
    <row r="27" spans="1:14" x14ac:dyDescent="0.35">
      <c r="A27" s="6" t="s">
        <v>59</v>
      </c>
      <c r="B27" s="6">
        <v>1214901300</v>
      </c>
      <c r="C27" s="11">
        <f t="shared" si="1"/>
        <v>9.3932490604286753E-2</v>
      </c>
      <c r="D27" s="8">
        <f t="shared" si="2"/>
        <v>18786498.120857351</v>
      </c>
      <c r="E27" s="7">
        <f t="shared" si="3"/>
        <v>18786498.120857328</v>
      </c>
      <c r="G27" s="6">
        <v>2</v>
      </c>
      <c r="H27" s="6" t="s">
        <v>4</v>
      </c>
      <c r="I27" s="6">
        <v>29747238</v>
      </c>
      <c r="J27" s="8">
        <f t="shared" si="4"/>
        <v>8499210.8571428563</v>
      </c>
      <c r="M27" s="29"/>
      <c r="N27" s="14"/>
    </row>
  </sheetData>
  <sortState ref="M5:N27">
    <sortCondition ref="M5:M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laskelma</vt:lpstr>
      <vt:lpstr>lainat 22-23</vt:lpstr>
      <vt:lpstr>perälauta+muutosav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Salonen Ville (VM)</cp:lastModifiedBy>
  <dcterms:created xsi:type="dcterms:W3CDTF">2023-02-10T08:38:10Z</dcterms:created>
  <dcterms:modified xsi:type="dcterms:W3CDTF">2023-06-14T11:06:25Z</dcterms:modified>
</cp:coreProperties>
</file>