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govfi.sharepoint.com/sites/VMHyvinvointialueidenlainanottovaltuuksienmuuttamisenva0ad0fb85-VNsisinen/Shared Documents/VN sisäinen/Lainanottovaltuuksien laskenta/Laskelmat/2027/"/>
    </mc:Choice>
  </mc:AlternateContent>
  <xr:revisionPtr revIDLastSave="0" documentId="8_{8F9B0EA0-47CD-426A-A554-BD6D42BFAB41}" xr6:coauthVersionLast="47" xr6:coauthVersionMax="47" xr10:uidLastSave="{00000000-0000-0000-0000-000000000000}"/>
  <bookViews>
    <workbookView xWindow="28680" yWindow="-120" windowWidth="29040" windowHeight="15720" xr2:uid="{CB4BCDFA-F36D-44E9-9528-543DB5CDFDC6}"/>
  </bookViews>
  <sheets>
    <sheet name="Alueille 2027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" l="1"/>
  <c r="F26" i="2"/>
  <c r="E26" i="2"/>
  <c r="B26" i="2"/>
  <c r="G25" i="2"/>
  <c r="D25" i="2"/>
  <c r="K25" i="2" s="1"/>
  <c r="G24" i="2"/>
  <c r="D24" i="2"/>
  <c r="K24" i="2" s="1"/>
  <c r="G23" i="2"/>
  <c r="D23" i="2"/>
  <c r="G22" i="2"/>
  <c r="D22" i="2"/>
  <c r="G21" i="2"/>
  <c r="D21" i="2"/>
  <c r="K21" i="2" s="1"/>
  <c r="G20" i="2"/>
  <c r="D20" i="2"/>
  <c r="G19" i="2"/>
  <c r="D19" i="2"/>
  <c r="G18" i="2"/>
  <c r="D18" i="2"/>
  <c r="G17" i="2"/>
  <c r="D17" i="2"/>
  <c r="G16" i="2"/>
  <c r="D16" i="2"/>
  <c r="G15" i="2"/>
  <c r="D15" i="2"/>
  <c r="K15" i="2" s="1"/>
  <c r="G14" i="2"/>
  <c r="D14" i="2"/>
  <c r="K13" i="2"/>
  <c r="G13" i="2"/>
  <c r="D13" i="2"/>
  <c r="G12" i="2"/>
  <c r="D12" i="2"/>
  <c r="G11" i="2"/>
  <c r="D11" i="2"/>
  <c r="K11" i="2" s="1"/>
  <c r="G10" i="2"/>
  <c r="D10" i="2"/>
  <c r="K10" i="2" s="1"/>
  <c r="K9" i="2"/>
  <c r="G9" i="2"/>
  <c r="D9" i="2"/>
  <c r="G8" i="2"/>
  <c r="D8" i="2"/>
  <c r="G7" i="2"/>
  <c r="D7" i="2"/>
  <c r="K7" i="2" s="1"/>
  <c r="G6" i="2"/>
  <c r="D6" i="2"/>
  <c r="G5" i="2"/>
  <c r="D5" i="2"/>
  <c r="K5" i="2" s="1"/>
  <c r="G4" i="2"/>
  <c r="D4" i="2"/>
  <c r="K17" i="2" l="1"/>
  <c r="L17" i="2" s="1"/>
  <c r="K23" i="2"/>
  <c r="L23" i="2" s="1"/>
  <c r="K12" i="2"/>
  <c r="L12" i="2" s="1"/>
  <c r="K18" i="2"/>
  <c r="K19" i="2"/>
  <c r="G26" i="2"/>
  <c r="K14" i="2"/>
  <c r="L14" i="2" s="1"/>
  <c r="K6" i="2"/>
  <c r="L6" i="2" s="1"/>
  <c r="K20" i="2"/>
  <c r="K16" i="2"/>
  <c r="L16" i="2" s="1"/>
  <c r="K8" i="2"/>
  <c r="L8" i="2" s="1"/>
  <c r="K22" i="2"/>
  <c r="L22" i="2" s="1"/>
  <c r="D26" i="2"/>
  <c r="L18" i="2"/>
  <c r="L20" i="2"/>
  <c r="L5" i="2"/>
  <c r="L7" i="2"/>
  <c r="L9" i="2"/>
  <c r="L11" i="2"/>
  <c r="L13" i="2"/>
  <c r="L15" i="2"/>
  <c r="L19" i="2"/>
  <c r="L21" i="2"/>
  <c r="L25" i="2"/>
  <c r="L10" i="2"/>
  <c r="L24" i="2"/>
  <c r="K4" i="2"/>
  <c r="L4" i="2" l="1"/>
  <c r="L26" i="2" s="1"/>
</calcChain>
</file>

<file path=xl/sharedStrings.xml><?xml version="1.0" encoding="utf-8"?>
<sst xmlns="http://schemas.openxmlformats.org/spreadsheetml/2006/main" count="46" uniqueCount="40">
  <si>
    <t>Tiedon lähde</t>
  </si>
  <si>
    <t>Talousarvio 2026</t>
  </si>
  <si>
    <t>Alueiden ilmoitus</t>
  </si>
  <si>
    <t>Laskenta</t>
  </si>
  <si>
    <t>Tilinpäätösarvio 2025</t>
  </si>
  <si>
    <t>Nimi</t>
  </si>
  <si>
    <t>VUOSIKATE</t>
  </si>
  <si>
    <t>Korjattu vuosikate</t>
  </si>
  <si>
    <t>Enimmäislainamäärä</t>
  </si>
  <si>
    <t>Lainakanta 31.12.2025</t>
  </si>
  <si>
    <t>Lainakannan muutokset (lisäys +, vähennys -)</t>
  </si>
  <si>
    <t>Lainakanta 31.12.2026</t>
  </si>
  <si>
    <t>Korjattu lainakanta 31.12.2026</t>
  </si>
  <si>
    <t>Seuraaville tilikausille siirtyvät lainanottovaltuudet 31.12.2026</t>
  </si>
  <si>
    <t>Korjattu jäljellä oleva valtuus</t>
  </si>
  <si>
    <t>Lainanottovaltuus</t>
  </si>
  <si>
    <t>Lopullinen valtuus</t>
  </si>
  <si>
    <t>Etelä-Karjalan hyvinvointialue</t>
  </si>
  <si>
    <t>Etelä-Pohjanmaan hyvinvointialue</t>
  </si>
  <si>
    <t>Etelä-Savon hyvinvointialue</t>
  </si>
  <si>
    <t>HUS-yhtymä</t>
  </si>
  <si>
    <t>Itä-Uudenmaan hyvinvointialue</t>
  </si>
  <si>
    <t>Kainuun hyvinvointialue</t>
  </si>
  <si>
    <t>Kanta-Hämeen hyvinvointialue</t>
  </si>
  <si>
    <t>Keski-Pohjanmaan hyvinvointialue</t>
  </si>
  <si>
    <t>Keski-Suomen hyvinvointialue</t>
  </si>
  <si>
    <t>Keski-Uudenmaan hyvinvointialue</t>
  </si>
  <si>
    <t>Kymenlaakson hyvinvointialue</t>
  </si>
  <si>
    <t>Lapin hyvinvointialue</t>
  </si>
  <si>
    <t>Länsi-Uudenmaan hyvinvointialue</t>
  </si>
  <si>
    <t>Pirkanmaan hyvinvointialue</t>
  </si>
  <si>
    <t>Pohjanmaan hyvinvointialue</t>
  </si>
  <si>
    <t>Pohjois-Karjalan hyvinvointialue</t>
  </si>
  <si>
    <t>Pohjois-Pohjanmaan hyvinvointialue</t>
  </si>
  <si>
    <t>Pohjois-Savon hyvinvointialue</t>
  </si>
  <si>
    <t>Päijät-Hämeen hyvinvointialue</t>
  </si>
  <si>
    <t>Satakunnan hyvinvointialue</t>
  </si>
  <si>
    <t>Vantaan ja Keravan hyvinvointialue</t>
  </si>
  <si>
    <t>Varsinais-Suomen hyvinvointialue</t>
  </si>
  <si>
    <t>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</si>
</sst>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3" fontId="0" fillId="0" borderId="0" xfId="0" applyNumberFormat="1"/>
    <xf numFmtId="0" fontId="2" fillId="0" borderId="0" xfId="0" applyFont="1"/>
    <xf numFmtId="164" fontId="2" fillId="0" borderId="0" xfId="0" applyNumberFormat="1" applyFont="1"/>
    <xf numFmtId="164" fontId="1" fillId="0" borderId="0" xfId="0" applyNumberFormat="1" applyFont="1"/>
    <xf numFmtId="0" fontId="1" fillId="0" borderId="0" xfId="0" applyFont="1"/>
  </cellXfs>
  <cellStyles count="1">
    <cellStyle name="Normaali" xfId="0" builtinId="0"/>
  </cellStyles>
  <dxfs count="20">
    <dxf>
      <numFmt numFmtId="164" formatCode="#,##0_ ;[Red]\-#,##0\ "/>
    </dxf>
    <dxf>
      <numFmt numFmtId="164" formatCode="#,##0_ ;[Red]\-#,##0\ "/>
    </dxf>
    <dxf>
      <numFmt numFmtId="164" formatCode="#,##0_ ;[Red]\-#,##0\ "/>
    </dxf>
    <dxf>
      <numFmt numFmtId="164" formatCode="#,##0_ ;[Red]\-#,##0\ "/>
    </dxf>
    <dxf>
      <numFmt numFmtId="164" formatCode="#,##0_ ;[Red]\-#,##0\ "/>
    </dxf>
    <dxf>
      <numFmt numFmtId="3" formatCode="#,##0"/>
    </dxf>
    <dxf>
      <numFmt numFmtId="164" formatCode="#,##0_ ;[Red]\-#,##0\ "/>
    </dxf>
    <dxf>
      <numFmt numFmtId="164" formatCode="#,##0_ ;[Red]\-#,##0\ "/>
    </dxf>
    <dxf>
      <numFmt numFmtId="3" formatCode="#,##0"/>
    </dxf>
    <dxf>
      <numFmt numFmtId="164" formatCode="#,##0_ ;[Red]\-#,##0\ "/>
    </dxf>
    <dxf>
      <numFmt numFmtId="3" formatCode="#,##0"/>
    </dxf>
    <dxf>
      <numFmt numFmtId="164" formatCode="#,##0_ ;[Red]\-#,##0\ "/>
    </dxf>
    <dxf>
      <numFmt numFmtId="3" formatCode="#,##0"/>
    </dxf>
    <dxf>
      <numFmt numFmtId="164" formatCode="#,##0_ ;[Red]\-#,##0\ "/>
    </dxf>
    <dxf>
      <numFmt numFmtId="3" formatCode="#,##0"/>
    </dxf>
    <dxf>
      <numFmt numFmtId="164" formatCode="#,##0_ ;[Red]\-#,##0\ "/>
    </dxf>
    <dxf>
      <numFmt numFmtId="164" formatCode="#,##0_ ;[Red]\-#,##0\ "/>
    </dxf>
    <dxf>
      <numFmt numFmtId="3" formatCode="#,##0"/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777DF6-6796-408F-B1F9-C0F26177AA8C}" name="Table5" displayName="Table5" ref="A3:L26" totalsRowCount="1" headerRowDxfId="18">
  <autoFilter ref="A3:L25" xr:uid="{7E6A6938-9D4A-42CE-B72D-CEAA104605BD}"/>
  <tableColumns count="12">
    <tableColumn id="1" xr3:uid="{2974647F-0812-48AD-872D-FFCC56051A8A}" name="Nimi" totalsRowLabel="Yhteensä"/>
    <tableColumn id="2" xr3:uid="{BAA64B89-9288-48A6-9500-70D943377009}" name="VUOSIKATE" totalsRowFunction="sum" dataDxfId="16" totalsRowDxfId="17"/>
    <tableColumn id="3" xr3:uid="{01A74119-5377-46B2-8359-F5A4595D528C}" name="Korjattu vuosikate" dataDxfId="15"/>
    <tableColumn id="4" xr3:uid="{50EDB892-6F21-4709-9580-D19F653E79B0}" name="Enimmäislainamäärä" totalsRowFunction="sum" dataDxfId="13" totalsRowDxfId="14">
      <calculatedColumnFormula>IF(ISBLANK(Table5[[#This Row],[Korjattu vuosikate]]),Table5[[#This Row],[VUOSIKATE]]*10,Table5[[#This Row],[Korjattu vuosikate]]*10)</calculatedColumnFormula>
    </tableColumn>
    <tableColumn id="5" xr3:uid="{C205935F-3541-459B-AD5E-9BE9DC19419F}" name="Lainakanta 31.12.2025" totalsRowFunction="sum" dataDxfId="11" totalsRowDxfId="12"/>
    <tableColumn id="6" xr3:uid="{80C9A306-E2F8-49D4-9E47-FA1746D165DF}" name="Lainakannan muutokset (lisäys +, vähennys -)" totalsRowFunction="sum" dataDxfId="9" totalsRowDxfId="10"/>
    <tableColumn id="7" xr3:uid="{A54BC545-09DE-41B0-B74E-B80F5F43AEFF}" name="Lainakanta 31.12.2026" totalsRowFunction="sum" dataDxfId="7" totalsRowDxfId="8">
      <calculatedColumnFormula>Table5[[#This Row],[Lainakanta 31.12.2025]]+Table5[[#This Row],[Lainakannan muutokset (lisäys +, vähennys -)]]</calculatedColumnFormula>
    </tableColumn>
    <tableColumn id="12" xr3:uid="{E46D3466-F20B-4D75-8ECC-DB79DF2A8F78}" name="Korjattu lainakanta 31.12.2026" dataDxfId="6"/>
    <tableColumn id="13" xr3:uid="{910D9722-D46C-49C8-AD81-24BD1B05322B}" name="Seuraaville tilikausille siirtyvät lainanottovaltuudet 31.12.2026" totalsRowFunction="sum" dataDxfId="4" totalsRowDxfId="5"/>
    <tableColumn id="14" xr3:uid="{A7321732-4622-416D-B37B-623AFA0777E7}" name="Korjattu jäljellä oleva valtuus" dataDxfId="3"/>
    <tableColumn id="15" xr3:uid="{C56576C5-F9BE-40E7-8E38-C96C53A3AC2B}" name="Lainanottovaltuus" dataDxfId="2">
      <calculatedColumnFormula>(Table5[[#This Row],[Enimmäislainamäärä]]-IF(ISBLANK(Table5[[#This Row],[Korjattu lainakanta 31.12.2026]]),Table5[[#This Row],[Lainakanta 31.12.2026]],Table5[[#This Row],[Korjattu lainakanta 31.12.2026]]))-IF(ISBLANK(Table5[[#This Row],[Korjattu jäljellä oleva valtuus]]),Table5[[#This Row],[Seuraaville tilikausille siirtyvät lainanottovaltuudet 31.12.2026]],Table5[[#This Row],[Korjattu jäljellä oleva valtuus]])</calculatedColumnFormula>
    </tableColumn>
    <tableColumn id="16" xr3:uid="{1242DD48-C298-4871-A40B-9A8D6A1C4087}" name="Lopullinen valtuus" totalsRowFunction="sum" dataDxfId="0" totalsRowDxfId="1">
      <calculatedColumnFormula>IF(Table5[[#This Row],[Lainanottovaltuus]]&lt;0,0,Table5[[#This Row],[Lainanottovaltuus]])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C711E-4199-4D53-8B09-E9DF9A0F6E9F}">
  <dimension ref="A2:Q31"/>
  <sheetViews>
    <sheetView tabSelected="1" zoomScaleNormal="100" workbookViewId="0">
      <pane xSplit="1" topLeftCell="B1" activePane="topRight" state="frozen"/>
      <selection pane="topRight" activeCell="A29" sqref="A29"/>
    </sheetView>
  </sheetViews>
  <sheetFormatPr defaultRowHeight="14.45"/>
  <cols>
    <col min="1" max="1" width="30.42578125" customWidth="1"/>
    <col min="2" max="2" width="17.42578125" bestFit="1" customWidth="1"/>
    <col min="3" max="3" width="17.85546875" bestFit="1" customWidth="1"/>
    <col min="4" max="4" width="21.5703125" customWidth="1"/>
    <col min="5" max="5" width="21.140625" bestFit="1" customWidth="1"/>
    <col min="6" max="6" width="20.5703125" bestFit="1" customWidth="1"/>
    <col min="7" max="7" width="23.5703125" customWidth="1"/>
    <col min="8" max="8" width="17.42578125" customWidth="1"/>
    <col min="9" max="9" width="23.42578125" customWidth="1"/>
    <col min="10" max="10" width="16.5703125" customWidth="1"/>
    <col min="11" max="11" width="18.140625" customWidth="1"/>
    <col min="12" max="12" width="20" customWidth="1"/>
    <col min="13" max="13" width="11.42578125" bestFit="1" customWidth="1"/>
  </cols>
  <sheetData>
    <row r="2" spans="1:12">
      <c r="A2" t="s">
        <v>0</v>
      </c>
      <c r="B2" t="s">
        <v>1</v>
      </c>
      <c r="C2" t="s">
        <v>2</v>
      </c>
      <c r="D2" t="s">
        <v>3</v>
      </c>
      <c r="E2" s="1" t="s">
        <v>4</v>
      </c>
      <c r="F2" t="s">
        <v>1</v>
      </c>
      <c r="G2" t="s">
        <v>3</v>
      </c>
      <c r="H2" t="s">
        <v>2</v>
      </c>
      <c r="I2" t="s">
        <v>1</v>
      </c>
      <c r="J2" t="s">
        <v>2</v>
      </c>
      <c r="K2" t="s">
        <v>3</v>
      </c>
    </row>
    <row r="3" spans="1:12" s="1" customFormat="1" ht="69.599999999999994" customHeight="1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</row>
    <row r="4" spans="1:12">
      <c r="A4" t="s">
        <v>17</v>
      </c>
      <c r="B4" s="2">
        <v>12027212.119999999</v>
      </c>
      <c r="C4" s="2"/>
      <c r="D4" s="2">
        <f>IF(ISBLANK(Table5[[#This Row],[Korjattu vuosikate]]),Table5[[#This Row],[VUOSIKATE]]*10,Table5[[#This Row],[Korjattu vuosikate]]*10)</f>
        <v>120272121.19999999</v>
      </c>
      <c r="E4" s="2">
        <v>127583840.18000001</v>
      </c>
      <c r="F4" s="2">
        <v>31527900</v>
      </c>
      <c r="G4" s="2">
        <f>Table5[[#This Row],[Lainakanta 31.12.2025]]+Table5[[#This Row],[Lainakannan muutokset (lisäys +, vähennys -)]]</f>
        <v>159111740.18000001</v>
      </c>
      <c r="H4" s="2"/>
      <c r="I4" s="2">
        <v>102000200</v>
      </c>
      <c r="J4" s="2"/>
      <c r="K4" s="2">
        <f>(Table5[[#This Row],[Enimmäislainamäärä]]-IF(ISBLANK(Table5[[#This Row],[Korjattu lainakanta 31.12.2026]]),Table5[[#This Row],[Lainakanta 31.12.2026]],Table5[[#This Row],[Korjattu lainakanta 31.12.2026]]))-IF(ISBLANK(Table5[[#This Row],[Korjattu jäljellä oleva valtuus]]),Table5[[#This Row],[Seuraaville tilikausille siirtyvät lainanottovaltuudet 31.12.2026]],Table5[[#This Row],[Korjattu jäljellä oleva valtuus]])</f>
        <v>-140839818.98000002</v>
      </c>
      <c r="L4" s="2">
        <f>IF(Table5[[#This Row],[Lainanottovaltuus]]&lt;0,0,Table5[[#This Row],[Lainanottovaltuus]])</f>
        <v>0</v>
      </c>
    </row>
    <row r="5" spans="1:12">
      <c r="A5" t="s">
        <v>18</v>
      </c>
      <c r="B5" s="2">
        <v>43355800</v>
      </c>
      <c r="C5" s="2"/>
      <c r="D5" s="2">
        <f>IF(ISBLANK(Table5[[#This Row],[Korjattu vuosikate]]),Table5[[#This Row],[VUOSIKATE]]*10,Table5[[#This Row],[Korjattu vuosikate]]*10)</f>
        <v>433558000</v>
      </c>
      <c r="E5" s="2">
        <v>195186182.06</v>
      </c>
      <c r="F5" s="2">
        <v>-1386257</v>
      </c>
      <c r="G5" s="2">
        <f>Table5[[#This Row],[Lainakanta 31.12.2025]]+Table5[[#This Row],[Lainakannan muutokset (lisäys +, vähennys -)]]</f>
        <v>193799925.06</v>
      </c>
      <c r="H5" s="2"/>
      <c r="I5" s="2">
        <v>42217272.57</v>
      </c>
      <c r="J5" s="2">
        <v>46167000</v>
      </c>
      <c r="K5" s="2">
        <f>(Table5[[#This Row],[Enimmäislainamäärä]]-IF(ISBLANK(Table5[[#This Row],[Korjattu lainakanta 31.12.2026]]),Table5[[#This Row],[Lainakanta 31.12.2026]],Table5[[#This Row],[Korjattu lainakanta 31.12.2026]]))-IF(ISBLANK(Table5[[#This Row],[Korjattu jäljellä oleva valtuus]]),Table5[[#This Row],[Seuraaville tilikausille siirtyvät lainanottovaltuudet 31.12.2026]],Table5[[#This Row],[Korjattu jäljellä oleva valtuus]])</f>
        <v>193591074.94</v>
      </c>
      <c r="L5" s="2">
        <f>IF(Table5[[#This Row],[Lainanottovaltuus]]&lt;0,0,Table5[[#This Row],[Lainanottovaltuus]])</f>
        <v>193591074.94</v>
      </c>
    </row>
    <row r="6" spans="1:12">
      <c r="A6" t="s">
        <v>19</v>
      </c>
      <c r="B6" s="2">
        <v>26262298.66</v>
      </c>
      <c r="C6" s="2"/>
      <c r="D6" s="2">
        <f>IF(ISBLANK(Table5[[#This Row],[Korjattu vuosikate]]),Table5[[#This Row],[VUOSIKATE]]*10,Table5[[#This Row],[Korjattu vuosikate]]*10)</f>
        <v>262622986.59999999</v>
      </c>
      <c r="E6" s="2">
        <v>173119957.43000001</v>
      </c>
      <c r="F6" s="2">
        <v>9141000</v>
      </c>
      <c r="G6" s="2">
        <f>Table5[[#This Row],[Lainakanta 31.12.2025]]+Table5[[#This Row],[Lainakannan muutokset (lisäys +, vähennys -)]]</f>
        <v>182260957.43000001</v>
      </c>
      <c r="H6" s="2"/>
      <c r="I6" s="2">
        <v>66154179.729999997</v>
      </c>
      <c r="J6" s="2"/>
      <c r="K6" s="2">
        <f>(Table5[[#This Row],[Enimmäislainamäärä]]-IF(ISBLANK(Table5[[#This Row],[Korjattu lainakanta 31.12.2026]]),Table5[[#This Row],[Lainakanta 31.12.2026]],Table5[[#This Row],[Korjattu lainakanta 31.12.2026]]))-IF(ISBLANK(Table5[[#This Row],[Korjattu jäljellä oleva valtuus]]),Table5[[#This Row],[Seuraaville tilikausille siirtyvät lainanottovaltuudet 31.12.2026]],Table5[[#This Row],[Korjattu jäljellä oleva valtuus]])</f>
        <v>14207849.43999999</v>
      </c>
      <c r="L6" s="2">
        <f>IF(Table5[[#This Row],[Lainanottovaltuus]]&lt;0,0,Table5[[#This Row],[Lainanottovaltuus]])</f>
        <v>14207849.43999999</v>
      </c>
    </row>
    <row r="7" spans="1:12" ht="15" customHeight="1">
      <c r="A7" s="1" t="s">
        <v>20</v>
      </c>
      <c r="B7" s="2">
        <v>129845155.45</v>
      </c>
      <c r="C7" s="2"/>
      <c r="D7" s="2">
        <f>IF(ISBLANK(Table5[[#This Row],[Korjattu vuosikate]]),Table5[[#This Row],[VUOSIKATE]]*10,Table5[[#This Row],[Korjattu vuosikate]]*10)</f>
        <v>1298451554.5</v>
      </c>
      <c r="E7" s="2">
        <v>1085816616.3099999</v>
      </c>
      <c r="F7" s="2">
        <v>75812987.019999996</v>
      </c>
      <c r="G7" s="2">
        <f>Table5[[#This Row],[Lainakanta 31.12.2025]]+Table5[[#This Row],[Lainakannan muutokset (lisäys +, vähennys -)]]</f>
        <v>1161629603.3299999</v>
      </c>
      <c r="H7" s="2"/>
      <c r="I7" s="2">
        <v>844638000</v>
      </c>
      <c r="J7" s="2">
        <v>867339000</v>
      </c>
      <c r="K7" s="2">
        <f>(Table5[[#This Row],[Enimmäislainamäärä]]-IF(ISBLANK(Table5[[#This Row],[Korjattu lainakanta 31.12.2026]]),Table5[[#This Row],[Lainakanta 31.12.2026]],Table5[[#This Row],[Korjattu lainakanta 31.12.2026]]))-IF(ISBLANK(Table5[[#This Row],[Korjattu jäljellä oleva valtuus]]),Table5[[#This Row],[Seuraaville tilikausille siirtyvät lainanottovaltuudet 31.12.2026]],Table5[[#This Row],[Korjattu jäljellä oleva valtuus]])</f>
        <v>-730517048.82999992</v>
      </c>
      <c r="L7" s="2">
        <f>IF(Table5[[#This Row],[Lainanottovaltuus]]&lt;0,0,Table5[[#This Row],[Lainanottovaltuus]])</f>
        <v>0</v>
      </c>
    </row>
    <row r="8" spans="1:12">
      <c r="A8" t="s">
        <v>21</v>
      </c>
      <c r="B8" s="2">
        <v>-7237815.8499999996</v>
      </c>
      <c r="C8" s="2"/>
      <c r="D8" s="2">
        <f>IF(ISBLANK(Table5[[#This Row],[Korjattu vuosikate]]),Table5[[#This Row],[VUOSIKATE]]*10,Table5[[#This Row],[Korjattu vuosikate]]*10)</f>
        <v>-72378158.5</v>
      </c>
      <c r="E8" s="2">
        <v>86200000</v>
      </c>
      <c r="F8" s="2">
        <v>14915000</v>
      </c>
      <c r="G8" s="2">
        <f>Table5[[#This Row],[Lainakanta 31.12.2025]]+Table5[[#This Row],[Lainakannan muutokset (lisäys +, vähennys -)]]</f>
        <v>101115000</v>
      </c>
      <c r="H8" s="2"/>
      <c r="I8" s="2">
        <v>8305659</v>
      </c>
      <c r="J8" s="2"/>
      <c r="K8" s="2">
        <f>(Table5[[#This Row],[Enimmäislainamäärä]]-IF(ISBLANK(Table5[[#This Row],[Korjattu lainakanta 31.12.2026]]),Table5[[#This Row],[Lainakanta 31.12.2026]],Table5[[#This Row],[Korjattu lainakanta 31.12.2026]]))-IF(ISBLANK(Table5[[#This Row],[Korjattu jäljellä oleva valtuus]]),Table5[[#This Row],[Seuraaville tilikausille siirtyvät lainanottovaltuudet 31.12.2026]],Table5[[#This Row],[Korjattu jäljellä oleva valtuus]])</f>
        <v>-181798817.5</v>
      </c>
      <c r="L8" s="2">
        <f>IF(Table5[[#This Row],[Lainanottovaltuus]]&lt;0,0,Table5[[#This Row],[Lainanottovaltuus]])</f>
        <v>0</v>
      </c>
    </row>
    <row r="9" spans="1:12">
      <c r="A9" t="s">
        <v>22</v>
      </c>
      <c r="B9" s="2">
        <v>19106909.390000001</v>
      </c>
      <c r="C9" s="2">
        <v>21622805</v>
      </c>
      <c r="D9" s="2">
        <f>IF(ISBLANK(Table5[[#This Row],[Korjattu vuosikate]]),Table5[[#This Row],[VUOSIKATE]]*10,Table5[[#This Row],[Korjattu vuosikate]]*10)</f>
        <v>216228050</v>
      </c>
      <c r="E9" s="2">
        <v>142062792.65000001</v>
      </c>
      <c r="F9" s="2">
        <v>-8074486.7999999998</v>
      </c>
      <c r="G9" s="2">
        <f>Table5[[#This Row],[Lainakanta 31.12.2025]]+Table5[[#This Row],[Lainakannan muutokset (lisäys +, vähennys -)]]</f>
        <v>133988305.85000001</v>
      </c>
      <c r="H9" s="2">
        <v>144721793</v>
      </c>
      <c r="I9" s="2">
        <v>4700000</v>
      </c>
      <c r="J9" s="2">
        <v>11516682</v>
      </c>
      <c r="K9" s="2">
        <f>(Table5[[#This Row],[Enimmäislainamäärä]]-IF(ISBLANK(Table5[[#This Row],[Korjattu lainakanta 31.12.2026]]),Table5[[#This Row],[Lainakanta 31.12.2026]],Table5[[#This Row],[Korjattu lainakanta 31.12.2026]]))-IF(ISBLANK(Table5[[#This Row],[Korjattu jäljellä oleva valtuus]]),Table5[[#This Row],[Seuraaville tilikausille siirtyvät lainanottovaltuudet 31.12.2026]],Table5[[#This Row],[Korjattu jäljellä oleva valtuus]])</f>
        <v>59989575</v>
      </c>
      <c r="L9" s="2">
        <f>IF(Table5[[#This Row],[Lainanottovaltuus]]&lt;0,0,Table5[[#This Row],[Lainanottovaltuus]])</f>
        <v>59989575</v>
      </c>
    </row>
    <row r="10" spans="1:12">
      <c r="A10" t="s">
        <v>23</v>
      </c>
      <c r="B10" s="2">
        <v>112419599</v>
      </c>
      <c r="C10" s="2"/>
      <c r="D10" s="2">
        <f>IF(ISBLANK(Table5[[#This Row],[Korjattu vuosikate]]),Table5[[#This Row],[VUOSIKATE]]*10,Table5[[#This Row],[Korjattu vuosikate]]*10)</f>
        <v>1124195990</v>
      </c>
      <c r="E10" s="2">
        <v>464798905.49000001</v>
      </c>
      <c r="F10" s="2">
        <v>-2753000</v>
      </c>
      <c r="G10" s="2">
        <f>Table5[[#This Row],[Lainakanta 31.12.2025]]+Table5[[#This Row],[Lainakannan muutokset (lisäys +, vähennys -)]]</f>
        <v>462045905.49000001</v>
      </c>
      <c r="H10" s="2">
        <v>459759050</v>
      </c>
      <c r="I10" s="2">
        <v>46019085</v>
      </c>
      <c r="J10" s="2"/>
      <c r="K10" s="2">
        <f>(Table5[[#This Row],[Enimmäislainamäärä]]-IF(ISBLANK(Table5[[#This Row],[Korjattu lainakanta 31.12.2026]]),Table5[[#This Row],[Lainakanta 31.12.2026]],Table5[[#This Row],[Korjattu lainakanta 31.12.2026]]))-IF(ISBLANK(Table5[[#This Row],[Korjattu jäljellä oleva valtuus]]),Table5[[#This Row],[Seuraaville tilikausille siirtyvät lainanottovaltuudet 31.12.2026]],Table5[[#This Row],[Korjattu jäljellä oleva valtuus]])</f>
        <v>618417855</v>
      </c>
      <c r="L10" s="2">
        <f>IF(Table5[[#This Row],[Lainanottovaltuus]]&lt;0,0,Table5[[#This Row],[Lainanottovaltuus]])</f>
        <v>618417855</v>
      </c>
    </row>
    <row r="11" spans="1:12">
      <c r="A11" t="s">
        <v>24</v>
      </c>
      <c r="B11" s="2">
        <v>13823086</v>
      </c>
      <c r="C11" s="2"/>
      <c r="D11" s="2">
        <f>IF(ISBLANK(Table5[[#This Row],[Korjattu vuosikate]]),Table5[[#This Row],[VUOSIKATE]]*10,Table5[[#This Row],[Korjattu vuosikate]]*10)</f>
        <v>138230860</v>
      </c>
      <c r="E11" s="2">
        <v>72524115</v>
      </c>
      <c r="F11" s="2">
        <v>15396000</v>
      </c>
      <c r="G11" s="2">
        <f>Table5[[#This Row],[Lainakanta 31.12.2025]]+Table5[[#This Row],[Lainakannan muutokset (lisäys +, vähennys -)]]</f>
        <v>87920115</v>
      </c>
      <c r="H11" s="3">
        <v>92220115</v>
      </c>
      <c r="I11" s="2">
        <v>1892739</v>
      </c>
      <c r="J11" s="2">
        <v>8000000</v>
      </c>
      <c r="K11" s="2">
        <f>(Table5[[#This Row],[Enimmäislainamäärä]]-IF(ISBLANK(Table5[[#This Row],[Korjattu lainakanta 31.12.2026]]),Table5[[#This Row],[Lainakanta 31.12.2026]],Table5[[#This Row],[Korjattu lainakanta 31.12.2026]]))-IF(ISBLANK(Table5[[#This Row],[Korjattu jäljellä oleva valtuus]]),Table5[[#This Row],[Seuraaville tilikausille siirtyvät lainanottovaltuudet 31.12.2026]],Table5[[#This Row],[Korjattu jäljellä oleva valtuus]])</f>
        <v>38010745</v>
      </c>
      <c r="L11" s="2">
        <f>IF(Table5[[#This Row],[Lainanottovaltuus]]&lt;0,0,Table5[[#This Row],[Lainanottovaltuus]])</f>
        <v>38010745</v>
      </c>
    </row>
    <row r="12" spans="1:12">
      <c r="A12" t="s">
        <v>25</v>
      </c>
      <c r="B12" s="2">
        <v>27876583</v>
      </c>
      <c r="C12" s="2"/>
      <c r="D12" s="2">
        <f>IF(ISBLANK(Table5[[#This Row],[Korjattu vuosikate]]),Table5[[#This Row],[VUOSIKATE]]*10,Table5[[#This Row],[Korjattu vuosikate]]*10)</f>
        <v>278765830</v>
      </c>
      <c r="E12" s="2">
        <v>610350345</v>
      </c>
      <c r="F12" s="2">
        <v>-36062175</v>
      </c>
      <c r="G12" s="2">
        <f>Table5[[#This Row],[Lainakanta 31.12.2025]]+Table5[[#This Row],[Lainakannan muutokset (lisäys +, vähennys -)]]</f>
        <v>574288170</v>
      </c>
      <c r="H12" s="2"/>
      <c r="I12" s="2">
        <v>31600000</v>
      </c>
      <c r="J12" s="2"/>
      <c r="K12" s="2">
        <f>(Table5[[#This Row],[Enimmäislainamäärä]]-IF(ISBLANK(Table5[[#This Row],[Korjattu lainakanta 31.12.2026]]),Table5[[#This Row],[Lainakanta 31.12.2026]],Table5[[#This Row],[Korjattu lainakanta 31.12.2026]]))-IF(ISBLANK(Table5[[#This Row],[Korjattu jäljellä oleva valtuus]]),Table5[[#This Row],[Seuraaville tilikausille siirtyvät lainanottovaltuudet 31.12.2026]],Table5[[#This Row],[Korjattu jäljellä oleva valtuus]])</f>
        <v>-327122340</v>
      </c>
      <c r="L12" s="2">
        <f>IF(Table5[[#This Row],[Lainanottovaltuus]]&lt;0,0,Table5[[#This Row],[Lainanottovaltuus]])</f>
        <v>0</v>
      </c>
    </row>
    <row r="13" spans="1:12">
      <c r="A13" t="s">
        <v>26</v>
      </c>
      <c r="B13" s="2">
        <v>9048778</v>
      </c>
      <c r="C13" s="2"/>
      <c r="D13" s="2">
        <f>IF(ISBLANK(Table5[[#This Row],[Korjattu vuosikate]]),Table5[[#This Row],[VUOSIKATE]]*10,Table5[[#This Row],[Korjattu vuosikate]]*10)</f>
        <v>90487780</v>
      </c>
      <c r="E13" s="2">
        <v>90440431.090000004</v>
      </c>
      <c r="F13" s="2">
        <v>19111221</v>
      </c>
      <c r="G13" s="2">
        <f>Table5[[#This Row],[Lainakanta 31.12.2025]]+Table5[[#This Row],[Lainakannan muutokset (lisäys +, vähennys -)]]</f>
        <v>109551652.09</v>
      </c>
      <c r="H13" s="2"/>
      <c r="I13" s="2">
        <v>100900720</v>
      </c>
      <c r="J13" s="2"/>
      <c r="K13" s="2">
        <f>(Table5[[#This Row],[Enimmäislainamäärä]]-IF(ISBLANK(Table5[[#This Row],[Korjattu lainakanta 31.12.2026]]),Table5[[#This Row],[Lainakanta 31.12.2026]],Table5[[#This Row],[Korjattu lainakanta 31.12.2026]]))-IF(ISBLANK(Table5[[#This Row],[Korjattu jäljellä oleva valtuus]]),Table5[[#This Row],[Seuraaville tilikausille siirtyvät lainanottovaltuudet 31.12.2026]],Table5[[#This Row],[Korjattu jäljellä oleva valtuus]])</f>
        <v>-119964592.09</v>
      </c>
      <c r="L13" s="2">
        <f>IF(Table5[[#This Row],[Lainanottovaltuus]]&lt;0,0,Table5[[#This Row],[Lainanottovaltuus]])</f>
        <v>0</v>
      </c>
    </row>
    <row r="14" spans="1:12">
      <c r="A14" t="s">
        <v>27</v>
      </c>
      <c r="B14" s="2">
        <v>-24140068.960000001</v>
      </c>
      <c r="C14" s="2"/>
      <c r="D14" s="2">
        <f>IF(ISBLANK(Table5[[#This Row],[Korjattu vuosikate]]),Table5[[#This Row],[VUOSIKATE]]*10,Table5[[#This Row],[Korjattu vuosikate]]*10)</f>
        <v>-241400689.60000002</v>
      </c>
      <c r="E14" s="2">
        <v>163403032.50999999</v>
      </c>
      <c r="F14" s="2">
        <v>29268000</v>
      </c>
      <c r="G14" s="2">
        <f>Table5[[#This Row],[Lainakanta 31.12.2025]]+Table5[[#This Row],[Lainakannan muutokset (lisäys +, vähennys -)]]</f>
        <v>192671032.50999999</v>
      </c>
      <c r="H14" s="2"/>
      <c r="I14" s="2">
        <v>132226118.2</v>
      </c>
      <c r="J14" s="2"/>
      <c r="K14" s="2">
        <f>(Table5[[#This Row],[Enimmäislainamäärä]]-IF(ISBLANK(Table5[[#This Row],[Korjattu lainakanta 31.12.2026]]),Table5[[#This Row],[Lainakanta 31.12.2026]],Table5[[#This Row],[Korjattu lainakanta 31.12.2026]]))-IF(ISBLANK(Table5[[#This Row],[Korjattu jäljellä oleva valtuus]]),Table5[[#This Row],[Seuraaville tilikausille siirtyvät lainanottovaltuudet 31.12.2026]],Table5[[#This Row],[Korjattu jäljellä oleva valtuus]])</f>
        <v>-566297840.31000006</v>
      </c>
      <c r="L14" s="2">
        <f>IF(Table5[[#This Row],[Lainanottovaltuus]]&lt;0,0,Table5[[#This Row],[Lainanottovaltuus]])</f>
        <v>0</v>
      </c>
    </row>
    <row r="15" spans="1:12">
      <c r="A15" t="s">
        <v>28</v>
      </c>
      <c r="B15" s="2">
        <v>14811028.52</v>
      </c>
      <c r="C15" s="2"/>
      <c r="D15" s="2">
        <f>IF(ISBLANK(Table5[[#This Row],[Korjattu vuosikate]]),Table5[[#This Row],[VUOSIKATE]]*10,Table5[[#This Row],[Korjattu vuosikate]]*10)</f>
        <v>148110285.19999999</v>
      </c>
      <c r="E15" s="2">
        <v>347382322.32999998</v>
      </c>
      <c r="F15" s="2">
        <v>55374750</v>
      </c>
      <c r="G15" s="2">
        <f>Table5[[#This Row],[Lainakanta 31.12.2025]]+Table5[[#This Row],[Lainakannan muutokset (lisäys +, vähennys -)]]</f>
        <v>402757072.32999998</v>
      </c>
      <c r="H15" s="2"/>
      <c r="I15" s="2">
        <v>74294073.200000003</v>
      </c>
      <c r="J15" s="2"/>
      <c r="K15" s="2">
        <f>(Table5[[#This Row],[Enimmäislainamäärä]]-IF(ISBLANK(Table5[[#This Row],[Korjattu lainakanta 31.12.2026]]),Table5[[#This Row],[Lainakanta 31.12.2026]],Table5[[#This Row],[Korjattu lainakanta 31.12.2026]]))-IF(ISBLANK(Table5[[#This Row],[Korjattu jäljellä oleva valtuus]]),Table5[[#This Row],[Seuraaville tilikausille siirtyvät lainanottovaltuudet 31.12.2026]],Table5[[#This Row],[Korjattu jäljellä oleva valtuus]])</f>
        <v>-328940860.32999998</v>
      </c>
      <c r="L15" s="2">
        <f>IF(Table5[[#This Row],[Lainanottovaltuus]]&lt;0,0,Table5[[#This Row],[Lainanottovaltuus]])</f>
        <v>0</v>
      </c>
    </row>
    <row r="16" spans="1:12">
      <c r="A16" s="4" t="s">
        <v>29</v>
      </c>
      <c r="B16" s="5">
        <v>69153692.780000001</v>
      </c>
      <c r="C16" s="5"/>
      <c r="D16" s="2">
        <f>IF(ISBLANK(Table5[[#This Row],[Korjattu vuosikate]]),Table5[[#This Row],[VUOSIKATE]]*10,Table5[[#This Row],[Korjattu vuosikate]]*10)</f>
        <v>691536927.79999995</v>
      </c>
      <c r="E16" s="5">
        <v>985182</v>
      </c>
      <c r="F16" s="5">
        <v>-69000</v>
      </c>
      <c r="G16" s="2">
        <f>Table5[[#This Row],[Lainakanta 31.12.2025]]+Table5[[#This Row],[Lainakannan muutokset (lisäys +, vähennys -)]]</f>
        <v>916182</v>
      </c>
      <c r="H16" s="2"/>
      <c r="I16" s="2">
        <v>11650000</v>
      </c>
      <c r="J16" s="2"/>
      <c r="K16" s="2">
        <f>(Table5[[#This Row],[Enimmäislainamäärä]]-IF(ISBLANK(Table5[[#This Row],[Korjattu lainakanta 31.12.2026]]),Table5[[#This Row],[Lainakanta 31.12.2026]],Table5[[#This Row],[Korjattu lainakanta 31.12.2026]]))-IF(ISBLANK(Table5[[#This Row],[Korjattu jäljellä oleva valtuus]]),Table5[[#This Row],[Seuraaville tilikausille siirtyvät lainanottovaltuudet 31.12.2026]],Table5[[#This Row],[Korjattu jäljellä oleva valtuus]])</f>
        <v>678970745.79999995</v>
      </c>
      <c r="L16" s="2">
        <f>IF(Table5[[#This Row],[Lainanottovaltuus]]&lt;0,0,Table5[[#This Row],[Lainanottovaltuus]])</f>
        <v>678970745.79999995</v>
      </c>
    </row>
    <row r="17" spans="1:17">
      <c r="A17" t="s">
        <v>30</v>
      </c>
      <c r="B17" s="2">
        <v>132909401.43000001</v>
      </c>
      <c r="C17" s="2"/>
      <c r="D17" s="2">
        <f>IF(ISBLANK(Table5[[#This Row],[Korjattu vuosikate]]),Table5[[#This Row],[VUOSIKATE]]*10,Table5[[#This Row],[Korjattu vuosikate]]*10)</f>
        <v>1329094014.3000002</v>
      </c>
      <c r="E17" s="2">
        <v>506960526.87</v>
      </c>
      <c r="F17" s="2">
        <v>40776000</v>
      </c>
      <c r="G17" s="2">
        <f>Table5[[#This Row],[Lainakanta 31.12.2025]]+Table5[[#This Row],[Lainakannan muutokset (lisäys +, vähennys -)]]</f>
        <v>547736526.87</v>
      </c>
      <c r="H17" s="2"/>
      <c r="I17" s="2">
        <v>793459000</v>
      </c>
      <c r="J17" s="3">
        <v>815409000</v>
      </c>
      <c r="K17" s="2">
        <f>(Table5[[#This Row],[Enimmäislainamäärä]]-IF(ISBLANK(Table5[[#This Row],[Korjattu lainakanta 31.12.2026]]),Table5[[#This Row],[Lainakanta 31.12.2026]],Table5[[#This Row],[Korjattu lainakanta 31.12.2026]]))-IF(ISBLANK(Table5[[#This Row],[Korjattu jäljellä oleva valtuus]]),Table5[[#This Row],[Seuraaville tilikausille siirtyvät lainanottovaltuudet 31.12.2026]],Table5[[#This Row],[Korjattu jäljellä oleva valtuus]])</f>
        <v>-34051512.569999814</v>
      </c>
      <c r="L17" s="2">
        <f>IF(Table5[[#This Row],[Lainanottovaltuus]]&lt;0,0,Table5[[#This Row],[Lainanottovaltuus]])</f>
        <v>0</v>
      </c>
    </row>
    <row r="18" spans="1:17">
      <c r="A18" t="s">
        <v>31</v>
      </c>
      <c r="B18" s="2">
        <v>70803823</v>
      </c>
      <c r="C18" s="2"/>
      <c r="D18" s="2">
        <f>IF(ISBLANK(Table5[[#This Row],[Korjattu vuosikate]]),Table5[[#This Row],[VUOSIKATE]]*10,Table5[[#This Row],[Korjattu vuosikate]]*10)</f>
        <v>708038230</v>
      </c>
      <c r="E18" s="2">
        <v>189595017.94999999</v>
      </c>
      <c r="F18" s="2">
        <v>15560000</v>
      </c>
      <c r="G18" s="2">
        <f>Table5[[#This Row],[Lainakanta 31.12.2025]]+Table5[[#This Row],[Lainakannan muutokset (lisäys +, vähennys -)]]</f>
        <v>205155017.94999999</v>
      </c>
      <c r="H18" s="2"/>
      <c r="I18" s="2">
        <v>59800000</v>
      </c>
      <c r="J18" s="2"/>
      <c r="K18" s="2">
        <f>(Table5[[#This Row],[Enimmäislainamäärä]]-IF(ISBLANK(Table5[[#This Row],[Korjattu lainakanta 31.12.2026]]),Table5[[#This Row],[Lainakanta 31.12.2026]],Table5[[#This Row],[Korjattu lainakanta 31.12.2026]]))-IF(ISBLANK(Table5[[#This Row],[Korjattu jäljellä oleva valtuus]]),Table5[[#This Row],[Seuraaville tilikausille siirtyvät lainanottovaltuudet 31.12.2026]],Table5[[#This Row],[Korjattu jäljellä oleva valtuus]])</f>
        <v>443083212.05000001</v>
      </c>
      <c r="L18" s="2">
        <f>IF(Table5[[#This Row],[Lainanottovaltuus]]&lt;0,0,Table5[[#This Row],[Lainanottovaltuus]])</f>
        <v>443083212.05000001</v>
      </c>
    </row>
    <row r="19" spans="1:17">
      <c r="A19" t="s">
        <v>32</v>
      </c>
      <c r="B19" s="2">
        <v>37873793.32</v>
      </c>
      <c r="C19" s="2"/>
      <c r="D19" s="2">
        <f>IF(ISBLANK(Table5[[#This Row],[Korjattu vuosikate]]),Table5[[#This Row],[VUOSIKATE]]*10,Table5[[#This Row],[Korjattu vuosikate]]*10)</f>
        <v>378737933.19999999</v>
      </c>
      <c r="E19" s="2">
        <v>245052660.61000001</v>
      </c>
      <c r="F19" s="2">
        <v>72021000</v>
      </c>
      <c r="G19" s="2">
        <f>Table5[[#This Row],[Lainakanta 31.12.2025]]+Table5[[#This Row],[Lainakannan muutokset (lisäys +, vähennys -)]]</f>
        <v>317073660.61000001</v>
      </c>
      <c r="H19" s="2"/>
      <c r="I19" s="2">
        <v>32250000</v>
      </c>
      <c r="J19" s="2">
        <v>47680000</v>
      </c>
      <c r="K19" s="2">
        <f>(Table5[[#This Row],[Enimmäislainamäärä]]-IF(ISBLANK(Table5[[#This Row],[Korjattu lainakanta 31.12.2026]]),Table5[[#This Row],[Lainakanta 31.12.2026]],Table5[[#This Row],[Korjattu lainakanta 31.12.2026]]))-IF(ISBLANK(Table5[[#This Row],[Korjattu jäljellä oleva valtuus]]),Table5[[#This Row],[Seuraaville tilikausille siirtyvät lainanottovaltuudet 31.12.2026]],Table5[[#This Row],[Korjattu jäljellä oleva valtuus]])</f>
        <v>13984272.589999974</v>
      </c>
      <c r="L19" s="2">
        <f>IF(Table5[[#This Row],[Lainanottovaltuus]]&lt;0,0,Table5[[#This Row],[Lainanottovaltuus]])</f>
        <v>13984272.589999974</v>
      </c>
    </row>
    <row r="20" spans="1:17">
      <c r="A20" t="s">
        <v>33</v>
      </c>
      <c r="B20" s="2">
        <v>108766573.2</v>
      </c>
      <c r="C20" s="2"/>
      <c r="D20" s="2">
        <f>IF(ISBLANK(Table5[[#This Row],[Korjattu vuosikate]]),Table5[[#This Row],[VUOSIKATE]]*10,Table5[[#This Row],[Korjattu vuosikate]]*10)</f>
        <v>1087665732</v>
      </c>
      <c r="E20" s="2">
        <v>959800035.23000002</v>
      </c>
      <c r="F20" s="2">
        <v>86860223</v>
      </c>
      <c r="G20" s="2">
        <f>Table5[[#This Row],[Lainakanta 31.12.2025]]+Table5[[#This Row],[Lainakannan muutokset (lisäys +, vähennys -)]]</f>
        <v>1046660258.23</v>
      </c>
      <c r="H20" s="2"/>
      <c r="I20" s="2">
        <v>91022891</v>
      </c>
      <c r="J20" s="2">
        <v>192628597</v>
      </c>
      <c r="K20" s="2">
        <f>(Table5[[#This Row],[Enimmäislainamäärä]]-IF(ISBLANK(Table5[[#This Row],[Korjattu lainakanta 31.12.2026]]),Table5[[#This Row],[Lainakanta 31.12.2026]],Table5[[#This Row],[Korjattu lainakanta 31.12.2026]]))-IF(ISBLANK(Table5[[#This Row],[Korjattu jäljellä oleva valtuus]]),Table5[[#This Row],[Seuraaville tilikausille siirtyvät lainanottovaltuudet 31.12.2026]],Table5[[#This Row],[Korjattu jäljellä oleva valtuus]])</f>
        <v>-151623123.23000002</v>
      </c>
      <c r="L20" s="2">
        <f>IF(Table5[[#This Row],[Lainanottovaltuus]]&lt;0,0,Table5[[#This Row],[Lainanottovaltuus]])</f>
        <v>0</v>
      </c>
    </row>
    <row r="21" spans="1:17">
      <c r="A21" t="s">
        <v>34</v>
      </c>
      <c r="B21" s="2">
        <v>42393552</v>
      </c>
      <c r="C21" s="2"/>
      <c r="D21" s="2">
        <f>IF(ISBLANK(Table5[[#This Row],[Korjattu vuosikate]]),Table5[[#This Row],[VUOSIKATE]]*10,Table5[[#This Row],[Korjattu vuosikate]]*10)</f>
        <v>423935520</v>
      </c>
      <c r="E21" s="2">
        <v>549724598</v>
      </c>
      <c r="F21" s="2">
        <v>43400000</v>
      </c>
      <c r="G21" s="2">
        <f>Table5[[#This Row],[Lainakanta 31.12.2025]]+Table5[[#This Row],[Lainakannan muutokset (lisäys +, vähennys -)]]</f>
        <v>593124598</v>
      </c>
      <c r="H21" s="2"/>
      <c r="I21" s="2">
        <v>246450936</v>
      </c>
      <c r="J21" s="2"/>
      <c r="K21" s="2">
        <f>(Table5[[#This Row],[Enimmäislainamäärä]]-IF(ISBLANK(Table5[[#This Row],[Korjattu lainakanta 31.12.2026]]),Table5[[#This Row],[Lainakanta 31.12.2026]],Table5[[#This Row],[Korjattu lainakanta 31.12.2026]]))-IF(ISBLANK(Table5[[#This Row],[Korjattu jäljellä oleva valtuus]]),Table5[[#This Row],[Seuraaville tilikausille siirtyvät lainanottovaltuudet 31.12.2026]],Table5[[#This Row],[Korjattu jäljellä oleva valtuus]])</f>
        <v>-415640014</v>
      </c>
      <c r="L21" s="2">
        <f>IF(Table5[[#This Row],[Lainanottovaltuus]]&lt;0,0,Table5[[#This Row],[Lainanottovaltuus]])</f>
        <v>0</v>
      </c>
    </row>
    <row r="22" spans="1:17">
      <c r="A22" t="s">
        <v>35</v>
      </c>
      <c r="B22" s="2">
        <v>27122118.800000001</v>
      </c>
      <c r="C22" s="2"/>
      <c r="D22" s="2">
        <f>IF(ISBLANK(Table5[[#This Row],[Korjattu vuosikate]]),Table5[[#This Row],[VUOSIKATE]]*10,Table5[[#This Row],[Korjattu vuosikate]]*10)</f>
        <v>271221188</v>
      </c>
      <c r="E22" s="2">
        <v>229760842</v>
      </c>
      <c r="F22" s="2">
        <v>8157000</v>
      </c>
      <c r="G22" s="2">
        <f>Table5[[#This Row],[Lainakanta 31.12.2025]]+Table5[[#This Row],[Lainakannan muutokset (lisäys +, vähennys -)]]</f>
        <v>237917842</v>
      </c>
      <c r="H22" s="2"/>
      <c r="I22" s="2">
        <v>118856564</v>
      </c>
      <c r="J22" s="2">
        <v>86827564</v>
      </c>
      <c r="K22" s="2">
        <f>(Table5[[#This Row],[Enimmäislainamäärä]]-IF(ISBLANK(Table5[[#This Row],[Korjattu lainakanta 31.12.2026]]),Table5[[#This Row],[Lainakanta 31.12.2026]],Table5[[#This Row],[Korjattu lainakanta 31.12.2026]]))-IF(ISBLANK(Table5[[#This Row],[Korjattu jäljellä oleva valtuus]]),Table5[[#This Row],[Seuraaville tilikausille siirtyvät lainanottovaltuudet 31.12.2026]],Table5[[#This Row],[Korjattu jäljellä oleva valtuus]])</f>
        <v>-53524218</v>
      </c>
      <c r="L22" s="2">
        <f>IF(Table5[[#This Row],[Lainanottovaltuus]]&lt;0,0,Table5[[#This Row],[Lainanottovaltuus]])</f>
        <v>0</v>
      </c>
    </row>
    <row r="23" spans="1:17">
      <c r="A23" t="s">
        <v>36</v>
      </c>
      <c r="B23" s="2">
        <v>25692546</v>
      </c>
      <c r="C23" s="2"/>
      <c r="D23" s="2">
        <f>IF(ISBLANK(Table5[[#This Row],[Korjattu vuosikate]]),Table5[[#This Row],[VUOSIKATE]]*10,Table5[[#This Row],[Korjattu vuosikate]]*10)</f>
        <v>256925460</v>
      </c>
      <c r="E23" s="2">
        <v>100511580.12</v>
      </c>
      <c r="F23" s="2">
        <v>88210006</v>
      </c>
      <c r="G23" s="2">
        <f>Table5[[#This Row],[Lainakanta 31.12.2025]]+Table5[[#This Row],[Lainakannan muutokset (lisäys +, vähennys -)]]</f>
        <v>188721586.12</v>
      </c>
      <c r="H23" s="2"/>
      <c r="I23" s="2">
        <v>152000000</v>
      </c>
      <c r="J23" s="2"/>
      <c r="K23" s="2">
        <f>(Table5[[#This Row],[Enimmäislainamäärä]]-IF(ISBLANK(Table5[[#This Row],[Korjattu lainakanta 31.12.2026]]),Table5[[#This Row],[Lainakanta 31.12.2026]],Table5[[#This Row],[Korjattu lainakanta 31.12.2026]]))-IF(ISBLANK(Table5[[#This Row],[Korjattu jäljellä oleva valtuus]]),Table5[[#This Row],[Seuraaville tilikausille siirtyvät lainanottovaltuudet 31.12.2026]],Table5[[#This Row],[Korjattu jäljellä oleva valtuus]])</f>
        <v>-83796126.120000005</v>
      </c>
      <c r="L23" s="2">
        <f>IF(Table5[[#This Row],[Lainanottovaltuus]]&lt;0,0,Table5[[#This Row],[Lainanottovaltuus]])</f>
        <v>0</v>
      </c>
    </row>
    <row r="24" spans="1:17">
      <c r="A24" t="s">
        <v>37</v>
      </c>
      <c r="B24" s="2">
        <v>54036752.880000003</v>
      </c>
      <c r="C24" s="2"/>
      <c r="D24" s="2">
        <f>IF(ISBLANK(Table5[[#This Row],[Korjattu vuosikate]]),Table5[[#This Row],[VUOSIKATE]]*10,Table5[[#This Row],[Korjattu vuosikate]]*10)</f>
        <v>540367528.80000007</v>
      </c>
      <c r="E24" s="2">
        <v>27858647</v>
      </c>
      <c r="F24" s="2">
        <v>-29975468</v>
      </c>
      <c r="G24" s="2">
        <f>Table5[[#This Row],[Lainakanta 31.12.2025]]+Table5[[#This Row],[Lainakannan muutokset (lisäys +, vähennys -)]]</f>
        <v>-2116821</v>
      </c>
      <c r="H24" s="2">
        <v>51000000</v>
      </c>
      <c r="I24" s="2">
        <v>214700000</v>
      </c>
      <c r="J24" s="6"/>
      <c r="K24" s="2">
        <f>(Table5[[#This Row],[Enimmäislainamäärä]]-IF(ISBLANK(Table5[[#This Row],[Korjattu lainakanta 31.12.2026]]),Table5[[#This Row],[Lainakanta 31.12.2026]],Table5[[#This Row],[Korjattu lainakanta 31.12.2026]]))-IF(ISBLANK(Table5[[#This Row],[Korjattu jäljellä oleva valtuus]]),Table5[[#This Row],[Seuraaville tilikausille siirtyvät lainanottovaltuudet 31.12.2026]],Table5[[#This Row],[Korjattu jäljellä oleva valtuus]])</f>
        <v>274667528.80000007</v>
      </c>
      <c r="L24" s="2">
        <f>IF(Table5[[#This Row],[Lainanottovaltuus]]&lt;0,0,Table5[[#This Row],[Lainanottovaltuus]])</f>
        <v>274667528.80000007</v>
      </c>
      <c r="N24" s="7"/>
      <c r="O24" s="7"/>
      <c r="P24" s="7"/>
      <c r="Q24" s="7"/>
    </row>
    <row r="25" spans="1:17">
      <c r="A25" t="s">
        <v>38</v>
      </c>
      <c r="B25" s="2">
        <v>106531700</v>
      </c>
      <c r="C25" s="2"/>
      <c r="D25" s="2">
        <f>IF(ISBLANK(Table5[[#This Row],[Korjattu vuosikate]]),Table5[[#This Row],[VUOSIKATE]]*10,Table5[[#This Row],[Korjattu vuosikate]]*10)</f>
        <v>1065317000</v>
      </c>
      <c r="E25" s="2">
        <v>426247918</v>
      </c>
      <c r="F25" s="2">
        <v>32866000</v>
      </c>
      <c r="G25" s="2">
        <f>Table5[[#This Row],[Lainakanta 31.12.2025]]+Table5[[#This Row],[Lainakannan muutokset (lisäys +, vähennys -)]]</f>
        <v>459113918</v>
      </c>
      <c r="H25" s="2">
        <v>479515918</v>
      </c>
      <c r="I25" s="2">
        <v>242445529</v>
      </c>
      <c r="J25" s="5">
        <v>295228000</v>
      </c>
      <c r="K25" s="2">
        <f>(Table5[[#This Row],[Enimmäislainamäärä]]-IF(ISBLANK(Table5[[#This Row],[Korjattu lainakanta 31.12.2026]]),Table5[[#This Row],[Lainakanta 31.12.2026]],Table5[[#This Row],[Korjattu lainakanta 31.12.2026]]))-IF(ISBLANK(Table5[[#This Row],[Korjattu jäljellä oleva valtuus]]),Table5[[#This Row],[Seuraaville tilikausille siirtyvät lainanottovaltuudet 31.12.2026]],Table5[[#This Row],[Korjattu jäljellä oleva valtuus]])</f>
        <v>290573082</v>
      </c>
      <c r="L25" s="2">
        <f>IF(Table5[[#This Row],[Lainanottovaltuus]]&lt;0,0,Table5[[#This Row],[Lainanottovaltuus]])</f>
        <v>290573082</v>
      </c>
      <c r="N25" s="7"/>
    </row>
    <row r="26" spans="1:17">
      <c r="A26" t="s">
        <v>39</v>
      </c>
      <c r="B26" s="3">
        <f>SUBTOTAL(109,Table5[VUOSIKATE])</f>
        <v>1052482518.74</v>
      </c>
      <c r="D26" s="3">
        <f>SUBTOTAL(109,Table5[Enimmäislainamäärä])</f>
        <v>10549984143.5</v>
      </c>
      <c r="E26" s="3">
        <f>SUBTOTAL(109,Table5[Lainakanta 31.12.2025])</f>
        <v>6795365547.829999</v>
      </c>
      <c r="F26" s="3">
        <f>SUBTOTAL(109,Table5[Lainakannan muutokset (lisäys +, vähennys -)])</f>
        <v>560076700.22000003</v>
      </c>
      <c r="G26" s="3">
        <f>SUBTOTAL(109,Table5[Lainakanta 31.12.2026])</f>
        <v>7355442248.0500002</v>
      </c>
      <c r="I26" s="3">
        <f>SUBTOTAL(109,Table5[Seuraaville tilikausille siirtyvät lainanottovaltuudet 31.12.2026])</f>
        <v>3417582966.6999998</v>
      </c>
      <c r="L26" s="2">
        <f>SUBTOTAL(109,Table5[Lopullinen valtuus])</f>
        <v>2625495940.6199999</v>
      </c>
    </row>
    <row r="28" spans="1:17">
      <c r="I28" s="2"/>
      <c r="J28" s="2"/>
    </row>
    <row r="31" spans="1:17">
      <c r="M31" s="2"/>
    </row>
  </sheetData>
  <conditionalFormatting sqref="J17">
    <cfRule type="cellIs" dxfId="19" priority="1" operator="lessThan">
      <formula>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F383F82B2D374D8288A0A0803BDC57" ma:contentTypeVersion="4" ma:contentTypeDescription="Create a new document." ma:contentTypeScope="" ma:versionID="55a21d5c2779a96e9d64c33f6b05e837">
  <xsd:schema xmlns:xsd="http://www.w3.org/2001/XMLSchema" xmlns:xs="http://www.w3.org/2001/XMLSchema" xmlns:p="http://schemas.microsoft.com/office/2006/metadata/properties" xmlns:ns2="956b6b3b-eab7-4c3a-b422-22db7a6916db" targetNamespace="http://schemas.microsoft.com/office/2006/metadata/properties" ma:root="true" ma:fieldsID="cee34b68bd1de26d09edad9f8aea61ae" ns2:_="">
    <xsd:import namespace="956b6b3b-eab7-4c3a-b422-22db7a6916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b6b3b-eab7-4c3a-b422-22db7a6916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FFE31C-E5D8-438C-B17D-7F59B31F392C}"/>
</file>

<file path=customXml/itemProps2.xml><?xml version="1.0" encoding="utf-8"?>
<ds:datastoreItem xmlns:ds="http://schemas.openxmlformats.org/officeDocument/2006/customXml" ds:itemID="{3B0E6E42-32A5-4472-B1CD-B88E06CD1D99}"/>
</file>

<file path=customXml/itemProps3.xml><?xml version="1.0" encoding="utf-8"?>
<ds:datastoreItem xmlns:ds="http://schemas.openxmlformats.org/officeDocument/2006/customXml" ds:itemID="{54D797B4-5F7B-407E-BCD4-25FD4E3FD9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Korhonen Antto (VM)</dc:creator>
  <cp:keywords/>
  <dc:description/>
  <cp:lastModifiedBy/>
  <cp:revision/>
  <dcterms:created xsi:type="dcterms:W3CDTF">2026-04-14T13:39:53Z</dcterms:created>
  <dcterms:modified xsi:type="dcterms:W3CDTF">2026-05-21T10:23:17Z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0x0101000DF383F82B2D374D8288A0A0803BDC57</vt:lpwstr>
  </property>
</Properties>
</file>