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valtion.fi\Yhteiset_tiedostot\VM\KAO\Hyvinvointialueiden talous\Lainanottovaltuus\2025\Vuoden 2025 laskelma\vm.fi\"/>
    </mc:Choice>
  </mc:AlternateContent>
  <bookViews>
    <workbookView xWindow="0" yWindow="0" windowWidth="19200" windowHeight="6180" tabRatio="811"/>
  </bookViews>
  <sheets>
    <sheet name="LOV 2025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6" l="1"/>
  <c r="Q29" i="6"/>
  <c r="P29" i="6"/>
  <c r="M29" i="6"/>
  <c r="L29" i="6"/>
  <c r="H29" i="6" l="1"/>
  <c r="B29" i="6"/>
  <c r="E29" i="6"/>
  <c r="N28" i="6" l="1"/>
  <c r="N27" i="6"/>
  <c r="N26" i="6"/>
  <c r="N25" i="6"/>
  <c r="N24" i="6"/>
  <c r="N23" i="6"/>
  <c r="N22" i="6"/>
  <c r="N21" i="6"/>
  <c r="N20" i="6"/>
  <c r="N19" i="6"/>
  <c r="N18" i="6"/>
  <c r="N17" i="6"/>
  <c r="N16" i="6"/>
  <c r="N15" i="6"/>
  <c r="N14" i="6"/>
  <c r="N13" i="6"/>
  <c r="N12" i="6"/>
  <c r="N11" i="6"/>
  <c r="N10" i="6"/>
  <c r="N9" i="6"/>
  <c r="N8" i="6"/>
  <c r="G29" i="6"/>
  <c r="I29" i="6"/>
  <c r="K29" i="6" l="1"/>
  <c r="T7" i="6"/>
  <c r="T8" i="6"/>
  <c r="T9" i="6"/>
  <c r="U9" i="6" s="1"/>
  <c r="T10" i="6"/>
  <c r="U10" i="6" s="1"/>
  <c r="T11" i="6"/>
  <c r="U11" i="6" s="1"/>
  <c r="T12" i="6"/>
  <c r="U12" i="6" s="1"/>
  <c r="T13" i="6"/>
  <c r="U13" i="6" s="1"/>
  <c r="T14" i="6"/>
  <c r="U14" i="6" s="1"/>
  <c r="T15" i="6"/>
  <c r="U15" i="6" s="1"/>
  <c r="T16" i="6"/>
  <c r="U16" i="6" s="1"/>
  <c r="T17" i="6"/>
  <c r="U17" i="6" s="1"/>
  <c r="T18" i="6"/>
  <c r="U18" i="6" s="1"/>
  <c r="T19" i="6"/>
  <c r="U19" i="6" s="1"/>
  <c r="T20" i="6"/>
  <c r="U20" i="6" s="1"/>
  <c r="T21" i="6"/>
  <c r="U21" i="6" s="1"/>
  <c r="T22" i="6"/>
  <c r="U22" i="6" s="1"/>
  <c r="T23" i="6"/>
  <c r="U23" i="6" s="1"/>
  <c r="T24" i="6"/>
  <c r="U24" i="6" s="1"/>
  <c r="T25" i="6"/>
  <c r="U25" i="6" s="1"/>
  <c r="T26" i="6"/>
  <c r="U26" i="6" s="1"/>
  <c r="T27" i="6"/>
  <c r="U27" i="6" s="1"/>
  <c r="T28" i="6"/>
  <c r="U28" i="6" s="1"/>
  <c r="N7" i="6"/>
  <c r="R29" i="6"/>
  <c r="O29" i="6"/>
  <c r="J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7" i="6"/>
  <c r="F7" i="6" l="1"/>
  <c r="F9" i="6"/>
  <c r="F10" i="6"/>
  <c r="F19" i="6"/>
  <c r="F22" i="6"/>
  <c r="F24" i="6"/>
  <c r="F18" i="6"/>
  <c r="F21" i="6"/>
  <c r="F11" i="6"/>
  <c r="F12" i="6"/>
  <c r="F26" i="6"/>
  <c r="F20" i="6"/>
  <c r="F23" i="6"/>
  <c r="F13" i="6"/>
  <c r="F27" i="6"/>
  <c r="F8" i="6"/>
  <c r="F14" i="6"/>
  <c r="F28" i="6"/>
  <c r="F25" i="6"/>
  <c r="F15" i="6"/>
  <c r="F16" i="6"/>
  <c r="F17" i="6"/>
  <c r="U8" i="6"/>
  <c r="T29" i="6"/>
  <c r="U7" i="6"/>
  <c r="N29" i="6"/>
  <c r="D29" i="6"/>
  <c r="V10" i="6" l="1"/>
  <c r="W10" i="6" s="1"/>
  <c r="U29" i="6"/>
  <c r="V25" i="6"/>
  <c r="W25" i="6" s="1"/>
  <c r="V8" i="6"/>
  <c r="V9" i="6"/>
  <c r="W9" i="6" s="1"/>
  <c r="V11" i="6"/>
  <c r="W11" i="6" s="1"/>
  <c r="V12" i="6"/>
  <c r="W12" i="6" s="1"/>
  <c r="V13" i="6"/>
  <c r="W13" i="6" s="1"/>
  <c r="V14" i="6"/>
  <c r="W14" i="6" s="1"/>
  <c r="V15" i="6"/>
  <c r="W15" i="6" s="1"/>
  <c r="V16" i="6"/>
  <c r="W16" i="6" s="1"/>
  <c r="V17" i="6"/>
  <c r="W17" i="6" s="1"/>
  <c r="V18" i="6"/>
  <c r="W18" i="6" s="1"/>
  <c r="V19" i="6"/>
  <c r="W19" i="6" s="1"/>
  <c r="V20" i="6"/>
  <c r="W20" i="6" s="1"/>
  <c r="V21" i="6"/>
  <c r="W21" i="6" s="1"/>
  <c r="V22" i="6"/>
  <c r="W22" i="6" s="1"/>
  <c r="V23" i="6"/>
  <c r="W23" i="6" s="1"/>
  <c r="V24" i="6"/>
  <c r="W24" i="6" s="1"/>
  <c r="V26" i="6"/>
  <c r="W26" i="6" s="1"/>
  <c r="V27" i="6"/>
  <c r="W27" i="6" s="1"/>
  <c r="V28" i="6"/>
  <c r="W28" i="6" s="1"/>
  <c r="W8" i="6" l="1"/>
  <c r="F29" i="6"/>
  <c r="V7" i="6"/>
  <c r="W7" i="6" s="1"/>
  <c r="V29" i="6" l="1"/>
  <c r="W29" i="6"/>
</calcChain>
</file>

<file path=xl/sharedStrings.xml><?xml version="1.0" encoding="utf-8"?>
<sst xmlns="http://schemas.openxmlformats.org/spreadsheetml/2006/main" count="77" uniqueCount="60">
  <si>
    <t>Vantaa+Kerava</t>
  </si>
  <si>
    <t>Länsi-Uusimaa</t>
  </si>
  <si>
    <t>Itä-Uusimaa</t>
  </si>
  <si>
    <t>Keski-Uusimaa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</si>
  <si>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</si>
  <si>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</si>
  <si>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</si>
  <si>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</si>
  <si>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</si>
  <si>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</si>
  <si>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</si>
  <si>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</si>
  <si>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</si>
  <si>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</si>
  <si>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</si>
  <si>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</si>
  <si>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</si>
  <si>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</si>
  <si>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</si>
  <si>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</si>
  <si>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</si>
  <si>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Manner-Suomi yhteensä</t>
  </si>
  <si>
    <t>Hyvinvointialue</t>
  </si>
  <si>
    <t>HUS-yhtymä</t>
  </si>
  <si>
    <t>Korjattu vuosikate</t>
  </si>
  <si>
    <t>Laskennallinen valtuus 2025 (välivaihe)</t>
  </si>
  <si>
    <t>2024 lainan käyttö 2024</t>
  </si>
  <si>
    <t>2023 jäljellä oleva sidottu valtuus</t>
  </si>
  <si>
    <t>2023 inv. vast. sop. käyttö 2023</t>
  </si>
  <si>
    <t>2023 lainan käyttö 2023</t>
  </si>
  <si>
    <t>2023 lainan käyttö 2024</t>
  </si>
  <si>
    <t>2023 inv. vast. sop. käyttö 2024</t>
  </si>
  <si>
    <t>2024 inv. vast. sop. käyttö 2024</t>
  </si>
  <si>
    <t>2024 jäljellä oleva sidottu valtuus</t>
  </si>
  <si>
    <t>Jäljellä oleva sidottu valtuus yhteensä</t>
  </si>
  <si>
    <t>2024 valtuuden käyttö</t>
  </si>
  <si>
    <t>Tiedon lähde</t>
  </si>
  <si>
    <t>Laskenta</t>
  </si>
  <si>
    <t>Perustiedot 2024</t>
  </si>
  <si>
    <t>Inv. vastaavien sopimuksien osuus 2023</t>
  </si>
  <si>
    <t>Inv. vastaavien sopimuksien osuus 2024</t>
  </si>
  <si>
    <t>Lainanottovaltuus 2023</t>
  </si>
  <si>
    <t>Perustiedot 2023</t>
  </si>
  <si>
    <t>Lainanottovaltuus 2024</t>
  </si>
  <si>
    <t>Enimmäis-
lainamäärä</t>
  </si>
  <si>
    <t>Ennakoitu lainakanta 31.12.24</t>
  </si>
  <si>
    <t>Hyvinvointialueiden investointisuunnitelmat</t>
  </si>
  <si>
    <t>Tietopyyntö hyvinvointialueille</t>
  </si>
  <si>
    <t>2023 valtuuden käyttö</t>
  </si>
  <si>
    <t>Laskennallinen lainanottovaltuus 
2025</t>
  </si>
  <si>
    <t>Lopullinen lainanottovaltuus 
2025</t>
  </si>
  <si>
    <t>VM/HVO</t>
  </si>
  <si>
    <t>Laskelma hyvinvointialueiden ja HUS-yhtymän vuoden 2025 lainanottovaltuuksista</t>
  </si>
  <si>
    <t>Talousarvion mukainen vuosikate 2024</t>
  </si>
  <si>
    <t>Valtiokonttorin taloustiedot: Hyvinvointialueiden talousarvio- ja suunnitelma (HTAS)</t>
  </si>
  <si>
    <t>Valtiokonttorin taloustiedot: tilinpäätös-tase 2023 (HHKNR) + lainakannan muutokset 2024 (HTAS)</t>
  </si>
  <si>
    <t>Sidottu valtuus 
2023</t>
  </si>
  <si>
    <t>Sidottu valtuus 
2024</t>
  </si>
  <si>
    <t>Lainan osuus 
2024</t>
  </si>
  <si>
    <t>Lainan osuus 
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</si>
</sst>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_ ;[Red]\-#,##0\ "/>
    <numFmt numFmtId="165" formatCode="_-* #,##0\ &quot;€&quot;_-;\-* #,##0\ &quot;€&quot;_-;_-* &quot;-&quot;??\ &quot;€&quot;_-;_-@_-"/>
  </numFmts>
  <fonts count="8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0C2"/>
        <bgColor indexed="64"/>
      </patternFill>
    </fill>
    <fill>
      <patternFill patternType="solid">
        <fgColor rgb="FFB5D8CC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1" fillId="0" borderId="0" xfId="0" applyFont="1" applyAlignment="1">
      <alignment wrapText="1"/>
    </xf>
    <xf numFmtId="0" fontId="4" fillId="0" borderId="0" xfId="0" applyFont="1"/>
    <xf numFmtId="0" fontId="3" fillId="0" borderId="1" xfId="0" applyFont="1" applyFill="1" applyBorder="1" applyAlignment="1">
      <alignment horizontal="left" wrapText="1"/>
    </xf>
    <xf numFmtId="164" fontId="1" fillId="0" borderId="15" xfId="0" applyNumberFormat="1" applyFont="1" applyFill="1" applyBorder="1" applyAlignment="1">
      <alignment wrapText="1"/>
    </xf>
    <xf numFmtId="164" fontId="1" fillId="0" borderId="8" xfId="0" applyNumberFormat="1" applyFont="1" applyFill="1" applyBorder="1" applyAlignment="1">
      <alignment wrapText="1"/>
    </xf>
    <xf numFmtId="164" fontId="1" fillId="0" borderId="11" xfId="0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wrapText="1"/>
    </xf>
    <xf numFmtId="164" fontId="1" fillId="0" borderId="5" xfId="0" applyNumberFormat="1" applyFont="1" applyFill="1" applyBorder="1" applyAlignment="1">
      <alignment wrapText="1"/>
    </xf>
    <xf numFmtId="164" fontId="1" fillId="0" borderId="6" xfId="0" applyNumberFormat="1" applyFont="1" applyFill="1" applyBorder="1" applyAlignment="1">
      <alignment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2" fillId="0" borderId="0" xfId="0" applyNumberFormat="1" applyFont="1" applyFill="1" applyBorder="1" applyAlignment="1">
      <alignment wrapText="1"/>
    </xf>
    <xf numFmtId="0" fontId="1" fillId="0" borderId="11" xfId="0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3" fillId="0" borderId="7" xfId="0" applyFont="1" applyFill="1" applyBorder="1" applyAlignment="1">
      <alignment horizontal="left" wrapText="1"/>
    </xf>
    <xf numFmtId="0" fontId="1" fillId="0" borderId="0" xfId="0" applyFont="1" applyBorder="1"/>
    <xf numFmtId="0" fontId="5" fillId="0" borderId="0" xfId="0" applyFont="1" applyBorder="1"/>
    <xf numFmtId="0" fontId="6" fillId="0" borderId="0" xfId="0" applyFont="1" applyBorder="1" applyAlignment="1">
      <alignment wrapText="1"/>
    </xf>
    <xf numFmtId="165" fontId="1" fillId="0" borderId="0" xfId="1" applyNumberFormat="1" applyFont="1" applyBorder="1"/>
    <xf numFmtId="165" fontId="1" fillId="0" borderId="9" xfId="1" applyNumberFormat="1" applyFont="1" applyBorder="1"/>
    <xf numFmtId="165" fontId="1" fillId="0" borderId="5" xfId="1" applyNumberFormat="1" applyFont="1" applyBorder="1"/>
    <xf numFmtId="165" fontId="1" fillId="0" borderId="11" xfId="1" applyNumberFormat="1" applyFont="1" applyBorder="1"/>
    <xf numFmtId="165" fontId="1" fillId="0" borderId="9" xfId="1" applyNumberFormat="1" applyFont="1" applyFill="1" applyBorder="1"/>
    <xf numFmtId="165" fontId="1" fillId="0" borderId="2" xfId="1" applyNumberFormat="1" applyFont="1" applyFill="1" applyBorder="1"/>
    <xf numFmtId="165" fontId="1" fillId="0" borderId="3" xfId="1" applyNumberFormat="1" applyFont="1" applyBorder="1"/>
    <xf numFmtId="165" fontId="1" fillId="0" borderId="13" xfId="1" applyNumberFormat="1" applyFont="1" applyBorder="1"/>
    <xf numFmtId="165" fontId="1" fillId="0" borderId="10" xfId="1" applyNumberFormat="1" applyFont="1" applyBorder="1"/>
    <xf numFmtId="165" fontId="1" fillId="3" borderId="4" xfId="1" applyNumberFormat="1" applyFont="1" applyFill="1" applyBorder="1"/>
    <xf numFmtId="165" fontId="1" fillId="3" borderId="2" xfId="1" applyNumberFormat="1" applyFont="1" applyFill="1" applyBorder="1"/>
    <xf numFmtId="165" fontId="1" fillId="0" borderId="12" xfId="1" applyNumberFormat="1" applyFont="1" applyBorder="1"/>
    <xf numFmtId="165" fontId="1" fillId="0" borderId="0" xfId="1" applyNumberFormat="1" applyFont="1" applyBorder="1" applyAlignment="1">
      <alignment horizontal="right"/>
    </xf>
    <xf numFmtId="165" fontId="2" fillId="0" borderId="0" xfId="1" applyNumberFormat="1" applyFont="1" applyBorder="1" applyAlignment="1">
      <alignment horizontal="right"/>
    </xf>
    <xf numFmtId="165" fontId="1" fillId="0" borderId="0" xfId="1" applyNumberFormat="1" applyFont="1" applyFill="1" applyBorder="1"/>
    <xf numFmtId="165" fontId="1" fillId="2" borderId="4" xfId="1" applyNumberFormat="1" applyFont="1" applyFill="1" applyBorder="1"/>
    <xf numFmtId="165" fontId="1" fillId="2" borderId="2" xfId="1" applyNumberFormat="1" applyFont="1" applyFill="1" applyBorder="1"/>
    <xf numFmtId="165" fontId="5" fillId="3" borderId="9" xfId="1" applyNumberFormat="1" applyFont="1" applyFill="1" applyBorder="1"/>
    <xf numFmtId="165" fontId="5" fillId="3" borderId="12" xfId="1" applyNumberFormat="1" applyFont="1" applyFill="1" applyBorder="1"/>
    <xf numFmtId="165" fontId="5" fillId="0" borderId="0" xfId="1" applyNumberFormat="1" applyFont="1" applyBorder="1"/>
    <xf numFmtId="165" fontId="1" fillId="2" borderId="0" xfId="1" applyNumberFormat="1" applyFont="1" applyFill="1" applyBorder="1"/>
    <xf numFmtId="165" fontId="5" fillId="0" borderId="9" xfId="1" applyNumberFormat="1" applyFont="1" applyFill="1" applyBorder="1"/>
    <xf numFmtId="165" fontId="5" fillId="0" borderId="2" xfId="1" applyNumberFormat="1" applyFont="1" applyFill="1" applyBorder="1"/>
    <xf numFmtId="165" fontId="1" fillId="3" borderId="9" xfId="1" applyNumberFormat="1" applyFont="1" applyFill="1" applyBorder="1"/>
    <xf numFmtId="165" fontId="1" fillId="3" borderId="3" xfId="1" applyNumberFormat="1" applyFont="1" applyFill="1" applyBorder="1"/>
    <xf numFmtId="165" fontId="1" fillId="3" borderId="12" xfId="1" applyNumberFormat="1" applyFont="1" applyFill="1" applyBorder="1"/>
    <xf numFmtId="165" fontId="1" fillId="2" borderId="13" xfId="1" applyNumberFormat="1" applyFont="1" applyFill="1" applyBorder="1"/>
    <xf numFmtId="165" fontId="1" fillId="0" borderId="14" xfId="1" applyNumberFormat="1" applyFont="1" applyBorder="1"/>
    <xf numFmtId="165" fontId="1" fillId="0" borderId="13" xfId="1" applyNumberFormat="1" applyFont="1" applyFill="1" applyBorder="1"/>
    <xf numFmtId="14" fontId="1" fillId="0" borderId="0" xfId="0" applyNumberFormat="1" applyFont="1" applyAlignment="1">
      <alignment horizontal="left"/>
    </xf>
    <xf numFmtId="165" fontId="6" fillId="0" borderId="0" xfId="0" applyNumberFormat="1" applyFont="1" applyBorder="1"/>
    <xf numFmtId="165" fontId="6" fillId="0" borderId="22" xfId="0" applyNumberFormat="1" applyFont="1" applyBorder="1"/>
    <xf numFmtId="165" fontId="6" fillId="0" borderId="1" xfId="0" applyNumberFormat="1" applyFont="1" applyBorder="1"/>
    <xf numFmtId="165" fontId="6" fillId="0" borderId="23" xfId="0" applyNumberFormat="1" applyFont="1" applyBorder="1"/>
    <xf numFmtId="165" fontId="6" fillId="0" borderId="7" xfId="0" applyNumberFormat="1" applyFont="1" applyBorder="1"/>
    <xf numFmtId="165" fontId="6" fillId="0" borderId="13" xfId="0" applyNumberFormat="1" applyFont="1" applyBorder="1"/>
    <xf numFmtId="165" fontId="6" fillId="0" borderId="10" xfId="0" applyNumberFormat="1" applyFont="1" applyBorder="1"/>
    <xf numFmtId="165" fontId="6" fillId="0" borderId="24" xfId="0" applyNumberFormat="1" applyFont="1" applyBorder="1"/>
    <xf numFmtId="165" fontId="6" fillId="0" borderId="0" xfId="0" applyNumberFormat="1" applyFont="1" applyBorder="1" applyAlignment="1">
      <alignment horizontal="right"/>
    </xf>
    <xf numFmtId="165" fontId="5" fillId="0" borderId="3" xfId="1" applyNumberFormat="1" applyFont="1" applyFill="1" applyBorder="1"/>
    <xf numFmtId="165" fontId="1" fillId="0" borderId="10" xfId="1" applyNumberFormat="1" applyFont="1" applyFill="1" applyBorder="1"/>
    <xf numFmtId="164" fontId="2" fillId="0" borderId="19" xfId="0" applyNumberFormat="1" applyFont="1" applyFill="1" applyBorder="1" applyAlignment="1">
      <alignment horizontal="center"/>
    </xf>
    <xf numFmtId="164" fontId="2" fillId="0" borderId="20" xfId="0" applyNumberFormat="1" applyFont="1" applyFill="1" applyBorder="1" applyAlignment="1">
      <alignment horizontal="center"/>
    </xf>
    <xf numFmtId="164" fontId="2" fillId="0" borderId="21" xfId="0" applyNumberFormat="1" applyFont="1" applyFill="1" applyBorder="1" applyAlignment="1">
      <alignment horizontal="center"/>
    </xf>
    <xf numFmtId="164" fontId="2" fillId="4" borderId="16" xfId="0" applyNumberFormat="1" applyFont="1" applyFill="1" applyBorder="1" applyAlignment="1">
      <alignment horizontal="center"/>
    </xf>
    <xf numFmtId="164" fontId="2" fillId="4" borderId="17" xfId="0" applyNumberFormat="1" applyFont="1" applyFill="1" applyBorder="1" applyAlignment="1">
      <alignment horizontal="center"/>
    </xf>
    <xf numFmtId="164" fontId="2" fillId="4" borderId="18" xfId="0" applyNumberFormat="1" applyFont="1" applyFill="1" applyBorder="1" applyAlignment="1">
      <alignment horizontal="center"/>
    </xf>
    <xf numFmtId="164" fontId="2" fillId="5" borderId="16" xfId="0" applyNumberFormat="1" applyFont="1" applyFill="1" applyBorder="1" applyAlignment="1">
      <alignment horizontal="center"/>
    </xf>
    <xf numFmtId="164" fontId="2" fillId="5" borderId="17" xfId="0" applyNumberFormat="1" applyFont="1" applyFill="1" applyBorder="1" applyAlignment="1">
      <alignment horizontal="center"/>
    </xf>
    <xf numFmtId="164" fontId="2" fillId="5" borderId="18" xfId="0" applyNumberFormat="1" applyFont="1" applyFill="1" applyBorder="1" applyAlignment="1">
      <alignment horizontal="center"/>
    </xf>
  </cellXfs>
  <cellStyles count="2">
    <cellStyle name="Normaali" xfId="0" builtinId="0"/>
    <cellStyle name="Valuutta" xfId="1" builtinId="4"/>
  </cellStyles>
  <dxfs count="51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fill>
        <patternFill>
          <fgColor indexed="64"/>
          <bgColor theme="0"/>
        </patternFill>
      </fill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medium">
          <color indexed="6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fill>
        <patternFill patternType="none">
          <fgColor indexed="64"/>
          <bgColor auto="1"/>
        </patternFill>
      </fill>
      <border diagonalUp="0" diagonalDown="0" outline="0">
        <left style="medium">
          <color indexed="64"/>
        </left>
        <right/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medium">
          <color indexed="6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9"/>
        <color theme="1"/>
        <name val="Arial"/>
        <scheme val="none"/>
      </font>
      <numFmt numFmtId="165" formatCode="_-* #,##0\ &quot;€&quot;_-;\-* #,##0\ &quot;€&quot;_-;_-* &quot;-&quot;??\ &quot;€&quot;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alignment horizontal="general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9"/>
      </font>
      <alignment vertical="bottom" textRotation="0" wrapText="1" indent="0" justifyLastLine="0" shrinkToFit="0" readingOrder="0"/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B5D8CC"/>
      <color rgb="FFFFF0C2"/>
      <color rgb="FF006475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ov" displayName="lov" ref="A6:W29" totalsRowCount="1" headerRowDxfId="49" dataDxfId="48" totalsRowDxfId="46" tableBorderDxfId="47">
  <autoFilter ref="A6:W28"/>
  <tableColumns count="23">
    <tableColumn id="1" name="Hyvinvointialue" totalsRowLabel="Manner-Suomi yhteensä" dataDxfId="45" totalsRowDxfId="44"/>
    <tableColumn id="2" name="Talousarvion mukainen vuosikate 2024" totalsRowFunction="sum" dataDxfId="43" totalsRowDxfId="42"/>
    <tableColumn id="3" name="Korjattu vuosikate" dataDxfId="41" totalsRowDxfId="40"/>
    <tableColumn id="4" name="Enimmäis-_x000a_lainamäärä" totalsRowFunction="sum" dataDxfId="39" totalsRowDxfId="38">
      <calculatedColumnFormula>IF(ISBLANK(C7),B7,C7)*10</calculatedColumnFormula>
    </tableColumn>
    <tableColumn id="5" name="Ennakoitu lainakanta 31.12.24" totalsRowFunction="sum" dataDxfId="37" totalsRowDxfId="36"/>
    <tableColumn id="7" name="Laskennallinen valtuus 2025 (välivaihe)" totalsRowFunction="sum" dataDxfId="35" totalsRowDxfId="34">
      <calculatedColumnFormula>lov[[#This Row],[Enimmäis-
lainamäärä]]-lov[[#This Row],[Ennakoitu lainakanta 31.12.24]]</calculatedColumnFormula>
    </tableColumn>
    <tableColumn id="23" name="Sidottu valtuus _x000a_2023" totalsRowFunction="sum" dataDxfId="33" totalsRowDxfId="32"/>
    <tableColumn id="8" name="Lainan osuus _x000a_2023" totalsRowFunction="custom" dataDxfId="31" totalsRowDxfId="30">
      <totalsRowFormula>SUM(H7:H28)</totalsRowFormula>
    </tableColumn>
    <tableColumn id="22" name="Inv. vastaavien sopimuksien osuus 2023" totalsRowFunction="sum" dataDxfId="29" totalsRowDxfId="28"/>
    <tableColumn id="9" name="2023 lainan käyttö 2023" totalsRowFunction="sum" dataDxfId="27" totalsRowDxfId="26"/>
    <tableColumn id="26" name="2023 inv. vast. sop. käyttö 2023" totalsRowFunction="sum" dataDxfId="25" totalsRowDxfId="24"/>
    <tableColumn id="25" name="2023 lainan käyttö 2024" totalsRowFunction="custom" dataDxfId="23" totalsRowDxfId="22">
      <totalsRowFormula>SUM(L7:L28)</totalsRowFormula>
    </tableColumn>
    <tableColumn id="10" name="2023 inv. vast. sop. käyttö 2024" totalsRowFunction="custom" dataDxfId="21" totalsRowDxfId="20">
      <totalsRowFormula>SUM(M7:M28)</totalsRowFormula>
    </tableColumn>
    <tableColumn id="11" name="2023 jäljellä oleva sidottu valtuus" totalsRowFunction="sum" dataDxfId="19" totalsRowDxfId="18"/>
    <tableColumn id="13" name="Sidottu valtuus _x000a_2024" totalsRowFunction="sum" dataDxfId="17" totalsRowDxfId="16"/>
    <tableColumn id="12" name="Lainan osuus _x000a_2024" totalsRowFunction="custom" dataDxfId="15" totalsRowDxfId="14">
      <totalsRowFormula>SUM(P7:P28)</totalsRowFormula>
    </tableColumn>
    <tableColumn id="14" name="Inv. vastaavien sopimuksien osuus 2024" totalsRowFunction="custom" dataDxfId="13" totalsRowDxfId="12">
      <totalsRowFormula>SUM(Q7:Q28)</totalsRowFormula>
    </tableColumn>
    <tableColumn id="32" name="2024 lainan käyttö 2024" totalsRowFunction="custom" dataDxfId="11" totalsRowDxfId="10">
      <totalsRowFormula>SUBTOTAL(109,lov[2023 lainan käyttö 2023])</totalsRowFormula>
    </tableColumn>
    <tableColumn id="33" name="2024 inv. vast. sop. käyttö 2024" totalsRowFunction="custom" dataDxfId="9" totalsRowDxfId="8">
      <totalsRowFormula>SUM(S7:S28)</totalsRowFormula>
    </tableColumn>
    <tableColumn id="36" name="2024 jäljellä oleva sidottu valtuus" totalsRowFunction="sum" dataDxfId="7" totalsRowDxfId="6">
      <calculatedColumnFormula>lov[[#This Row],[Sidottu valtuus 
2024]]-SUM(lov[[#This Row],[2024 lainan käyttö 2024]:[2024 inv. vast. sop. käyttö 2024]])</calculatedColumnFormula>
    </tableColumn>
    <tableColumn id="37" name="Jäljellä oleva sidottu valtuus yhteensä" totalsRowFunction="sum" dataDxfId="5" totalsRowDxfId="4">
      <calculatedColumnFormula>lov[[#This Row],[2023 jäljellä oleva sidottu valtuus]]+lov[[#This Row],[2024 jäljellä oleva sidottu valtuus]]</calculatedColumnFormula>
    </tableColumn>
    <tableColumn id="20" name="Laskennallinen lainanottovaltuus _x000a_2025" totalsRowFunction="sum" dataDxfId="3" totalsRowDxfId="2">
      <calculatedColumnFormula>lov[[#This Row],[Laskennallinen valtuus 2025 (välivaihe)]]-lov[[#This Row],[Jäljellä oleva sidottu valtuus yhteensä]]</calculatedColumnFormula>
    </tableColumn>
    <tableColumn id="19" name="Lopullinen lainanottovaltuus _x000a_2025" totalsRowFunction="sum" dataDxfId="1" totalsRowDxfId="0">
      <calculatedColumnFormula>IF(lov[[#This Row],[Laskennallinen lainanottovaltuus 
2025]]&lt;0,0,lov[[#This Row],[Laskennallinen lainanottovaltuus 
2025]])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1"/>
  <sheetViews>
    <sheetView tabSelected="1" zoomScale="110" zoomScaleNormal="110" workbookViewId="0">
      <pane xSplit="1" topLeftCell="Q1" activePane="topRight" state="frozen"/>
      <selection pane="topRight" activeCell="Q2" sqref="Q2"/>
    </sheetView>
  </sheetViews>
  <sheetFormatPr defaultColWidth="9.08984375" defaultRowHeight="11.5" x14ac:dyDescent="0.25"/>
  <cols>
    <col min="1" max="1" width="17.08984375" style="1" customWidth="1"/>
    <col min="2" max="19" width="18.6328125" style="1" customWidth="1"/>
    <col min="20" max="20" width="18.36328125" style="1" customWidth="1"/>
    <col min="21" max="23" width="18.6328125" style="1" customWidth="1"/>
    <col min="24" max="16384" width="9.08984375" style="1"/>
  </cols>
  <sheetData>
    <row r="1" spans="1:23" x14ac:dyDescent="0.25">
      <c r="A1" s="1" t="s">
        <v>52</v>
      </c>
    </row>
    <row r="2" spans="1:23" x14ac:dyDescent="0.25">
      <c r="A2" s="52">
        <v>45449</v>
      </c>
    </row>
    <row r="3" spans="1:23" ht="12" thickBot="1" x14ac:dyDescent="0.3">
      <c r="A3" s="52" t="s">
        <v>51</v>
      </c>
    </row>
    <row r="4" spans="1:23" s="12" customFormat="1" ht="15" thickBot="1" x14ac:dyDescent="0.4">
      <c r="G4" s="70" t="s">
        <v>41</v>
      </c>
      <c r="H4" s="71"/>
      <c r="I4" s="71"/>
      <c r="J4" s="71"/>
      <c r="K4" s="71"/>
      <c r="L4" s="71"/>
      <c r="M4" s="71"/>
      <c r="N4" s="72"/>
      <c r="O4" s="67" t="s">
        <v>43</v>
      </c>
      <c r="P4" s="68"/>
      <c r="Q4" s="68"/>
      <c r="R4" s="68"/>
      <c r="S4" s="68"/>
      <c r="T4" s="69"/>
      <c r="U4"/>
    </row>
    <row r="5" spans="1:23" ht="12.75" customHeight="1" x14ac:dyDescent="0.3">
      <c r="C5" s="3"/>
      <c r="D5" s="4"/>
      <c r="E5" s="4"/>
      <c r="G5" s="64" t="s">
        <v>42</v>
      </c>
      <c r="H5" s="65"/>
      <c r="I5" s="66"/>
      <c r="J5" s="64" t="s">
        <v>48</v>
      </c>
      <c r="K5" s="65"/>
      <c r="L5" s="65"/>
      <c r="M5" s="65"/>
      <c r="N5" s="66"/>
      <c r="O5" s="64" t="s">
        <v>38</v>
      </c>
      <c r="P5" s="65"/>
      <c r="Q5" s="66"/>
      <c r="R5" s="64" t="s">
        <v>35</v>
      </c>
      <c r="S5" s="65"/>
      <c r="T5" s="66"/>
    </row>
    <row r="6" spans="1:23" s="3" customFormat="1" ht="34.5" x14ac:dyDescent="0.25">
      <c r="A6" s="15" t="s">
        <v>22</v>
      </c>
      <c r="B6" s="15" t="s">
        <v>53</v>
      </c>
      <c r="C6" s="15" t="s">
        <v>24</v>
      </c>
      <c r="D6" s="15" t="s">
        <v>44</v>
      </c>
      <c r="E6" s="16" t="s">
        <v>45</v>
      </c>
      <c r="F6" s="14" t="s">
        <v>25</v>
      </c>
      <c r="G6" s="6" t="s">
        <v>56</v>
      </c>
      <c r="H6" s="10" t="s">
        <v>59</v>
      </c>
      <c r="I6" s="17" t="s">
        <v>39</v>
      </c>
      <c r="J6" s="6" t="s">
        <v>29</v>
      </c>
      <c r="K6" s="7" t="s">
        <v>28</v>
      </c>
      <c r="L6" s="7" t="s">
        <v>30</v>
      </c>
      <c r="M6" s="7" t="s">
        <v>31</v>
      </c>
      <c r="N6" s="10" t="s">
        <v>27</v>
      </c>
      <c r="O6" s="6" t="s">
        <v>57</v>
      </c>
      <c r="P6" s="10" t="s">
        <v>58</v>
      </c>
      <c r="Q6" s="18" t="s">
        <v>40</v>
      </c>
      <c r="R6" s="11" t="s">
        <v>26</v>
      </c>
      <c r="S6" s="7" t="s">
        <v>32</v>
      </c>
      <c r="T6" s="8" t="s">
        <v>33</v>
      </c>
      <c r="U6" s="9" t="s">
        <v>34</v>
      </c>
      <c r="V6" s="5" t="s">
        <v>49</v>
      </c>
      <c r="W6" s="19" t="s">
        <v>50</v>
      </c>
    </row>
    <row r="7" spans="1:23" x14ac:dyDescent="0.25">
      <c r="A7" s="20" t="s">
        <v>10</v>
      </c>
      <c r="B7" s="23">
        <v>-23150565.920000002</v>
      </c>
      <c r="C7" s="23"/>
      <c r="D7" s="23">
        <f t="shared" ref="D7:D28" si="0">IF(ISBLANK(C7),B7,C7)*10</f>
        <v>-231505659.20000002</v>
      </c>
      <c r="E7" s="23">
        <v>59079000</v>
      </c>
      <c r="F7" s="23">
        <f>lov[[#This Row],[Enimmäis-
lainamäärä]]-lov[[#This Row],[Ennakoitu lainakanta 31.12.24]]</f>
        <v>-290584659.20000005</v>
      </c>
      <c r="G7" s="24">
        <v>110437000</v>
      </c>
      <c r="H7" s="25">
        <v>53191000</v>
      </c>
      <c r="I7" s="26">
        <v>57246000</v>
      </c>
      <c r="J7" s="27">
        <v>0</v>
      </c>
      <c r="K7" s="28">
        <v>40700000</v>
      </c>
      <c r="L7" s="28">
        <v>31000000</v>
      </c>
      <c r="M7" s="28">
        <v>3512000</v>
      </c>
      <c r="N7" s="29">
        <f>lov[[#This Row],[Sidottu valtuus 
2023]]-SUM(lov[[#This Row],[2023 lainan käyttö 2023]:[2023 inv. vast. sop. käyttö 2024]])</f>
        <v>35225000</v>
      </c>
      <c r="O7" s="30"/>
      <c r="P7" s="23"/>
      <c r="Q7" s="31"/>
      <c r="R7" s="32">
        <v>0</v>
      </c>
      <c r="S7" s="33">
        <v>0</v>
      </c>
      <c r="T7" s="34">
        <f>lov[[#This Row],[Sidottu valtuus 
2024]]-SUM(lov[[#This Row],[2024 lainan käyttö 2024]:[2024 inv. vast. sop. käyttö 2024]])</f>
        <v>0</v>
      </c>
      <c r="U7" s="23">
        <f>lov[[#This Row],[2023 jäljellä oleva sidottu valtuus]]+lov[[#This Row],[2024 jäljellä oleva sidottu valtuus]]</f>
        <v>35225000</v>
      </c>
      <c r="V7" s="35">
        <f>lov[[#This Row],[Laskennallinen valtuus 2025 (välivaihe)]]-lov[[#This Row],[Jäljellä oleva sidottu valtuus yhteensä]]</f>
        <v>-325809659.20000005</v>
      </c>
      <c r="W7" s="36">
        <f>IF(lov[[#This Row],[Laskennallinen lainanottovaltuus 
2025]]&lt;0,0,lov[[#This Row],[Laskennallinen lainanottovaltuus 
2025]])</f>
        <v>0</v>
      </c>
    </row>
    <row r="8" spans="1:23" x14ac:dyDescent="0.25">
      <c r="A8" s="20" t="s">
        <v>15</v>
      </c>
      <c r="B8" s="23">
        <v>-12548600</v>
      </c>
      <c r="C8" s="23">
        <v>11182100</v>
      </c>
      <c r="D8" s="23">
        <f t="shared" si="0"/>
        <v>111821000</v>
      </c>
      <c r="E8" s="37">
        <v>171429302</v>
      </c>
      <c r="F8" s="23">
        <f>lov[[#This Row],[Enimmäis-
lainamäärä]]-lov[[#This Row],[Ennakoitu lainakanta 31.12.24]]</f>
        <v>-59608302</v>
      </c>
      <c r="G8" s="24">
        <v>112624000</v>
      </c>
      <c r="H8" s="29">
        <v>27312000</v>
      </c>
      <c r="I8" s="34">
        <v>85312000</v>
      </c>
      <c r="J8" s="27">
        <v>28200000</v>
      </c>
      <c r="K8" s="28">
        <v>30512000</v>
      </c>
      <c r="L8" s="28">
        <v>2120000</v>
      </c>
      <c r="M8" s="28"/>
      <c r="N8" s="29">
        <f>lov[[#This Row],[Sidottu valtuus 
2023]]-SUM(lov[[#This Row],[2023 lainan käyttö 2023]:[2023 inv. vast. sop. käyttö 2024]])</f>
        <v>51792000</v>
      </c>
      <c r="O8" s="30">
        <v>82607000</v>
      </c>
      <c r="P8" s="23">
        <v>56519000</v>
      </c>
      <c r="Q8" s="31">
        <v>26088000</v>
      </c>
      <c r="R8" s="38">
        <v>46286000</v>
      </c>
      <c r="S8" s="39">
        <v>26088000</v>
      </c>
      <c r="T8" s="34">
        <f>lov[[#This Row],[Sidottu valtuus 
2024]]-SUM(lov[[#This Row],[2024 lainan käyttö 2024]:[2024 inv. vast. sop. käyttö 2024]])</f>
        <v>10233000</v>
      </c>
      <c r="U8" s="23">
        <f>lov[[#This Row],[2023 jäljellä oleva sidottu valtuus]]+lov[[#This Row],[2024 jäljellä oleva sidottu valtuus]]</f>
        <v>62025000</v>
      </c>
      <c r="V8" s="35">
        <f>lov[[#This Row],[Laskennallinen valtuus 2025 (välivaihe)]]-lov[[#This Row],[Jäljellä oleva sidottu valtuus yhteensä]]</f>
        <v>-121633302</v>
      </c>
      <c r="W8" s="36">
        <f>IF(lov[[#This Row],[Laskennallinen lainanottovaltuus 
2025]]&lt;0,0,lov[[#This Row],[Laskennallinen lainanottovaltuus 
2025]])</f>
        <v>0</v>
      </c>
    </row>
    <row r="9" spans="1:23" x14ac:dyDescent="0.25">
      <c r="A9" s="20" t="s">
        <v>11</v>
      </c>
      <c r="B9" s="23">
        <v>-30820000</v>
      </c>
      <c r="C9" s="23"/>
      <c r="D9" s="23">
        <f t="shared" si="0"/>
        <v>-308200000</v>
      </c>
      <c r="E9" s="23">
        <v>199330855.44</v>
      </c>
      <c r="F9" s="23">
        <f>lov[[#This Row],[Enimmäis-
lainamäärä]]-lov[[#This Row],[Ennakoitu lainakanta 31.12.24]]</f>
        <v>-507530855.44</v>
      </c>
      <c r="G9" s="40">
        <v>94803638</v>
      </c>
      <c r="H9" s="62">
        <v>63635560</v>
      </c>
      <c r="I9" s="41">
        <v>31164440</v>
      </c>
      <c r="J9" s="27">
        <v>0</v>
      </c>
      <c r="K9" s="28">
        <v>11494596</v>
      </c>
      <c r="L9" s="28">
        <v>22159000</v>
      </c>
      <c r="M9" s="28">
        <v>5657426</v>
      </c>
      <c r="N9" s="29">
        <f>lov[[#This Row],[Sidottu valtuus 
2023]]-SUM(lov[[#This Row],[2023 lainan käyttö 2023]:[2023 inv. vast. sop. käyttö 2024]])</f>
        <v>55492616</v>
      </c>
      <c r="O9" s="30"/>
      <c r="P9" s="23"/>
      <c r="Q9" s="31"/>
      <c r="R9" s="32"/>
      <c r="S9" s="33"/>
      <c r="T9" s="34">
        <f>lov[[#This Row],[Sidottu valtuus 
2024]]-SUM(lov[[#This Row],[2024 lainan käyttö 2024]:[2024 inv. vast. sop. käyttö 2024]])</f>
        <v>0</v>
      </c>
      <c r="U9" s="23">
        <f>lov[[#This Row],[2023 jäljellä oleva sidottu valtuus]]+lov[[#This Row],[2024 jäljellä oleva sidottu valtuus]]</f>
        <v>55492616</v>
      </c>
      <c r="V9" s="35">
        <f>lov[[#This Row],[Laskennallinen valtuus 2025 (välivaihe)]]-lov[[#This Row],[Jäljellä oleva sidottu valtuus yhteensä]]</f>
        <v>-563023471.44000006</v>
      </c>
      <c r="W9" s="36">
        <f>IF(lov[[#This Row],[Laskennallinen lainanottovaltuus 
2025]]&lt;0,0,lov[[#This Row],[Laskennallinen lainanottovaltuus 
2025]])</f>
        <v>0</v>
      </c>
    </row>
    <row r="10" spans="1:23" x14ac:dyDescent="0.25">
      <c r="A10" s="21" t="s">
        <v>23</v>
      </c>
      <c r="B10" s="23">
        <v>121150429.66</v>
      </c>
      <c r="C10" s="42"/>
      <c r="D10" s="23">
        <f t="shared" si="0"/>
        <v>1211504296.5999999</v>
      </c>
      <c r="E10" s="42">
        <v>981351016.31999993</v>
      </c>
      <c r="F10" s="23">
        <f>lov[[#This Row],[Enimmäis-
lainamäärä]]-lov[[#This Row],[Ennakoitu lainakanta 31.12.24]]</f>
        <v>230153280.27999997</v>
      </c>
      <c r="G10" s="24">
        <v>1319829000</v>
      </c>
      <c r="H10" s="29">
        <v>797979000</v>
      </c>
      <c r="I10" s="34">
        <v>521850000</v>
      </c>
      <c r="J10" s="27">
        <v>160000000</v>
      </c>
      <c r="K10" s="28">
        <v>21850000</v>
      </c>
      <c r="L10" s="28">
        <v>165000000</v>
      </c>
      <c r="M10" s="28"/>
      <c r="N10" s="29">
        <f>lov[[#This Row],[Sidottu valtuus 
2023]]-SUM(lov[[#This Row],[2023 lainan käyttö 2023]:[2023 inv. vast. sop. käyttö 2024]])</f>
        <v>972979000</v>
      </c>
      <c r="O10" s="30"/>
      <c r="P10" s="23"/>
      <c r="Q10" s="31"/>
      <c r="R10" s="38">
        <v>0</v>
      </c>
      <c r="S10" s="39">
        <v>0</v>
      </c>
      <c r="T10" s="34">
        <f>lov[[#This Row],[Sidottu valtuus 
2024]]-SUM(lov[[#This Row],[2024 lainan käyttö 2024]:[2024 inv. vast. sop. käyttö 2024]])</f>
        <v>0</v>
      </c>
      <c r="U10" s="23">
        <f>lov[[#This Row],[2023 jäljellä oleva sidottu valtuus]]+lov[[#This Row],[2024 jäljellä oleva sidottu valtuus]]</f>
        <v>972979000</v>
      </c>
      <c r="V10" s="35">
        <f>lov[[#This Row],[Laskennallinen valtuus 2025 (välivaihe)]]-lov[[#This Row],[Jäljellä oleva sidottu valtuus yhteensä]]</f>
        <v>-742825719.72000003</v>
      </c>
      <c r="W10" s="36">
        <f>IF(lov[[#This Row],[Laskennallinen lainanottovaltuus 
2025]]&lt;0,0,lov[[#This Row],[Laskennallinen lainanottovaltuus 
2025]])</f>
        <v>0</v>
      </c>
    </row>
    <row r="11" spans="1:23" x14ac:dyDescent="0.25">
      <c r="A11" s="20" t="s">
        <v>2</v>
      </c>
      <c r="B11" s="23">
        <v>-14017023.77</v>
      </c>
      <c r="C11" s="23"/>
      <c r="D11" s="23">
        <f t="shared" si="0"/>
        <v>-140170237.69999999</v>
      </c>
      <c r="E11" s="23">
        <v>8154556.6799999997</v>
      </c>
      <c r="F11" s="23">
        <f>lov[[#This Row],[Enimmäis-
lainamäärä]]-lov[[#This Row],[Ennakoitu lainakanta 31.12.24]]</f>
        <v>-148324794.38</v>
      </c>
      <c r="G11" s="24">
        <v>35436000</v>
      </c>
      <c r="H11" s="29">
        <v>29240000</v>
      </c>
      <c r="I11" s="34">
        <v>6196000</v>
      </c>
      <c r="J11" s="27">
        <v>0</v>
      </c>
      <c r="K11" s="28">
        <v>0</v>
      </c>
      <c r="L11" s="28">
        <v>14160000</v>
      </c>
      <c r="M11" s="28"/>
      <c r="N11" s="29">
        <f>lov[[#This Row],[Sidottu valtuus 
2023]]-SUM(lov[[#This Row],[2023 lainan käyttö 2023]:[2023 inv. vast. sop. käyttö 2024]])</f>
        <v>21276000</v>
      </c>
      <c r="O11" s="30"/>
      <c r="P11" s="23"/>
      <c r="Q11" s="31"/>
      <c r="R11" s="32"/>
      <c r="S11" s="33"/>
      <c r="T11" s="34">
        <f>lov[[#This Row],[Sidottu valtuus 
2024]]-SUM(lov[[#This Row],[2024 lainan käyttö 2024]:[2024 inv. vast. sop. käyttö 2024]])</f>
        <v>0</v>
      </c>
      <c r="U11" s="23">
        <f>lov[[#This Row],[2023 jäljellä oleva sidottu valtuus]]+lov[[#This Row],[2024 jäljellä oleva sidottu valtuus]]</f>
        <v>21276000</v>
      </c>
      <c r="V11" s="35">
        <f>lov[[#This Row],[Laskennallinen valtuus 2025 (välivaihe)]]-lov[[#This Row],[Jäljellä oleva sidottu valtuus yhteensä]]</f>
        <v>-169600794.38</v>
      </c>
      <c r="W11" s="36">
        <f>IF(lov[[#This Row],[Laskennallinen lainanottovaltuus 
2025]]&lt;0,0,lov[[#This Row],[Laskennallinen lainanottovaltuus 
2025]])</f>
        <v>0</v>
      </c>
    </row>
    <row r="12" spans="1:23" x14ac:dyDescent="0.25">
      <c r="A12" s="20" t="s">
        <v>19</v>
      </c>
      <c r="B12" s="23">
        <v>-13825427.279999999</v>
      </c>
      <c r="C12" s="23"/>
      <c r="D12" s="23">
        <f t="shared" si="0"/>
        <v>-138254272.79999998</v>
      </c>
      <c r="E12" s="23">
        <v>150115766.25</v>
      </c>
      <c r="F12" s="23">
        <f>lov[[#This Row],[Enimmäis-
lainamäärä]]-lov[[#This Row],[Ennakoitu lainakanta 31.12.24]]</f>
        <v>-288370039.04999995</v>
      </c>
      <c r="G12" s="24">
        <v>0</v>
      </c>
      <c r="H12" s="29">
        <v>0</v>
      </c>
      <c r="I12" s="34"/>
      <c r="J12" s="27">
        <v>0</v>
      </c>
      <c r="K12" s="28">
        <v>0</v>
      </c>
      <c r="L12" s="28"/>
      <c r="M12" s="28"/>
      <c r="N12" s="29">
        <f>lov[[#This Row],[Sidottu valtuus 
2023]]-SUM(lov[[#This Row],[2023 lainan käyttö 2023]:[2023 inv. vast. sop. käyttö 2024]])</f>
        <v>0</v>
      </c>
      <c r="O12" s="30"/>
      <c r="P12" s="23"/>
      <c r="Q12" s="31"/>
      <c r="R12" s="38"/>
      <c r="S12" s="39"/>
      <c r="T12" s="34">
        <f>lov[[#This Row],[Sidottu valtuus 
2024]]-SUM(lov[[#This Row],[2024 lainan käyttö 2024]:[2024 inv. vast. sop. käyttö 2024]])</f>
        <v>0</v>
      </c>
      <c r="U12" s="23">
        <f>lov[[#This Row],[2023 jäljellä oleva sidottu valtuus]]+lov[[#This Row],[2024 jäljellä oleva sidottu valtuus]]</f>
        <v>0</v>
      </c>
      <c r="V12" s="35">
        <f>lov[[#This Row],[Laskennallinen valtuus 2025 (välivaihe)]]-lov[[#This Row],[Jäljellä oleva sidottu valtuus yhteensä]]</f>
        <v>-288370039.04999995</v>
      </c>
      <c r="W12" s="36">
        <f>IF(lov[[#This Row],[Laskennallinen lainanottovaltuus 
2025]]&lt;0,0,lov[[#This Row],[Laskennallinen lainanottovaltuus 
2025]])</f>
        <v>0</v>
      </c>
    </row>
    <row r="13" spans="1:23" x14ac:dyDescent="0.25">
      <c r="A13" s="20" t="s">
        <v>6</v>
      </c>
      <c r="B13" s="23">
        <v>-48935318.950000003</v>
      </c>
      <c r="C13" s="23">
        <v>-53989000</v>
      </c>
      <c r="D13" s="23">
        <f t="shared" si="0"/>
        <v>-539890000</v>
      </c>
      <c r="E13" s="23">
        <v>455315816.33999997</v>
      </c>
      <c r="F13" s="23">
        <f>lov[[#This Row],[Enimmäis-
lainamäärä]]-lov[[#This Row],[Ennakoitu lainakanta 31.12.24]]</f>
        <v>-995205816.33999991</v>
      </c>
      <c r="G13" s="24">
        <v>299100000</v>
      </c>
      <c r="H13" s="29">
        <v>293781000</v>
      </c>
      <c r="I13" s="34">
        <v>5319000</v>
      </c>
      <c r="J13" s="27">
        <v>104120010</v>
      </c>
      <c r="K13" s="28">
        <v>1473561</v>
      </c>
      <c r="L13" s="28">
        <v>130512000</v>
      </c>
      <c r="M13" s="28">
        <v>3845438</v>
      </c>
      <c r="N13" s="29">
        <f>lov[[#This Row],[Sidottu valtuus 
2023]]-SUM(lov[[#This Row],[2023 lainan käyttö 2023]:[2023 inv. vast. sop. käyttö 2024]])</f>
        <v>59148991</v>
      </c>
      <c r="O13" s="30">
        <v>37800000</v>
      </c>
      <c r="P13" s="23">
        <v>24500000</v>
      </c>
      <c r="Q13" s="31">
        <v>13300000</v>
      </c>
      <c r="R13" s="32">
        <v>15537200</v>
      </c>
      <c r="S13" s="33">
        <v>10147500</v>
      </c>
      <c r="T13" s="34">
        <f>lov[[#This Row],[Sidottu valtuus 
2024]]-SUM(lov[[#This Row],[2024 lainan käyttö 2024]:[2024 inv. vast. sop. käyttö 2024]])</f>
        <v>12115300</v>
      </c>
      <c r="U13" s="23">
        <f>lov[[#This Row],[2023 jäljellä oleva sidottu valtuus]]+lov[[#This Row],[2024 jäljellä oleva sidottu valtuus]]</f>
        <v>71264291</v>
      </c>
      <c r="V13" s="35">
        <f>lov[[#This Row],[Laskennallinen valtuus 2025 (välivaihe)]]-lov[[#This Row],[Jäljellä oleva sidottu valtuus yhteensä]]</f>
        <v>-1066470107.3399999</v>
      </c>
      <c r="W13" s="36">
        <f>IF(lov[[#This Row],[Laskennallinen lainanottovaltuus 
2025]]&lt;0,0,lov[[#This Row],[Laskennallinen lainanottovaltuus 
2025]])</f>
        <v>0</v>
      </c>
    </row>
    <row r="14" spans="1:23" x14ac:dyDescent="0.25">
      <c r="A14" s="20" t="s">
        <v>17</v>
      </c>
      <c r="B14" s="43">
        <v>11881767</v>
      </c>
      <c r="C14" s="23">
        <v>-8018000</v>
      </c>
      <c r="D14" s="23">
        <f t="shared" si="0"/>
        <v>-80180000</v>
      </c>
      <c r="E14" s="23">
        <v>77733474</v>
      </c>
      <c r="F14" s="23">
        <f>lov[[#This Row],[Enimmäis-
lainamäärä]]-lov[[#This Row],[Ennakoitu lainakanta 31.12.24]]</f>
        <v>-157913474</v>
      </c>
      <c r="G14" s="24">
        <v>69802000</v>
      </c>
      <c r="H14" s="29">
        <v>69214000</v>
      </c>
      <c r="I14" s="34">
        <v>588000</v>
      </c>
      <c r="J14" s="27">
        <v>10000000</v>
      </c>
      <c r="K14" s="28">
        <v>0</v>
      </c>
      <c r="L14" s="28">
        <v>20000000</v>
      </c>
      <c r="M14" s="28">
        <v>1100000</v>
      </c>
      <c r="N14" s="29">
        <f>lov[[#This Row],[Sidottu valtuus 
2023]]-SUM(lov[[#This Row],[2023 lainan käyttö 2023]:[2023 inv. vast. sop. käyttö 2024]])</f>
        <v>38702000</v>
      </c>
      <c r="O14" s="30"/>
      <c r="P14" s="23"/>
      <c r="Q14" s="31"/>
      <c r="R14" s="38"/>
      <c r="S14" s="39"/>
      <c r="T14" s="34">
        <f>lov[[#This Row],[Sidottu valtuus 
2024]]-SUM(lov[[#This Row],[2024 lainan käyttö 2024]:[2024 inv. vast. sop. käyttö 2024]])</f>
        <v>0</v>
      </c>
      <c r="U14" s="23">
        <f>lov[[#This Row],[2023 jäljellä oleva sidottu valtuus]]+lov[[#This Row],[2024 jäljellä oleva sidottu valtuus]]</f>
        <v>38702000</v>
      </c>
      <c r="V14" s="35">
        <f>lov[[#This Row],[Laskennallinen valtuus 2025 (välivaihe)]]-lov[[#This Row],[Jäljellä oleva sidottu valtuus yhteensä]]</f>
        <v>-196615474</v>
      </c>
      <c r="W14" s="36">
        <f>IF(lov[[#This Row],[Laskennallinen lainanottovaltuus 
2025]]&lt;0,0,lov[[#This Row],[Laskennallinen lainanottovaltuus 
2025]])</f>
        <v>0</v>
      </c>
    </row>
    <row r="15" spans="1:23" x14ac:dyDescent="0.25">
      <c r="A15" s="20" t="s">
        <v>14</v>
      </c>
      <c r="B15" s="23">
        <v>-15678771</v>
      </c>
      <c r="C15" s="23"/>
      <c r="D15" s="23">
        <f t="shared" si="0"/>
        <v>-156787710</v>
      </c>
      <c r="E15" s="23">
        <v>517392846</v>
      </c>
      <c r="F15" s="23">
        <f>lov[[#This Row],[Enimmäis-
lainamäärä]]-lov[[#This Row],[Ennakoitu lainakanta 31.12.24]]</f>
        <v>-674180556</v>
      </c>
      <c r="G15" s="24">
        <v>0</v>
      </c>
      <c r="H15" s="29">
        <v>0</v>
      </c>
      <c r="I15" s="34"/>
      <c r="J15" s="44">
        <v>0</v>
      </c>
      <c r="K15" s="45">
        <v>0</v>
      </c>
      <c r="L15" s="28"/>
      <c r="M15" s="28"/>
      <c r="N15" s="29">
        <f>lov[[#This Row],[Sidottu valtuus 
2023]]-SUM(lov[[#This Row],[2023 lainan käyttö 2023]:[2023 inv. vast. sop. käyttö 2024]])</f>
        <v>0</v>
      </c>
      <c r="O15" s="30">
        <v>46097000</v>
      </c>
      <c r="P15" s="37">
        <v>16600000</v>
      </c>
      <c r="Q15" s="63">
        <v>29500000</v>
      </c>
      <c r="R15" s="32">
        <v>16580000</v>
      </c>
      <c r="S15" s="33">
        <v>29500000</v>
      </c>
      <c r="T15" s="34">
        <f>lov[[#This Row],[Sidottu valtuus 
2024]]-SUM(lov[[#This Row],[2024 lainan käyttö 2024]:[2024 inv. vast. sop. käyttö 2024]])</f>
        <v>17000</v>
      </c>
      <c r="U15" s="23">
        <f>lov[[#This Row],[2023 jäljellä oleva sidottu valtuus]]+lov[[#This Row],[2024 jäljellä oleva sidottu valtuus]]</f>
        <v>17000</v>
      </c>
      <c r="V15" s="35">
        <f>lov[[#This Row],[Laskennallinen valtuus 2025 (välivaihe)]]-lov[[#This Row],[Jäljellä oleva sidottu valtuus yhteensä]]</f>
        <v>-674197556</v>
      </c>
      <c r="W15" s="36">
        <f>IF(lov[[#This Row],[Laskennallinen lainanottovaltuus 
2025]]&lt;0,0,lov[[#This Row],[Laskennallinen lainanottovaltuus 
2025]])</f>
        <v>0</v>
      </c>
    </row>
    <row r="16" spans="1:23" x14ac:dyDescent="0.25">
      <c r="A16" s="20" t="s">
        <v>3</v>
      </c>
      <c r="B16" s="23">
        <v>-27878569.390000001</v>
      </c>
      <c r="C16" s="23"/>
      <c r="D16" s="23">
        <f t="shared" si="0"/>
        <v>-278785693.89999998</v>
      </c>
      <c r="E16" s="23">
        <v>87079000</v>
      </c>
      <c r="F16" s="23">
        <f>lov[[#This Row],[Enimmäis-
lainamäärä]]-lov[[#This Row],[Ennakoitu lainakanta 31.12.24]]</f>
        <v>-365864693.89999998</v>
      </c>
      <c r="G16" s="24">
        <v>91567000</v>
      </c>
      <c r="H16" s="29">
        <v>76567000</v>
      </c>
      <c r="I16" s="34">
        <v>15000000</v>
      </c>
      <c r="J16" s="27">
        <v>0</v>
      </c>
      <c r="K16" s="28">
        <v>75000000</v>
      </c>
      <c r="L16" s="28"/>
      <c r="M16" s="28"/>
      <c r="N16" s="29">
        <f>lov[[#This Row],[Sidottu valtuus 
2023]]-SUM(lov[[#This Row],[2023 lainan käyttö 2023]:[2023 inv. vast. sop. käyttö 2024]])</f>
        <v>16567000</v>
      </c>
      <c r="O16" s="30">
        <v>34600000</v>
      </c>
      <c r="P16" s="37">
        <v>650000</v>
      </c>
      <c r="Q16" s="63">
        <v>33950000</v>
      </c>
      <c r="R16" s="38"/>
      <c r="S16" s="39">
        <v>34600000</v>
      </c>
      <c r="T16" s="34">
        <f>lov[[#This Row],[Sidottu valtuus 
2024]]-SUM(lov[[#This Row],[2024 lainan käyttö 2024]:[2024 inv. vast. sop. käyttö 2024]])</f>
        <v>0</v>
      </c>
      <c r="U16" s="23">
        <f>lov[[#This Row],[2023 jäljellä oleva sidottu valtuus]]+lov[[#This Row],[2024 jäljellä oleva sidottu valtuus]]</f>
        <v>16567000</v>
      </c>
      <c r="V16" s="35">
        <f>lov[[#This Row],[Laskennallinen valtuus 2025 (välivaihe)]]-lov[[#This Row],[Jäljellä oleva sidottu valtuus yhteensä]]</f>
        <v>-382431693.89999998</v>
      </c>
      <c r="W16" s="36">
        <f>IF(lov[[#This Row],[Laskennallinen lainanottovaltuus 
2025]]&lt;0,0,lov[[#This Row],[Laskennallinen lainanottovaltuus 
2025]])</f>
        <v>0</v>
      </c>
    </row>
    <row r="17" spans="1:23" x14ac:dyDescent="0.25">
      <c r="A17" s="20" t="s">
        <v>9</v>
      </c>
      <c r="B17" s="23">
        <v>-61500016</v>
      </c>
      <c r="C17" s="23"/>
      <c r="D17" s="23">
        <f t="shared" si="0"/>
        <v>-615000160</v>
      </c>
      <c r="E17" s="23">
        <v>205210438.12</v>
      </c>
      <c r="F17" s="23">
        <f>lov[[#This Row],[Enimmäis-
lainamäärä]]-lov[[#This Row],[Ennakoitu lainakanta 31.12.24]]</f>
        <v>-820210598.12</v>
      </c>
      <c r="G17" s="46">
        <v>189027000</v>
      </c>
      <c r="H17" s="47">
        <v>6064000</v>
      </c>
      <c r="I17" s="48">
        <v>182963000</v>
      </c>
      <c r="J17" s="27">
        <v>2756000</v>
      </c>
      <c r="K17" s="28">
        <v>182963000</v>
      </c>
      <c r="L17" s="28">
        <v>3308000</v>
      </c>
      <c r="M17" s="28"/>
      <c r="N17" s="29">
        <f>lov[[#This Row],[Sidottu valtuus 
2023]]-SUM(lov[[#This Row],[2023 lainan käyttö 2023]:[2023 inv. vast. sop. käyttö 2024]])</f>
        <v>0</v>
      </c>
      <c r="O17" s="30"/>
      <c r="P17" s="37"/>
      <c r="Q17" s="63"/>
      <c r="R17" s="32">
        <v>0</v>
      </c>
      <c r="S17" s="33">
        <v>0</v>
      </c>
      <c r="T17" s="34">
        <f>lov[[#This Row],[Sidottu valtuus 
2024]]-SUM(lov[[#This Row],[2024 lainan käyttö 2024]:[2024 inv. vast. sop. käyttö 2024]])</f>
        <v>0</v>
      </c>
      <c r="U17" s="23">
        <f>lov[[#This Row],[2023 jäljellä oleva sidottu valtuus]]+lov[[#This Row],[2024 jäljellä oleva sidottu valtuus]]</f>
        <v>0</v>
      </c>
      <c r="V17" s="35">
        <f>lov[[#This Row],[Laskennallinen valtuus 2025 (välivaihe)]]-lov[[#This Row],[Jäljellä oleva sidottu valtuus yhteensä]]</f>
        <v>-820210598.12</v>
      </c>
      <c r="W17" s="36">
        <f>IF(lov[[#This Row],[Laskennallinen lainanottovaltuus 
2025]]&lt;0,0,lov[[#This Row],[Laskennallinen lainanottovaltuus 
2025]])</f>
        <v>0</v>
      </c>
    </row>
    <row r="18" spans="1:23" x14ac:dyDescent="0.25">
      <c r="A18" s="20" t="s">
        <v>20</v>
      </c>
      <c r="B18" s="23">
        <v>-14609577.16</v>
      </c>
      <c r="C18" s="23">
        <v>-13449000</v>
      </c>
      <c r="D18" s="23">
        <f t="shared" si="0"/>
        <v>-134490000</v>
      </c>
      <c r="E18" s="43">
        <v>221838746</v>
      </c>
      <c r="F18" s="23">
        <f>lov[[#This Row],[Enimmäis-
lainamäärä]]-lov[[#This Row],[Ennakoitu lainakanta 31.12.24]]</f>
        <v>-356328746</v>
      </c>
      <c r="G18" s="24">
        <v>67853000</v>
      </c>
      <c r="H18" s="29">
        <v>58439000</v>
      </c>
      <c r="I18" s="34">
        <v>9414000</v>
      </c>
      <c r="J18" s="27">
        <v>50000000</v>
      </c>
      <c r="K18" s="28">
        <v>2360945</v>
      </c>
      <c r="L18" s="28">
        <v>12900000</v>
      </c>
      <c r="M18" s="28">
        <v>2385000</v>
      </c>
      <c r="N18" s="29">
        <f>lov[[#This Row],[Sidottu valtuus 
2023]]-SUM(lov[[#This Row],[2023 lainan käyttö 2023]:[2023 inv. vast. sop. käyttö 2024]])</f>
        <v>207055</v>
      </c>
      <c r="O18" s="30">
        <v>77042000</v>
      </c>
      <c r="P18" s="37">
        <v>31790000</v>
      </c>
      <c r="Q18" s="63">
        <v>45252000</v>
      </c>
      <c r="R18" s="38"/>
      <c r="S18" s="39"/>
      <c r="T18" s="34">
        <f>lov[[#This Row],[Sidottu valtuus 
2024]]-SUM(lov[[#This Row],[2024 lainan käyttö 2024]:[2024 inv. vast. sop. käyttö 2024]])</f>
        <v>77042000</v>
      </c>
      <c r="U18" s="23">
        <f>lov[[#This Row],[2023 jäljellä oleva sidottu valtuus]]+lov[[#This Row],[2024 jäljellä oleva sidottu valtuus]]</f>
        <v>77249055</v>
      </c>
      <c r="V18" s="35">
        <f>lov[[#This Row],[Laskennallinen valtuus 2025 (välivaihe)]]-lov[[#This Row],[Jäljellä oleva sidottu valtuus yhteensä]]</f>
        <v>-433577801</v>
      </c>
      <c r="W18" s="36">
        <f>IF(lov[[#This Row],[Laskennallinen lainanottovaltuus 
2025]]&lt;0,0,lov[[#This Row],[Laskennallinen lainanottovaltuus 
2025]])</f>
        <v>0</v>
      </c>
    </row>
    <row r="19" spans="1:23" x14ac:dyDescent="0.25">
      <c r="A19" s="20" t="s">
        <v>1</v>
      </c>
      <c r="B19" s="23">
        <v>2170409</v>
      </c>
      <c r="C19" s="23"/>
      <c r="D19" s="23">
        <f t="shared" si="0"/>
        <v>21704090</v>
      </c>
      <c r="E19" s="23">
        <v>72003286</v>
      </c>
      <c r="F19" s="23">
        <f>lov[[#This Row],[Enimmäis-
lainamäärä]]-lov[[#This Row],[Ennakoitu lainakanta 31.12.24]]</f>
        <v>-50299196</v>
      </c>
      <c r="G19" s="24">
        <v>233383000</v>
      </c>
      <c r="H19" s="29">
        <v>90184000</v>
      </c>
      <c r="I19" s="34">
        <v>143199000</v>
      </c>
      <c r="J19" s="27">
        <v>0</v>
      </c>
      <c r="K19" s="28">
        <v>10000000</v>
      </c>
      <c r="L19" s="28">
        <v>0</v>
      </c>
      <c r="M19" s="28">
        <v>100000000</v>
      </c>
      <c r="N19" s="29">
        <f>lov[[#This Row],[Sidottu valtuus 
2023]]-SUM(lov[[#This Row],[2023 lainan käyttö 2023]:[2023 inv. vast. sop. käyttö 2024]])</f>
        <v>123383000</v>
      </c>
      <c r="O19" s="30"/>
      <c r="P19" s="37"/>
      <c r="Q19" s="63"/>
      <c r="R19" s="32"/>
      <c r="S19" s="33"/>
      <c r="T19" s="34">
        <f>lov[[#This Row],[Sidottu valtuus 
2024]]-SUM(lov[[#This Row],[2024 lainan käyttö 2024]:[2024 inv. vast. sop. käyttö 2024]])</f>
        <v>0</v>
      </c>
      <c r="U19" s="23">
        <f>lov[[#This Row],[2023 jäljellä oleva sidottu valtuus]]+lov[[#This Row],[2024 jäljellä oleva sidottu valtuus]]</f>
        <v>123383000</v>
      </c>
      <c r="V19" s="35">
        <f>lov[[#This Row],[Laskennallinen valtuus 2025 (välivaihe)]]-lov[[#This Row],[Jäljellä oleva sidottu valtuus yhteensä]]</f>
        <v>-173682196</v>
      </c>
      <c r="W19" s="36">
        <f>IF(lov[[#This Row],[Laskennallinen lainanottovaltuus 
2025]]&lt;0,0,lov[[#This Row],[Laskennallinen lainanottovaltuus 
2025]])</f>
        <v>0</v>
      </c>
    </row>
    <row r="20" spans="1:23" x14ac:dyDescent="0.25">
      <c r="A20" s="20" t="s">
        <v>7</v>
      </c>
      <c r="B20" s="23">
        <v>25009898.510000002</v>
      </c>
      <c r="C20" s="23"/>
      <c r="D20" s="23">
        <f t="shared" si="0"/>
        <v>250098985.10000002</v>
      </c>
      <c r="E20" s="23">
        <v>678750427.28999996</v>
      </c>
      <c r="F20" s="23">
        <f>lov[[#This Row],[Enimmäis-
lainamäärä]]-lov[[#This Row],[Ennakoitu lainakanta 31.12.24]]</f>
        <v>-428651442.18999994</v>
      </c>
      <c r="G20" s="24">
        <v>336480000</v>
      </c>
      <c r="H20" s="29">
        <v>220816000</v>
      </c>
      <c r="I20" s="34">
        <v>115664000</v>
      </c>
      <c r="J20" s="27">
        <v>51000000</v>
      </c>
      <c r="K20" s="28">
        <v>34000000</v>
      </c>
      <c r="L20" s="28">
        <v>11000000</v>
      </c>
      <c r="M20" s="28"/>
      <c r="N20" s="29">
        <f>lov[[#This Row],[Sidottu valtuus 
2023]]-SUM(lov[[#This Row],[2023 lainan käyttö 2023]:[2023 inv. vast. sop. käyttö 2024]])</f>
        <v>240480000</v>
      </c>
      <c r="O20" s="30">
        <v>900000000</v>
      </c>
      <c r="P20" s="51">
        <v>900000000</v>
      </c>
      <c r="Q20" s="63"/>
      <c r="R20" s="38">
        <v>40000000</v>
      </c>
      <c r="S20" s="39">
        <v>0</v>
      </c>
      <c r="T20" s="34">
        <f>lov[[#This Row],[Sidottu valtuus 
2024]]-SUM(lov[[#This Row],[2024 lainan käyttö 2024]:[2024 inv. vast. sop. käyttö 2024]])</f>
        <v>860000000</v>
      </c>
      <c r="U20" s="23">
        <f>lov[[#This Row],[2023 jäljellä oleva sidottu valtuus]]+lov[[#This Row],[2024 jäljellä oleva sidottu valtuus]]</f>
        <v>1100480000</v>
      </c>
      <c r="V20" s="35">
        <f>lov[[#This Row],[Laskennallinen valtuus 2025 (välivaihe)]]-lov[[#This Row],[Jäljellä oleva sidottu valtuus yhteensä]]</f>
        <v>-1529131442.1900001</v>
      </c>
      <c r="W20" s="36">
        <f>IF(lov[[#This Row],[Laskennallinen lainanottovaltuus 
2025]]&lt;0,0,lov[[#This Row],[Laskennallinen lainanottovaltuus 
2025]])</f>
        <v>0</v>
      </c>
    </row>
    <row r="21" spans="1:23" x14ac:dyDescent="0.25">
      <c r="A21" s="20" t="s">
        <v>16</v>
      </c>
      <c r="B21" s="23">
        <v>-16923840</v>
      </c>
      <c r="C21" s="23"/>
      <c r="D21" s="23">
        <f t="shared" si="0"/>
        <v>-169238400</v>
      </c>
      <c r="E21" s="23">
        <v>210478861.07000002</v>
      </c>
      <c r="F21" s="23">
        <f>lov[[#This Row],[Enimmäis-
lainamäärä]]-lov[[#This Row],[Ennakoitu lainakanta 31.12.24]]</f>
        <v>-379717261.07000005</v>
      </c>
      <c r="G21" s="24">
        <v>53425000</v>
      </c>
      <c r="H21" s="29">
        <v>48725000</v>
      </c>
      <c r="I21" s="34">
        <v>4700000</v>
      </c>
      <c r="J21" s="28">
        <v>13585993</v>
      </c>
      <c r="K21" s="28">
        <v>0</v>
      </c>
      <c r="L21" s="28">
        <v>17000000</v>
      </c>
      <c r="M21" s="28"/>
      <c r="N21" s="29">
        <f>lov[[#This Row],[Sidottu valtuus 
2023]]-SUM(lov[[#This Row],[2023 lainan käyttö 2023]:[2023 inv. vast. sop. käyttö 2024]])</f>
        <v>22839007</v>
      </c>
      <c r="O21" s="30"/>
      <c r="P21" s="37"/>
      <c r="Q21" s="63"/>
      <c r="R21" s="32"/>
      <c r="S21" s="33"/>
      <c r="T21" s="34">
        <f>lov[[#This Row],[Sidottu valtuus 
2024]]-SUM(lov[[#This Row],[2024 lainan käyttö 2024]:[2024 inv. vast. sop. käyttö 2024]])</f>
        <v>0</v>
      </c>
      <c r="U21" s="23">
        <f>lov[[#This Row],[2023 jäljellä oleva sidottu valtuus]]+lov[[#This Row],[2024 jäljellä oleva sidottu valtuus]]</f>
        <v>22839007</v>
      </c>
      <c r="V21" s="35">
        <f>lov[[#This Row],[Laskennallinen valtuus 2025 (välivaihe)]]-lov[[#This Row],[Jäljellä oleva sidottu valtuus yhteensä]]</f>
        <v>-402556268.07000005</v>
      </c>
      <c r="W21" s="36">
        <f>IF(lov[[#This Row],[Laskennallinen lainanottovaltuus 
2025]]&lt;0,0,lov[[#This Row],[Laskennallinen lainanottovaltuus 
2025]])</f>
        <v>0</v>
      </c>
    </row>
    <row r="22" spans="1:23" x14ac:dyDescent="0.25">
      <c r="A22" s="20" t="s">
        <v>13</v>
      </c>
      <c r="B22" s="23">
        <v>1008793.86</v>
      </c>
      <c r="C22" s="23"/>
      <c r="D22" s="23">
        <f t="shared" si="0"/>
        <v>10087938.6</v>
      </c>
      <c r="E22" s="23">
        <v>215359637</v>
      </c>
      <c r="F22" s="23">
        <f>lov[[#This Row],[Enimmäis-
lainamäärä]]-lov[[#This Row],[Ennakoitu lainakanta 31.12.24]]</f>
        <v>-205271698.40000001</v>
      </c>
      <c r="G22" s="24">
        <v>93272000</v>
      </c>
      <c r="H22" s="29">
        <v>65503000</v>
      </c>
      <c r="I22" s="34">
        <v>27769000</v>
      </c>
      <c r="J22" s="27">
        <v>30000000</v>
      </c>
      <c r="K22" s="28">
        <v>26723000</v>
      </c>
      <c r="L22" s="28">
        <v>13348000</v>
      </c>
      <c r="M22" s="28"/>
      <c r="N22" s="29">
        <f>lov[[#This Row],[Sidottu valtuus 
2023]]-SUM(lov[[#This Row],[2023 lainan käyttö 2023]:[2023 inv. vast. sop. käyttö 2024]])</f>
        <v>23201000</v>
      </c>
      <c r="O22" s="49">
        <v>137200000</v>
      </c>
      <c r="P22" s="37">
        <v>71900000</v>
      </c>
      <c r="Q22" s="63">
        <v>65300000</v>
      </c>
      <c r="R22" s="38">
        <v>25495000</v>
      </c>
      <c r="S22" s="39">
        <v>65284000</v>
      </c>
      <c r="T22" s="34">
        <f>lov[[#This Row],[Sidottu valtuus 
2024]]-SUM(lov[[#This Row],[2024 lainan käyttö 2024]:[2024 inv. vast. sop. käyttö 2024]])</f>
        <v>46421000</v>
      </c>
      <c r="U22" s="23">
        <f>lov[[#This Row],[2023 jäljellä oleva sidottu valtuus]]+lov[[#This Row],[2024 jäljellä oleva sidottu valtuus]]</f>
        <v>69622000</v>
      </c>
      <c r="V22" s="35">
        <f>lov[[#This Row],[Laskennallinen valtuus 2025 (välivaihe)]]-lov[[#This Row],[Jäljellä oleva sidottu valtuus yhteensä]]</f>
        <v>-274893698.39999998</v>
      </c>
      <c r="W22" s="36">
        <f>IF(lov[[#This Row],[Laskennallinen lainanottovaltuus 
2025]]&lt;0,0,lov[[#This Row],[Laskennallinen lainanottovaltuus 
2025]])</f>
        <v>0</v>
      </c>
    </row>
    <row r="23" spans="1:23" x14ac:dyDescent="0.25">
      <c r="A23" s="20" t="s">
        <v>18</v>
      </c>
      <c r="B23" s="23">
        <v>-15839645.460000001</v>
      </c>
      <c r="C23" s="23"/>
      <c r="D23" s="23">
        <f t="shared" si="0"/>
        <v>-158396454.60000002</v>
      </c>
      <c r="E23" s="23">
        <v>778141027.74000001</v>
      </c>
      <c r="F23" s="23">
        <f>lov[[#This Row],[Enimmäis-
lainamäärä]]-lov[[#This Row],[Ennakoitu lainakanta 31.12.24]]</f>
        <v>-936537482.34000003</v>
      </c>
      <c r="G23" s="24">
        <v>448191000</v>
      </c>
      <c r="H23" s="29">
        <v>398808900</v>
      </c>
      <c r="I23" s="34">
        <v>49382100</v>
      </c>
      <c r="J23" s="27">
        <v>150000000</v>
      </c>
      <c r="K23" s="28">
        <v>9314321</v>
      </c>
      <c r="L23" s="28">
        <v>186168019</v>
      </c>
      <c r="M23" s="28"/>
      <c r="N23" s="29">
        <f>lov[[#This Row],[Sidottu valtuus 
2023]]-SUM(lov[[#This Row],[2023 lainan käyttö 2023]:[2023 inv. vast. sop. käyttö 2024]])</f>
        <v>102708660</v>
      </c>
      <c r="O23" s="30">
        <v>287400000</v>
      </c>
      <c r="P23" s="37">
        <v>260900000</v>
      </c>
      <c r="Q23" s="63">
        <v>26500000</v>
      </c>
      <c r="R23" s="32">
        <v>52049086</v>
      </c>
      <c r="S23" s="33">
        <v>25483940</v>
      </c>
      <c r="T23" s="34">
        <f>lov[[#This Row],[Sidottu valtuus 
2024]]-SUM(lov[[#This Row],[2024 lainan käyttö 2024]:[2024 inv. vast. sop. käyttö 2024]])</f>
        <v>209866974</v>
      </c>
      <c r="U23" s="23">
        <f>lov[[#This Row],[2023 jäljellä oleva sidottu valtuus]]+lov[[#This Row],[2024 jäljellä oleva sidottu valtuus]]</f>
        <v>312575634</v>
      </c>
      <c r="V23" s="35">
        <f>lov[[#This Row],[Laskennallinen valtuus 2025 (välivaihe)]]-lov[[#This Row],[Jäljellä oleva sidottu valtuus yhteensä]]</f>
        <v>-1249113116.3400002</v>
      </c>
      <c r="W23" s="36">
        <f>IF(lov[[#This Row],[Laskennallinen lainanottovaltuus 
2025]]&lt;0,0,lov[[#This Row],[Laskennallinen lainanottovaltuus 
2025]])</f>
        <v>0</v>
      </c>
    </row>
    <row r="24" spans="1:23" x14ac:dyDescent="0.25">
      <c r="A24" s="20" t="s">
        <v>12</v>
      </c>
      <c r="B24" s="23">
        <v>813495</v>
      </c>
      <c r="C24" s="23"/>
      <c r="D24" s="23">
        <f t="shared" si="0"/>
        <v>8134950</v>
      </c>
      <c r="E24" s="23">
        <v>556881862.48000002</v>
      </c>
      <c r="F24" s="23">
        <f>lov[[#This Row],[Enimmäis-
lainamäärä]]-lov[[#This Row],[Ennakoitu lainakanta 31.12.24]]</f>
        <v>-548746912.48000002</v>
      </c>
      <c r="G24" s="24">
        <v>245770000</v>
      </c>
      <c r="H24" s="29">
        <v>194393000</v>
      </c>
      <c r="I24" s="34">
        <v>51377000</v>
      </c>
      <c r="J24" s="27">
        <v>70000000</v>
      </c>
      <c r="K24" s="28">
        <v>23164893</v>
      </c>
      <c r="L24" s="28">
        <v>50000000</v>
      </c>
      <c r="M24" s="28">
        <v>28150000</v>
      </c>
      <c r="N24" s="29">
        <f>lov[[#This Row],[Sidottu valtuus 
2023]]-SUM(lov[[#This Row],[2023 lainan käyttö 2023]:[2023 inv. vast. sop. käyttö 2024]])</f>
        <v>74455107</v>
      </c>
      <c r="O24" s="30">
        <v>126292000</v>
      </c>
      <c r="P24" s="37">
        <v>93931000</v>
      </c>
      <c r="Q24" s="63">
        <v>32360000</v>
      </c>
      <c r="R24" s="38">
        <v>50000000</v>
      </c>
      <c r="S24" s="39">
        <v>32360411</v>
      </c>
      <c r="T24" s="34">
        <f>lov[[#This Row],[Sidottu valtuus 
2024]]-SUM(lov[[#This Row],[2024 lainan käyttö 2024]:[2024 inv. vast. sop. käyttö 2024]])</f>
        <v>43931589</v>
      </c>
      <c r="U24" s="23">
        <f>lov[[#This Row],[2023 jäljellä oleva sidottu valtuus]]+lov[[#This Row],[2024 jäljellä oleva sidottu valtuus]]</f>
        <v>118386696</v>
      </c>
      <c r="V24" s="35">
        <f>lov[[#This Row],[Laskennallinen valtuus 2025 (välivaihe)]]-lov[[#This Row],[Jäljellä oleva sidottu valtuus yhteensä]]</f>
        <v>-667133608.48000002</v>
      </c>
      <c r="W24" s="36">
        <f>IF(lov[[#This Row],[Laskennallinen lainanottovaltuus 
2025]]&lt;0,0,lov[[#This Row],[Laskennallinen lainanottovaltuus 
2025]])</f>
        <v>0</v>
      </c>
    </row>
    <row r="25" spans="1:23" x14ac:dyDescent="0.25">
      <c r="A25" s="20" t="s">
        <v>8</v>
      </c>
      <c r="B25" s="23">
        <v>-8827838.4199999999</v>
      </c>
      <c r="C25" s="23">
        <v>182000</v>
      </c>
      <c r="D25" s="23">
        <f t="shared" si="0"/>
        <v>1820000</v>
      </c>
      <c r="E25" s="23">
        <v>241603505</v>
      </c>
      <c r="F25" s="23">
        <f>lov[[#This Row],[Enimmäis-
lainamäärä]]-lov[[#This Row],[Ennakoitu lainakanta 31.12.24]]</f>
        <v>-239783505</v>
      </c>
      <c r="G25" s="24">
        <v>214884000</v>
      </c>
      <c r="H25" s="29">
        <v>197762000</v>
      </c>
      <c r="I25" s="34">
        <v>17122000</v>
      </c>
      <c r="J25" s="27">
        <v>141000000</v>
      </c>
      <c r="K25" s="28">
        <v>223000</v>
      </c>
      <c r="L25" s="28"/>
      <c r="M25" s="28">
        <v>9000000</v>
      </c>
      <c r="N25" s="29">
        <f>lov[[#This Row],[Sidottu valtuus 
2023]]-SUM(lov[[#This Row],[2023 lainan käyttö 2023]:[2023 inv. vast. sop. käyttö 2024]])</f>
        <v>64661000</v>
      </c>
      <c r="O25" s="30">
        <v>145482000</v>
      </c>
      <c r="P25" s="23">
        <v>0</v>
      </c>
      <c r="Q25" s="23">
        <v>145482000</v>
      </c>
      <c r="R25" s="32">
        <v>0</v>
      </c>
      <c r="S25" s="33">
        <v>37476000</v>
      </c>
      <c r="T25" s="34">
        <f>lov[[#This Row],[Sidottu valtuus 
2024]]-SUM(lov[[#This Row],[2024 lainan käyttö 2024]:[2024 inv. vast. sop. käyttö 2024]])</f>
        <v>108006000</v>
      </c>
      <c r="U25" s="23">
        <f>lov[[#This Row],[2023 jäljellä oleva sidottu valtuus]]+lov[[#This Row],[2024 jäljellä oleva sidottu valtuus]]</f>
        <v>172667000</v>
      </c>
      <c r="V25" s="35">
        <f>lov[[#This Row],[Laskennallinen valtuus 2025 (välivaihe)]]-lov[[#This Row],[Jäljellä oleva sidottu valtuus yhteensä]]</f>
        <v>-412450505</v>
      </c>
      <c r="W25" s="36">
        <f>IF(lov[[#This Row],[Laskennallinen lainanottovaltuus 
2025]]&lt;0,0,lov[[#This Row],[Laskennallinen lainanottovaltuus 
2025]])</f>
        <v>0</v>
      </c>
    </row>
    <row r="26" spans="1:23" x14ac:dyDescent="0.25">
      <c r="A26" s="20" t="s">
        <v>5</v>
      </c>
      <c r="B26" s="23">
        <v>-42611251.5</v>
      </c>
      <c r="C26" s="23"/>
      <c r="D26" s="23">
        <f t="shared" si="0"/>
        <v>-426112515</v>
      </c>
      <c r="E26" s="23">
        <v>110351964.63000001</v>
      </c>
      <c r="F26" s="23">
        <f>lov[[#This Row],[Enimmäis-
lainamäärä]]-lov[[#This Row],[Ennakoitu lainakanta 31.12.24]]</f>
        <v>-536464479.63</v>
      </c>
      <c r="G26" s="24">
        <v>202100000</v>
      </c>
      <c r="H26" s="29">
        <v>194206000</v>
      </c>
      <c r="I26" s="34">
        <v>7894000</v>
      </c>
      <c r="J26" s="27">
        <v>25000000</v>
      </c>
      <c r="K26" s="28">
        <v>3989000</v>
      </c>
      <c r="L26" s="28">
        <v>6300000</v>
      </c>
      <c r="M26" s="28"/>
      <c r="N26" s="29">
        <f>lov[[#This Row],[Sidottu valtuus 
2023]]-SUM(lov[[#This Row],[2023 lainan käyttö 2023]:[2023 inv. vast. sop. käyttö 2024]])</f>
        <v>166811000</v>
      </c>
      <c r="O26" s="30">
        <v>41050000</v>
      </c>
      <c r="P26" s="23">
        <v>38350000</v>
      </c>
      <c r="Q26" s="31">
        <v>2700000</v>
      </c>
      <c r="R26" s="38">
        <v>22000000</v>
      </c>
      <c r="S26" s="39">
        <v>2700000</v>
      </c>
      <c r="T26" s="34">
        <f>lov[[#This Row],[Sidottu valtuus 
2024]]-SUM(lov[[#This Row],[2024 lainan käyttö 2024]:[2024 inv. vast. sop. käyttö 2024]])</f>
        <v>16350000</v>
      </c>
      <c r="U26" s="23">
        <f>lov[[#This Row],[2023 jäljellä oleva sidottu valtuus]]+lov[[#This Row],[2024 jäljellä oleva sidottu valtuus]]</f>
        <v>183161000</v>
      </c>
      <c r="V26" s="35">
        <f>lov[[#This Row],[Laskennallinen valtuus 2025 (välivaihe)]]-lov[[#This Row],[Jäljellä oleva sidottu valtuus yhteensä]]</f>
        <v>-719625479.63</v>
      </c>
      <c r="W26" s="36">
        <f>IF(lov[[#This Row],[Laskennallinen lainanottovaltuus 
2025]]&lt;0,0,lov[[#This Row],[Laskennallinen lainanottovaltuus 
2025]])</f>
        <v>0</v>
      </c>
    </row>
    <row r="27" spans="1:23" x14ac:dyDescent="0.25">
      <c r="A27" s="20" t="s">
        <v>0</v>
      </c>
      <c r="B27" s="23">
        <v>-98326164.909999996</v>
      </c>
      <c r="C27" s="23"/>
      <c r="D27" s="23">
        <f t="shared" si="0"/>
        <v>-983261649.0999999</v>
      </c>
      <c r="E27" s="23">
        <v>131477851.56</v>
      </c>
      <c r="F27" s="23">
        <f>lov[[#This Row],[Enimmäis-
lainamäärä]]-lov[[#This Row],[Ennakoitu lainakanta 31.12.24]]</f>
        <v>-1114739500.6599998</v>
      </c>
      <c r="G27" s="24">
        <v>189233000</v>
      </c>
      <c r="H27" s="29">
        <v>174023000</v>
      </c>
      <c r="I27" s="34">
        <v>15210000</v>
      </c>
      <c r="J27" s="27">
        <v>17468000</v>
      </c>
      <c r="K27" s="28">
        <v>3212000</v>
      </c>
      <c r="L27" s="28">
        <v>6011000</v>
      </c>
      <c r="M27" s="28"/>
      <c r="N27" s="29">
        <f>lov[[#This Row],[Sidottu valtuus 
2023]]-SUM(lov[[#This Row],[2023 lainan käyttö 2023]:[2023 inv. vast. sop. käyttö 2024]])</f>
        <v>162542000</v>
      </c>
      <c r="O27" s="30"/>
      <c r="P27" s="23"/>
      <c r="Q27" s="31"/>
      <c r="R27" s="32">
        <v>0</v>
      </c>
      <c r="S27" s="33">
        <v>0</v>
      </c>
      <c r="T27" s="34">
        <f>lov[[#This Row],[Sidottu valtuus 
2024]]-SUM(lov[[#This Row],[2024 lainan käyttö 2024]:[2024 inv. vast. sop. käyttö 2024]])</f>
        <v>0</v>
      </c>
      <c r="U27" s="23">
        <f>lov[[#This Row],[2023 jäljellä oleva sidottu valtuus]]+lov[[#This Row],[2024 jäljellä oleva sidottu valtuus]]</f>
        <v>162542000</v>
      </c>
      <c r="V27" s="35">
        <f>lov[[#This Row],[Laskennallinen valtuus 2025 (välivaihe)]]-lov[[#This Row],[Jäljellä oleva sidottu valtuus yhteensä]]</f>
        <v>-1277281500.6599998</v>
      </c>
      <c r="W27" s="36">
        <f>IF(lov[[#This Row],[Laskennallinen lainanottovaltuus 
2025]]&lt;0,0,lov[[#This Row],[Laskennallinen lainanottovaltuus 
2025]])</f>
        <v>0</v>
      </c>
    </row>
    <row r="28" spans="1:23" x14ac:dyDescent="0.25">
      <c r="A28" s="20" t="s">
        <v>4</v>
      </c>
      <c r="B28" s="23">
        <v>-31319000</v>
      </c>
      <c r="C28" s="23"/>
      <c r="D28" s="23">
        <f t="shared" si="0"/>
        <v>-313190000</v>
      </c>
      <c r="E28" s="23">
        <v>535470104</v>
      </c>
      <c r="F28" s="23">
        <f>lov[[#This Row],[Enimmäis-
lainamäärä]]-lov[[#This Row],[Ennakoitu lainakanta 31.12.24]]</f>
        <v>-848660104</v>
      </c>
      <c r="G28" s="30">
        <v>407127000</v>
      </c>
      <c r="H28" s="23">
        <v>274004000</v>
      </c>
      <c r="I28" s="50">
        <v>133123000</v>
      </c>
      <c r="J28" s="51">
        <v>70478000</v>
      </c>
      <c r="K28" s="37">
        <v>91391000</v>
      </c>
      <c r="L28" s="37">
        <v>53640000</v>
      </c>
      <c r="M28" s="37"/>
      <c r="N28" s="50">
        <f>lov[[#This Row],[Sidottu valtuus 
2023]]-SUM(lov[[#This Row],[2023 lainan käyttö 2023]:[2023 inv. vast. sop. käyttö 2024]])</f>
        <v>191618000</v>
      </c>
      <c r="O28" s="30">
        <v>179335000</v>
      </c>
      <c r="P28" s="23">
        <v>48344000</v>
      </c>
      <c r="Q28" s="31">
        <v>130991000</v>
      </c>
      <c r="R28" s="43">
        <v>37145000</v>
      </c>
      <c r="S28" s="43">
        <v>85111000</v>
      </c>
      <c r="T28" s="31">
        <f>lov[[#This Row],[Sidottu valtuus 
2024]]-SUM(lov[[#This Row],[2024 lainan käyttö 2024]:[2024 inv. vast. sop. käyttö 2024]])</f>
        <v>57079000</v>
      </c>
      <c r="U28" s="23">
        <f>lov[[#This Row],[2023 jäljellä oleva sidottu valtuus]]+lov[[#This Row],[2024 jäljellä oleva sidottu valtuus]]</f>
        <v>248697000</v>
      </c>
      <c r="V28" s="35">
        <f>lov[[#This Row],[Laskennallinen valtuus 2025 (välivaihe)]]-lov[[#This Row],[Jäljellä oleva sidottu valtuus yhteensä]]</f>
        <v>-1097357104</v>
      </c>
      <c r="W28" s="36">
        <f>IF(lov[[#This Row],[Laskennallinen lainanottovaltuus 
2025]]&lt;0,0,lov[[#This Row],[Laskennallinen lainanottovaltuus 
2025]])</f>
        <v>0</v>
      </c>
    </row>
    <row r="29" spans="1:23" ht="23" x14ac:dyDescent="0.25">
      <c r="A29" s="22" t="s">
        <v>21</v>
      </c>
      <c r="B29" s="53">
        <f>SUBTOTAL(109,lov[Talousarvion mukainen vuosikate 2024])</f>
        <v>-314776816.73000002</v>
      </c>
      <c r="C29" s="53"/>
      <c r="D29" s="53">
        <f>SUBTOTAL(109,lov[Enimmäis-
lainamäärä])</f>
        <v>-3058291492</v>
      </c>
      <c r="E29" s="53">
        <f>SUBTOTAL(109,lov[Ennakoitu lainakanta 31.12.24])</f>
        <v>6664549343.9200001</v>
      </c>
      <c r="F29" s="53">
        <f>SUBTOTAL(109,lov[Laskennallinen valtuus 2025 (välivaihe)])</f>
        <v>-9722840835.9199982</v>
      </c>
      <c r="G29" s="54">
        <f>SUBTOTAL(109,lov[Sidottu valtuus 
2023])</f>
        <v>4814343638</v>
      </c>
      <c r="H29" s="55">
        <f>SUM(H7:H28)</f>
        <v>3333847460</v>
      </c>
      <c r="I29" s="56">
        <f>SUBTOTAL(109,lov[Inv. vastaavien sopimuksien osuus 2023])</f>
        <v>1480492540</v>
      </c>
      <c r="J29" s="54">
        <f>SUBTOTAL(109,lov[2023 lainan käyttö 2023])</f>
        <v>923608003</v>
      </c>
      <c r="K29" s="55">
        <f>SUBTOTAL(109,lov[2023 inv. vast. sop. käyttö 2023])</f>
        <v>568371316</v>
      </c>
      <c r="L29" s="55">
        <f>SUM(L7:L28)</f>
        <v>744626019</v>
      </c>
      <c r="M29" s="55">
        <f>SUM(M7:M28)</f>
        <v>153649864</v>
      </c>
      <c r="N29" s="57">
        <f>SUBTOTAL(109,lov[2023 jäljellä oleva sidottu valtuus])</f>
        <v>2424088436</v>
      </c>
      <c r="O29" s="58">
        <f>SUBTOTAL(109,lov[Sidottu valtuus 
2024])</f>
        <v>2094905000</v>
      </c>
      <c r="P29" s="53">
        <f>SUM(P7:P28)</f>
        <v>1543484000</v>
      </c>
      <c r="Q29" s="59">
        <f>SUM(Q7:Q28)</f>
        <v>551423000</v>
      </c>
      <c r="R29" s="60">
        <f>SUBTOTAL(109,lov[2023 lainan käyttö 2023])</f>
        <v>923608003</v>
      </c>
      <c r="S29" s="55">
        <f>SUM(S7:S28)</f>
        <v>348750851</v>
      </c>
      <c r="T29" s="56">
        <f>SUBTOTAL(109,lov[2024 jäljellä oleva sidottu valtuus])</f>
        <v>1441061863</v>
      </c>
      <c r="U29" s="53">
        <f>SUBTOTAL(109,lov[Jäljellä oleva sidottu valtuus yhteensä])</f>
        <v>3865150299</v>
      </c>
      <c r="V29" s="61">
        <f>SUBTOTAL(109,lov[Laskennallinen lainanottovaltuus 
2025])</f>
        <v>-13587991134.919998</v>
      </c>
      <c r="W29" s="61">
        <f>SUBTOTAL(109,lov[Lopullinen lainanottovaltuus 
2025])</f>
        <v>0</v>
      </c>
    </row>
    <row r="30" spans="1:23" ht="57.5" x14ac:dyDescent="0.25">
      <c r="A30" s="12" t="s">
        <v>36</v>
      </c>
      <c r="B30" s="13" t="s">
        <v>54</v>
      </c>
      <c r="C30" s="13" t="s">
        <v>47</v>
      </c>
      <c r="D30" s="12" t="s">
        <v>37</v>
      </c>
      <c r="E30" s="13" t="s">
        <v>55</v>
      </c>
      <c r="F30" s="12" t="s">
        <v>37</v>
      </c>
      <c r="G30" s="13" t="s">
        <v>46</v>
      </c>
      <c r="H30" s="12" t="s">
        <v>37</v>
      </c>
      <c r="I30" s="13" t="s">
        <v>46</v>
      </c>
      <c r="J30" s="13" t="s">
        <v>47</v>
      </c>
      <c r="K30" s="13" t="s">
        <v>47</v>
      </c>
      <c r="L30" s="13" t="s">
        <v>47</v>
      </c>
      <c r="M30" s="13" t="s">
        <v>47</v>
      </c>
      <c r="N30" s="12" t="s">
        <v>37</v>
      </c>
      <c r="O30" s="13" t="s">
        <v>46</v>
      </c>
      <c r="P30" s="13" t="s">
        <v>46</v>
      </c>
      <c r="Q30" s="13" t="s">
        <v>46</v>
      </c>
      <c r="R30" s="13" t="s">
        <v>47</v>
      </c>
      <c r="S30" s="13" t="s">
        <v>47</v>
      </c>
      <c r="T30" s="12" t="s">
        <v>37</v>
      </c>
      <c r="U30" s="12" t="s">
        <v>37</v>
      </c>
      <c r="V30" s="12" t="s">
        <v>37</v>
      </c>
      <c r="W30" s="12" t="s">
        <v>37</v>
      </c>
    </row>
    <row r="31" spans="1:23" x14ac:dyDescent="0.25">
      <c r="C31" s="2"/>
      <c r="D31" s="2"/>
    </row>
  </sheetData>
  <mergeCells count="6">
    <mergeCell ref="G5:I5"/>
    <mergeCell ref="R5:T5"/>
    <mergeCell ref="O4:T4"/>
    <mergeCell ref="O5:Q5"/>
    <mergeCell ref="J5:N5"/>
    <mergeCell ref="G4:N4"/>
  </mergeCells>
  <conditionalFormatting sqref="E7:E28">
    <cfRule type="cellIs" dxfId="50" priority="1" operator="equal">
      <formula>0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J w E A A B Q S w M E F A A C A A g A p H W Y W A T R B B q o A A A A + A A A A B I A H A B D b 2 5 m a W c v U G F j a 2 F n Z S 5 4 b W w g o h g A K K A U A A A A A A A A A A A A A A A A A A A A A A A A A A A A h Y / N C o J A G E V f R W b v / F V S 8 j k u g i B I C I J o K + O o Q z q G M 6 b v 1 q J H 6 h U S y m r X 8 l 7 O h X M f t z v E Q 1 1 5 V 9 V a 3 Z g I M U y R p 4 x s M m 2 K C H U u 9 5 c o F r B P 5 T k t l D f C x o a D 1 R E q n b u E h P R 9 j / s Z b t q C c E o Z O S W 7 g y x V n f r a W J c a q d B n l f 1 f I Q H H l 4 z g O G B 4 w V Y c z w M G Z K o h 0 e a L 8 N E Y U y A / J a y 7 y n W t E r n 2 N 1 s g U w T y f i G e U E s D B B Q A A g A I A K R 1 m F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k d Z h Y p H 4 a U J I B A A C y A w A A E w A c A E Z v c m 1 1 b G F z L 1 N l Y 3 R p b 2 4 x L m 0 g o h g A K K A U A A A A A A A A A A A A A A A A A A A A A A A A A A A A z V N N T 9 t A E L 1 H y n 8 Y 3 I N j 1 V i O C Q e E c o j A V S J S B + J Q D l W F B r w o K 2 9 2 w n 4 4 z f / x P / E f Y x O Q C I J U c O t c d m d G b / b N e 1 r N 7 g 0 n C f n z 2 T 1 t t 9 o t P U f F C r i y T K 2 7 0 A f B T L s F L n K y 6 p 6 5 S v 4 o o n M 0 e I e a d b w F P S w V F c V K P 4 q 4 G x U v j W j F Z U E r H U l m v B C 8 0 k q D m 6 Z L f m + H 9 z 1 4 i T w d p 2 c z k H z B Q z B W S q u F L e 2 t Z o I b F g K q i r 5 1 x E M A O / G m 8 G M 6 + Q n F H U X V 7 S s e / o 2 5 G a b T F B Q u S R n i 0 v C S S p L I t b U a R h l 0 / O H w I p v 6 w R b 1 B j r I z r e k 4 K A P 8 c f t 3 b l o N X e 6 + U m c H J 1 1 E / 9 j x L v F g U t H I u n F 8 W H S O z q B S 2 7 K p k Y 3 j 0 v m W i U p E m J 7 r z h T q G H Z 1 E 1 N C w z 8 0 L 1 2 v A E e O + B 4 P V + b z + F 2 l r 3 O R p P s P d X / 1 q z Z I N / n 1 R 4 z e l 9 z 4 t f 1 J B 9 d D G b p R t 2 x E x N L l B I l L K w 1 V G p m o C O 4 b u q 1 h u 8 h V E 0 9 Z 1 K 6 5 D D Y R 8 y w u c E K N 3 x m K M h q p x 4 n c N z + + t 6 f o N 3 i c v f z n T 4 B U E s B A i 0 A F A A C A A g A p H W Y W A T R B B q o A A A A + A A A A B I A A A A A A A A A A A A A A A A A A A A A A E N v b m Z p Z y 9 Q Y W N r Y W d l L n h t b F B L A Q I t A B Q A A g A I A K R 1 m F g P y u m r p A A A A O k A A A A T A A A A A A A A A A A A A A A A A P Q A A A B b Q 2 9 u d G V u d F 9 U e X B l c 1 0 u e G 1 s U E s B A i 0 A F A A C A A g A p H W Y W K R + G l C S A Q A A s g M A A B M A A A A A A A A A A A A A A A A A 5 Q E A A E Z v c m 1 1 b G F z L 1 N l Y 3 R p b 2 4 x L m 1 Q S w U G A A A A A A M A A w D C A A A A x A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j Q g A A A A A A A B r C A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F 1 Z X J 5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1 F 1 Z X J 5 M S I g L z 4 8 R W 5 0 c n k g V H l w Z T 0 i R m l s b G V k Q 2 9 t c G x l d G V S Z X N 1 b H R U b 1 d v c m t z a G V l d C I g V m F s d W U 9 I m w x I i A v P j x F b n R y e S B U e X B l P S J S Z W N v d m V y e V R h c m d l d F N o Z W V 0 I i B W Y W x 1 Z T 0 i c 1 N o Z W V 0 M i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Q W R k Z W R U b 0 R h d G F N b 2 R l b C I g V m F s d W U 9 I m w w I i A v P j x F b n R y e S B U e X B l P S J G a W x s Q 2 9 1 b n Q i I F Z h b H V l P S J s M T E 4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0 L T I 0 V D E x O j Q 1 O j A 5 L j M y N T Q y N T d a I i A v P j x F b n R y e S B U e X B l P S J G a W x s Q 2 9 s d W 1 u V H l w Z X M i I F Z h b H V l P S J z Q m d Z U C I g L z 4 8 R W 5 0 c n k g V H l w Z T 0 i R m l s b E N v b H V t b k 5 h b W V z I i B W Y W x 1 Z T 0 i c 1 s m c X V v d D t u a W 1 p J n F 1 b 3 Q 7 L C Z x d W 9 0 O 3 R 1 b m 5 1 c 2 x 1 a 3 V f c 2 V s a X R l J n F 1 b 3 Q 7 L C Z x d W 9 0 O 2 F y d m 8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R d W V y e T E v U 2 9 1 c m N l L n t u a W 1 p L D B 9 J n F 1 b 3 Q 7 L C Z x d W 9 0 O 1 N l Y 3 R p b 2 4 x L 1 F 1 Z X J 5 M S 9 T b 3 V y Y 2 U u e 3 R 1 b m 5 1 c 2 x 1 a 3 V f c 2 V s a X R l L D F 9 J n F 1 b 3 Q 7 L C Z x d W 9 0 O 1 N l Y 3 R p b 2 4 x L 1 F 1 Z X J 5 M S 9 T b 3 V y Y 2 U u e 2 F y d m 8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U X V l c n k x L 1 N v d X J j Z S 5 7 b m l t a S w w f S Z x d W 9 0 O y w m c X V v d D t T Z W N 0 a W 9 u M S 9 R d W V y e T E v U 2 9 1 c m N l L n t 0 d W 5 u d X N s d W t 1 X 3 N l b G l 0 Z S w x f S Z x d W 9 0 O y w m c X V v d D t T Z W N 0 a W 9 u M S 9 R d W V y e T E v U 2 9 1 c m N l L n t h c n Z v L D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R d W V y e T E v U 2 9 1 c m N l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B 9 w p W A c / R x J j 7 5 F Y 2 n D s 1 o A A A A A A g A A A A A A A 2 Y A A M A A A A A Q A A A A D 6 o e + w I b C l W r K 5 X v / n D B k A A A A A A E g A A A o A A A A B A A A A D + G a w V P Q 7 W Q Z / D n N F y v A 2 y U A A A A E J q A o X Z o T + P 7 9 k G I u 1 a X h B J k u T M 3 B L L + M 6 o n U n i K T q p M T R + O r V W I X f b D J D P b I x 5 6 m P H s X H H w v x u B O x g l I I Y n t H i 3 B d g O 0 v N 7 j v m u K i H R 0 k 6 F A A A A N I 6 C N c E r K W n z M L q U F C G P i + t U e / A < / D a t a M a s h u p > 
</file>

<file path=customXml/itemProps1.xml><?xml version="1.0" encoding="utf-8"?>
<ds:datastoreItem xmlns:ds="http://schemas.openxmlformats.org/officeDocument/2006/customXml" ds:itemID="{8E75194E-4B20-4A8A-A2A5-8382FC57ED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LOV 2025</vt:lpstr>
    </vt:vector>
  </TitlesOfParts>
  <Company>Suomen valtion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Laskelma vuoden 2025 lainanottovaltuuksista</dc:title>
  <dc:creator>VM</dc:creator>
  <cp:lastModifiedBy>Perttola Hanna-Maija (VM)</cp:lastModifiedBy>
  <dcterms:created xsi:type="dcterms:W3CDTF">2023-02-10T08:38:10Z</dcterms:created>
  <dcterms:modified xsi:type="dcterms:W3CDTF">2024-06-26T06:32:33Z</dcterms:modified>
</cp:coreProperties>
</file>